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showSheetTabs="0" xWindow="0" yWindow="0" windowWidth="9300" windowHeight="4755" tabRatio="0"/>
  </bookViews>
  <sheets>
    <sheet name="Sheet1" sheetId="1" r:id="rId1"/>
  </sheets>
  <calcPr calcId="0" refMode="R1C1"/>
</workbook>
</file>

<file path=xl/calcChain.xml><?xml version="1.0" encoding="utf-8"?>
<calcChain xmlns="http://schemas.openxmlformats.org/spreadsheetml/2006/main">
  <c r="S4987" i="1"/>
  <c r="S4986"/>
  <c r="S4985"/>
  <c r="S4984"/>
  <c r="S4983"/>
  <c r="S4982"/>
  <c r="S4981"/>
  <c r="S4980"/>
  <c r="S4979"/>
  <c r="S4978"/>
  <c r="S4977"/>
  <c r="S4976"/>
  <c r="S4975"/>
  <c r="S4974"/>
  <c r="S4973"/>
  <c r="S4972"/>
  <c r="S4971"/>
  <c r="S4970"/>
  <c r="S4969"/>
  <c r="S4968"/>
  <c r="S4967"/>
  <c r="S4966"/>
  <c r="S4965"/>
  <c r="S4964"/>
  <c r="S4963"/>
  <c r="S4962"/>
  <c r="S4961"/>
  <c r="S4960"/>
  <c r="S4959"/>
  <c r="S4958"/>
  <c r="S4957"/>
  <c r="S4956"/>
  <c r="S4955"/>
  <c r="S4954"/>
  <c r="S4953"/>
  <c r="S4952"/>
  <c r="S4951"/>
  <c r="S4950"/>
  <c r="S4949"/>
  <c r="S4948"/>
  <c r="S4947"/>
  <c r="S4946"/>
  <c r="S4945"/>
  <c r="S4944"/>
  <c r="S4943"/>
  <c r="S4942"/>
  <c r="S4941"/>
  <c r="S4940"/>
  <c r="S4939"/>
  <c r="S4938"/>
  <c r="S4937"/>
  <c r="S4936"/>
  <c r="S4935"/>
  <c r="S4934"/>
  <c r="S4933"/>
  <c r="S4932"/>
  <c r="S4931"/>
  <c r="S4930"/>
  <c r="S4929"/>
  <c r="S4928"/>
  <c r="S4927"/>
  <c r="S4926"/>
  <c r="S4925"/>
  <c r="S4924"/>
  <c r="S4923"/>
  <c r="S4922"/>
  <c r="S4921"/>
  <c r="S4920"/>
  <c r="S4919"/>
  <c r="S4918"/>
  <c r="S4917"/>
  <c r="S4916"/>
  <c r="S4915"/>
  <c r="S4914"/>
  <c r="S4913"/>
  <c r="S4912"/>
  <c r="S4911"/>
  <c r="S4910"/>
  <c r="S4909"/>
  <c r="S4908"/>
  <c r="S4907"/>
  <c r="S4906"/>
  <c r="S4905"/>
  <c r="S4904"/>
  <c r="S4903"/>
  <c r="S4902"/>
  <c r="S4901"/>
  <c r="S4900"/>
  <c r="S4899"/>
  <c r="S4898"/>
  <c r="S4897"/>
  <c r="S4896"/>
  <c r="S4895"/>
  <c r="S4894"/>
  <c r="S4893"/>
  <c r="S4892"/>
  <c r="S4891"/>
  <c r="S4890"/>
  <c r="S4889"/>
  <c r="S4888"/>
  <c r="S4887"/>
  <c r="S4886"/>
  <c r="S4885"/>
  <c r="S4884"/>
  <c r="S4883"/>
  <c r="S4882"/>
  <c r="S4881"/>
  <c r="S4880"/>
  <c r="S4879"/>
  <c r="S4878"/>
  <c r="S4877"/>
  <c r="S4876"/>
  <c r="S4875"/>
  <c r="S4874"/>
  <c r="S4873"/>
  <c r="S4872"/>
  <c r="S4871"/>
  <c r="S4870"/>
  <c r="S4869"/>
  <c r="S4868"/>
  <c r="S4867"/>
  <c r="S4866"/>
  <c r="S4865"/>
  <c r="S4864"/>
  <c r="S4863"/>
  <c r="S4862"/>
  <c r="S4861"/>
  <c r="S4860"/>
  <c r="S4859"/>
  <c r="S4858"/>
  <c r="S4857"/>
  <c r="S4856"/>
  <c r="S4855"/>
  <c r="S4854"/>
  <c r="S4853"/>
  <c r="S4852"/>
  <c r="S4851"/>
  <c r="S4850"/>
  <c r="S4849"/>
  <c r="S4848"/>
  <c r="S4847"/>
  <c r="S4846"/>
  <c r="S4845"/>
  <c r="S4844"/>
  <c r="S4843"/>
  <c r="S4842"/>
  <c r="S4841"/>
  <c r="S4840"/>
  <c r="S4839"/>
  <c r="S4838"/>
  <c r="S4837"/>
  <c r="S4836"/>
  <c r="S4835"/>
  <c r="S4834"/>
  <c r="S4833"/>
  <c r="S4832"/>
  <c r="S4831"/>
  <c r="S4830"/>
  <c r="S4829"/>
  <c r="S4828"/>
  <c r="S4827"/>
  <c r="S4826"/>
  <c r="S4825"/>
  <c r="S4824"/>
  <c r="S4823"/>
  <c r="S4822"/>
  <c r="S4821"/>
  <c r="S4820"/>
  <c r="S4819"/>
  <c r="S4818"/>
  <c r="S4817"/>
  <c r="S4816"/>
  <c r="S4815"/>
  <c r="S4814"/>
  <c r="S4813"/>
  <c r="S4812"/>
  <c r="S4811"/>
  <c r="S4810"/>
  <c r="S4809"/>
  <c r="S4808"/>
  <c r="S4807"/>
  <c r="S4806"/>
  <c r="S4805"/>
  <c r="S4804"/>
  <c r="S4803"/>
  <c r="S4802"/>
  <c r="S4801"/>
  <c r="S4800"/>
  <c r="S4799"/>
  <c r="S4798"/>
  <c r="S4797"/>
  <c r="S4796"/>
  <c r="S4795"/>
  <c r="S4794"/>
  <c r="S4793"/>
  <c r="S4792"/>
  <c r="S4791"/>
  <c r="S4790"/>
  <c r="S4789"/>
  <c r="S4788"/>
  <c r="S4787"/>
  <c r="S4786"/>
  <c r="S4785"/>
  <c r="S4784"/>
  <c r="S4783"/>
  <c r="S4782"/>
  <c r="S4781"/>
  <c r="S4780"/>
  <c r="S4779"/>
  <c r="S4778"/>
  <c r="S4777"/>
  <c r="S4776"/>
  <c r="S4775"/>
  <c r="S4774"/>
  <c r="S4773"/>
  <c r="S4772"/>
  <c r="S4771"/>
  <c r="S4770"/>
  <c r="S4769"/>
  <c r="S4768"/>
  <c r="S4767"/>
  <c r="S4766"/>
  <c r="S4765"/>
  <c r="S4764"/>
  <c r="S4763"/>
  <c r="S4762"/>
  <c r="S4761"/>
  <c r="S4760"/>
  <c r="S4759"/>
  <c r="S4758"/>
  <c r="S4757"/>
  <c r="S4756"/>
  <c r="S4755"/>
  <c r="S4754"/>
  <c r="S4753"/>
  <c r="S4752"/>
  <c r="S4751"/>
  <c r="S4750"/>
  <c r="S4749"/>
  <c r="S4748"/>
  <c r="S4747"/>
  <c r="S4746"/>
  <c r="S4745"/>
  <c r="S4744"/>
  <c r="S4743"/>
  <c r="S4742"/>
  <c r="S4741"/>
  <c r="S4740"/>
  <c r="S4739"/>
  <c r="S4738"/>
  <c r="S4737"/>
  <c r="S4736"/>
  <c r="S4735"/>
  <c r="S4734"/>
  <c r="S4733"/>
  <c r="S4732"/>
  <c r="S4731"/>
  <c r="S4730"/>
  <c r="S4729"/>
  <c r="S4728"/>
  <c r="S4727"/>
  <c r="S4726"/>
  <c r="S4725"/>
  <c r="S4724"/>
  <c r="S4723"/>
  <c r="S4722"/>
  <c r="S4721"/>
  <c r="S4720"/>
  <c r="S4719"/>
  <c r="S4718"/>
  <c r="S4717"/>
  <c r="S4716"/>
  <c r="S4715"/>
  <c r="S4714"/>
  <c r="S4713"/>
  <c r="S4712"/>
  <c r="S4711"/>
  <c r="S4710"/>
  <c r="S4709"/>
  <c r="S4708"/>
  <c r="S4707"/>
  <c r="S4706"/>
  <c r="S4705"/>
  <c r="S4704"/>
  <c r="S4703"/>
  <c r="S4702"/>
  <c r="S4701"/>
  <c r="S4700"/>
  <c r="S4699"/>
  <c r="S4698"/>
  <c r="S4697"/>
  <c r="S4696"/>
  <c r="S4695"/>
  <c r="S4694"/>
  <c r="S4693"/>
  <c r="S4692"/>
  <c r="S4691"/>
  <c r="S4690"/>
  <c r="S4689"/>
  <c r="S4688"/>
  <c r="S4687"/>
  <c r="S4686"/>
  <c r="S4685"/>
  <c r="S4684"/>
  <c r="S4683"/>
  <c r="S4682"/>
  <c r="S4681"/>
  <c r="S4680"/>
  <c r="S4679"/>
  <c r="S4678"/>
  <c r="S4677"/>
  <c r="S4676"/>
  <c r="S4675"/>
  <c r="S4674"/>
  <c r="S4673"/>
  <c r="S4672"/>
  <c r="S4671"/>
  <c r="S4670"/>
  <c r="S4669"/>
  <c r="S4668"/>
  <c r="S4667"/>
  <c r="S4666"/>
  <c r="S4665"/>
  <c r="S4664"/>
  <c r="S4663"/>
  <c r="S4662"/>
  <c r="S4661"/>
  <c r="S4660"/>
  <c r="S4659"/>
  <c r="S4658"/>
  <c r="S4657"/>
  <c r="S4656"/>
  <c r="S4655"/>
  <c r="S4654"/>
  <c r="S4653"/>
  <c r="S4652"/>
  <c r="S4651"/>
  <c r="S4650"/>
  <c r="S4649"/>
  <c r="S4648"/>
  <c r="S4647"/>
  <c r="S4646"/>
  <c r="S4645"/>
  <c r="S4644"/>
  <c r="S4643"/>
  <c r="S4642"/>
  <c r="S4641"/>
  <c r="S4640"/>
  <c r="S4639"/>
  <c r="S4638"/>
  <c r="S4637"/>
  <c r="S4636"/>
  <c r="S4635"/>
  <c r="S4634"/>
  <c r="S4633"/>
  <c r="S4632"/>
  <c r="S4631"/>
  <c r="S4630"/>
  <c r="S4629"/>
  <c r="S4628"/>
  <c r="S4627"/>
  <c r="S4626"/>
  <c r="S4625"/>
  <c r="S4624"/>
  <c r="S4623"/>
  <c r="S4622"/>
  <c r="S4621"/>
  <c r="S4620"/>
  <c r="S4619"/>
  <c r="S4618"/>
  <c r="S4617"/>
  <c r="S4616"/>
  <c r="S4615"/>
  <c r="S4614"/>
  <c r="S4613"/>
  <c r="S4612"/>
  <c r="S4611"/>
  <c r="S4610"/>
  <c r="S4609"/>
  <c r="S4608"/>
  <c r="S4607"/>
  <c r="S4606"/>
  <c r="S4605"/>
  <c r="S4604"/>
  <c r="S4603"/>
  <c r="S4602"/>
  <c r="S4601"/>
  <c r="S4600"/>
  <c r="S4599"/>
  <c r="S4598"/>
  <c r="S4597"/>
  <c r="S4596"/>
  <c r="S4595"/>
  <c r="S4594"/>
  <c r="S4593"/>
  <c r="S4592"/>
  <c r="S4591"/>
  <c r="S4590"/>
  <c r="S4589"/>
  <c r="S4588"/>
  <c r="S4587"/>
  <c r="S4586"/>
  <c r="S4585"/>
  <c r="S4584"/>
  <c r="S4583"/>
  <c r="S4582"/>
  <c r="S4581"/>
  <c r="S4580"/>
  <c r="S4579"/>
  <c r="S4578"/>
  <c r="S4577"/>
  <c r="S4576"/>
  <c r="S4575"/>
  <c r="S4574"/>
  <c r="S4573"/>
  <c r="S4572"/>
  <c r="S4571"/>
  <c r="S4570"/>
  <c r="S4569"/>
  <c r="S4568"/>
  <c r="S4567"/>
  <c r="S4566"/>
  <c r="S4565"/>
  <c r="S4564"/>
  <c r="S4563"/>
  <c r="S4562"/>
  <c r="S4561"/>
  <c r="S4560"/>
  <c r="S4559"/>
  <c r="S4558"/>
  <c r="S4557"/>
  <c r="S4556"/>
  <c r="S4555"/>
  <c r="S4554"/>
  <c r="S4553"/>
  <c r="S4552"/>
  <c r="S4551"/>
  <c r="S4550"/>
  <c r="S4549"/>
  <c r="S4548"/>
  <c r="S4547"/>
  <c r="S4546"/>
  <c r="S4545"/>
  <c r="S4544"/>
  <c r="S4543"/>
  <c r="S4542"/>
  <c r="S4541"/>
  <c r="S4540"/>
  <c r="S4539"/>
  <c r="S4538"/>
  <c r="S4537"/>
  <c r="S4536"/>
  <c r="S4535"/>
  <c r="S4534"/>
  <c r="S4533"/>
  <c r="S4532"/>
  <c r="S4531"/>
  <c r="S4530"/>
  <c r="S4529"/>
  <c r="S4528"/>
  <c r="S4527"/>
  <c r="S4526"/>
  <c r="S4525"/>
  <c r="S4524"/>
  <c r="S4523"/>
  <c r="S4522"/>
  <c r="S4521"/>
  <c r="S4520"/>
  <c r="S4519"/>
  <c r="S4518"/>
  <c r="S4517"/>
  <c r="S4516"/>
  <c r="S4515"/>
  <c r="S4514"/>
  <c r="S4513"/>
  <c r="S4512"/>
  <c r="S4511"/>
  <c r="S4510"/>
  <c r="S4509"/>
  <c r="S4508"/>
  <c r="S4507"/>
  <c r="S4506"/>
  <c r="S4505"/>
  <c r="S4504"/>
  <c r="S4503"/>
  <c r="S4502"/>
  <c r="S4501"/>
  <c r="S4500"/>
  <c r="S4499"/>
  <c r="S4498"/>
  <c r="S4497"/>
  <c r="S4496"/>
  <c r="S4495"/>
  <c r="S4494"/>
  <c r="S4493"/>
  <c r="S4492"/>
  <c r="S4491"/>
  <c r="S4490"/>
  <c r="S4489"/>
  <c r="S4488"/>
  <c r="S4487"/>
  <c r="S4486"/>
  <c r="S4485"/>
  <c r="S4484"/>
  <c r="S4483"/>
  <c r="S4482"/>
  <c r="S4481"/>
  <c r="S4480"/>
  <c r="S4479"/>
  <c r="S4478"/>
  <c r="S4477"/>
  <c r="S4476"/>
  <c r="S4475"/>
  <c r="S4474"/>
  <c r="S4473"/>
  <c r="S4472"/>
  <c r="S4471"/>
  <c r="S4470"/>
  <c r="S4469"/>
  <c r="S4468"/>
  <c r="S4467"/>
  <c r="S4466"/>
  <c r="S4465"/>
  <c r="S4464"/>
  <c r="S4463"/>
  <c r="S4462"/>
  <c r="S4461"/>
  <c r="S4460"/>
  <c r="S4459"/>
  <c r="S4458"/>
  <c r="S4457"/>
  <c r="S4456"/>
  <c r="S4455"/>
  <c r="S4454"/>
  <c r="S4453"/>
  <c r="S4452"/>
  <c r="S4451"/>
  <c r="S4450"/>
  <c r="S4449"/>
  <c r="S4448"/>
  <c r="S4447"/>
  <c r="S4446"/>
  <c r="S4445"/>
  <c r="S4444"/>
  <c r="S4443"/>
  <c r="S4442"/>
  <c r="S4441"/>
  <c r="S4440"/>
  <c r="S4439"/>
  <c r="S4438"/>
  <c r="S4437"/>
  <c r="S4436"/>
  <c r="S4435"/>
  <c r="S4434"/>
  <c r="S4433"/>
  <c r="S4432"/>
  <c r="S4431"/>
  <c r="S4430"/>
  <c r="S4429"/>
  <c r="S4428"/>
  <c r="S4427"/>
  <c r="S4426"/>
  <c r="S4425"/>
  <c r="S4424"/>
  <c r="S4423"/>
  <c r="S4422"/>
  <c r="S4421"/>
  <c r="S4420"/>
  <c r="S4419"/>
  <c r="S4418"/>
  <c r="S4417"/>
  <c r="S4416"/>
  <c r="S4415"/>
  <c r="S4414"/>
  <c r="S4413"/>
  <c r="S4412"/>
  <c r="S4411"/>
  <c r="S4410"/>
  <c r="S4409"/>
  <c r="S4408"/>
  <c r="S4407"/>
  <c r="S4406"/>
  <c r="S4405"/>
  <c r="S4404"/>
  <c r="S4403"/>
  <c r="S4402"/>
  <c r="S4401"/>
  <c r="S4400"/>
  <c r="S4399"/>
  <c r="S4398"/>
  <c r="S4397"/>
  <c r="S4396"/>
  <c r="S4395"/>
  <c r="S4394"/>
  <c r="S4393"/>
  <c r="S4392"/>
  <c r="S4391"/>
  <c r="S4390"/>
  <c r="S4389"/>
  <c r="S4388"/>
  <c r="S4387"/>
  <c r="S4386"/>
  <c r="S4385"/>
  <c r="S4384"/>
  <c r="S4383"/>
  <c r="S4382"/>
  <c r="S4381"/>
  <c r="S4380"/>
  <c r="S4379"/>
  <c r="S4378"/>
  <c r="S4377"/>
  <c r="S4376"/>
  <c r="S4375"/>
  <c r="S4374"/>
  <c r="S4373"/>
  <c r="S4372"/>
  <c r="S4371"/>
  <c r="S4370"/>
  <c r="S4369"/>
  <c r="S4368"/>
  <c r="S4367"/>
  <c r="S4366"/>
  <c r="S4365"/>
  <c r="S4364"/>
  <c r="S4363"/>
  <c r="S4362"/>
  <c r="S4361"/>
  <c r="S4360"/>
  <c r="S4359"/>
  <c r="S4358"/>
  <c r="S4357"/>
  <c r="S4356"/>
  <c r="S4355"/>
  <c r="S4354"/>
  <c r="S4353"/>
  <c r="S4352"/>
  <c r="S4351"/>
  <c r="S4350"/>
  <c r="S4349"/>
  <c r="S4348"/>
  <c r="S4347"/>
  <c r="S4346"/>
  <c r="S4345"/>
  <c r="S4344"/>
  <c r="S4343"/>
  <c r="S4342"/>
  <c r="S4341"/>
  <c r="S4340"/>
  <c r="S4339"/>
  <c r="S4338"/>
  <c r="S4337"/>
  <c r="S4336"/>
  <c r="S4335"/>
  <c r="S4334"/>
  <c r="S4333"/>
  <c r="S4332"/>
  <c r="S4331"/>
  <c r="S4330"/>
  <c r="S4329"/>
  <c r="S4328"/>
  <c r="S4327"/>
  <c r="S4326"/>
  <c r="S4325"/>
  <c r="S4324"/>
  <c r="S4323"/>
  <c r="S4322"/>
  <c r="S4321"/>
  <c r="S4320"/>
  <c r="S4319"/>
  <c r="S4318"/>
  <c r="S4317"/>
  <c r="S4316"/>
  <c r="S4315"/>
  <c r="S4314"/>
  <c r="S4313"/>
  <c r="S4312"/>
  <c r="S4311"/>
  <c r="S4310"/>
  <c r="S4309"/>
  <c r="S4308"/>
  <c r="S4307"/>
  <c r="S4306"/>
  <c r="S4305"/>
  <c r="S4304"/>
  <c r="S4303"/>
  <c r="S4302"/>
  <c r="S4301"/>
  <c r="S4300"/>
  <c r="S4299"/>
  <c r="S4298"/>
  <c r="S4297"/>
  <c r="S4296"/>
  <c r="S4295"/>
  <c r="S4294"/>
  <c r="S4293"/>
  <c r="S4292"/>
  <c r="S4291"/>
  <c r="S4290"/>
  <c r="S4289"/>
  <c r="S4288"/>
  <c r="S4287"/>
  <c r="S4286"/>
  <c r="S4285"/>
  <c r="S4284"/>
  <c r="S4283"/>
  <c r="S4282"/>
  <c r="S4281"/>
  <c r="S4280"/>
  <c r="S4279"/>
  <c r="S4278"/>
  <c r="S4277"/>
  <c r="S4276"/>
  <c r="S4275"/>
  <c r="S4274"/>
  <c r="S4273"/>
  <c r="S4272"/>
  <c r="S4271"/>
  <c r="S4270"/>
  <c r="S4269"/>
  <c r="S4268"/>
  <c r="S4267"/>
  <c r="S4266"/>
  <c r="S4265"/>
  <c r="S4264"/>
  <c r="S4263"/>
  <c r="S4262"/>
  <c r="S4261"/>
  <c r="S4260"/>
  <c r="S4259"/>
  <c r="S4258"/>
  <c r="S4257"/>
  <c r="S4256"/>
  <c r="S4255"/>
  <c r="S4254"/>
  <c r="S4253"/>
  <c r="S4252"/>
  <c r="S4251"/>
  <c r="S4250"/>
  <c r="S4249"/>
  <c r="S4248"/>
  <c r="S4247"/>
  <c r="S4246"/>
  <c r="S4245"/>
  <c r="S4244"/>
  <c r="S4243"/>
  <c r="S4242"/>
  <c r="S4241"/>
  <c r="S4240"/>
  <c r="S4239"/>
  <c r="S4238"/>
  <c r="S4237"/>
  <c r="S4236"/>
  <c r="S4235"/>
  <c r="S4234"/>
  <c r="S4233"/>
  <c r="S4232"/>
  <c r="S4231"/>
  <c r="S4230"/>
  <c r="S4229"/>
  <c r="S4228"/>
  <c r="S4227"/>
  <c r="S4226"/>
  <c r="S4225"/>
  <c r="S4224"/>
  <c r="S4223"/>
  <c r="S4222"/>
  <c r="S4221"/>
  <c r="S4220"/>
  <c r="S4219"/>
  <c r="S4218"/>
  <c r="S4217"/>
  <c r="S4216"/>
  <c r="S4215"/>
  <c r="S4214"/>
  <c r="S4213"/>
  <c r="S4212"/>
  <c r="S4211"/>
  <c r="S4210"/>
  <c r="S4209"/>
  <c r="S4208"/>
  <c r="S4207"/>
  <c r="S4206"/>
  <c r="S4205"/>
  <c r="S4204"/>
  <c r="S4203"/>
  <c r="S4202"/>
  <c r="S4201"/>
  <c r="S4200"/>
  <c r="S4199"/>
  <c r="S4198"/>
  <c r="S4197"/>
  <c r="S4196"/>
  <c r="S4195"/>
  <c r="S4194"/>
  <c r="S4193"/>
  <c r="S4192"/>
  <c r="S4191"/>
  <c r="S4190"/>
  <c r="S4189"/>
  <c r="S4188"/>
  <c r="S4187"/>
  <c r="S4186"/>
  <c r="S4185"/>
  <c r="S4184"/>
  <c r="S4183"/>
  <c r="S4182"/>
  <c r="S4181"/>
  <c r="S4180"/>
  <c r="S4179"/>
  <c r="S4178"/>
  <c r="S4177"/>
  <c r="S4176"/>
  <c r="S4175"/>
  <c r="S4174"/>
  <c r="S4173"/>
  <c r="S4172"/>
  <c r="S4171"/>
  <c r="S4170"/>
  <c r="S4169"/>
  <c r="S4168"/>
  <c r="S4167"/>
  <c r="S4166"/>
  <c r="S4165"/>
  <c r="S4164"/>
  <c r="S4163"/>
  <c r="S4162"/>
  <c r="S4161"/>
  <c r="S4160"/>
  <c r="S4159"/>
  <c r="S4158"/>
  <c r="S4157"/>
  <c r="S4156"/>
  <c r="S4155"/>
  <c r="S4154"/>
  <c r="S4153"/>
  <c r="S4152"/>
  <c r="S4151"/>
  <c r="S4150"/>
  <c r="S4149"/>
  <c r="S4148"/>
  <c r="S4147"/>
  <c r="S4146"/>
  <c r="S4145"/>
  <c r="S4144"/>
  <c r="S4143"/>
  <c r="S4142"/>
  <c r="S4141"/>
  <c r="S4140"/>
  <c r="S4139"/>
  <c r="S4138"/>
  <c r="S4137"/>
  <c r="S4136"/>
  <c r="S4135"/>
  <c r="S4134"/>
  <c r="S4133"/>
  <c r="S4132"/>
  <c r="S4131"/>
  <c r="S4130"/>
  <c r="S4129"/>
  <c r="S4128"/>
  <c r="S4127"/>
  <c r="S4126"/>
  <c r="S4125"/>
  <c r="S4124"/>
  <c r="S4123"/>
  <c r="S4122"/>
  <c r="S4121"/>
  <c r="S4120"/>
  <c r="S4119"/>
  <c r="S4118"/>
  <c r="S4117"/>
  <c r="S4116"/>
  <c r="S4115"/>
  <c r="S4114"/>
  <c r="S4113"/>
  <c r="S4112"/>
  <c r="S4111"/>
  <c r="S4110"/>
  <c r="S4109"/>
  <c r="S4108"/>
  <c r="S4107"/>
  <c r="S4106"/>
  <c r="S4105"/>
  <c r="S4104"/>
  <c r="S4103"/>
  <c r="S4102"/>
  <c r="S4101"/>
  <c r="S4100"/>
  <c r="S4099"/>
  <c r="S4098"/>
  <c r="S4097"/>
  <c r="S4096"/>
  <c r="S4095"/>
  <c r="S4094"/>
  <c r="S4093"/>
  <c r="S4092"/>
  <c r="S4091"/>
  <c r="S4090"/>
  <c r="S4089"/>
  <c r="S4088"/>
  <c r="S4087"/>
  <c r="S4086"/>
  <c r="S4085"/>
  <c r="S4084"/>
  <c r="S4083"/>
  <c r="S4082"/>
  <c r="S4081"/>
  <c r="S4080"/>
  <c r="S4079"/>
  <c r="S4078"/>
  <c r="S4077"/>
  <c r="S4076"/>
  <c r="S4075"/>
  <c r="S4074"/>
  <c r="S4073"/>
  <c r="S4072"/>
  <c r="S4071"/>
  <c r="S4070"/>
  <c r="S4069"/>
  <c r="S4068"/>
  <c r="S4067"/>
  <c r="S4066"/>
  <c r="S4065"/>
  <c r="S4064"/>
  <c r="S4063"/>
  <c r="S4062"/>
  <c r="S4061"/>
  <c r="S4060"/>
  <c r="S4059"/>
  <c r="S4058"/>
  <c r="S4057"/>
  <c r="S4056"/>
  <c r="S4055"/>
  <c r="S4054"/>
  <c r="S4053"/>
  <c r="S4052"/>
  <c r="S4051"/>
  <c r="S4050"/>
  <c r="S4049"/>
  <c r="S4048"/>
  <c r="S4047"/>
  <c r="S4046"/>
  <c r="S4045"/>
  <c r="S4044"/>
  <c r="S4043"/>
  <c r="S4042"/>
  <c r="S4041"/>
  <c r="S4040"/>
  <c r="S4039"/>
  <c r="S4038"/>
  <c r="S4037"/>
  <c r="S4036"/>
  <c r="S4035"/>
  <c r="S4034"/>
  <c r="S4033"/>
  <c r="S4032"/>
  <c r="S4031"/>
  <c r="S4030"/>
  <c r="S4029"/>
  <c r="S4028"/>
  <c r="S4027"/>
  <c r="S4026"/>
  <c r="S4025"/>
  <c r="S4024"/>
  <c r="S4023"/>
  <c r="S4022"/>
  <c r="S4021"/>
  <c r="S4020"/>
  <c r="S4019"/>
  <c r="S4018"/>
  <c r="S4017"/>
  <c r="S4016"/>
  <c r="S4015"/>
  <c r="S4014"/>
  <c r="S4013"/>
  <c r="S4012"/>
  <c r="S4011"/>
  <c r="S4010"/>
  <c r="S4009"/>
  <c r="S4008"/>
  <c r="S4007"/>
  <c r="S4006"/>
  <c r="S4005"/>
  <c r="S4004"/>
  <c r="S4003"/>
  <c r="S4002"/>
  <c r="S4001"/>
  <c r="S4000"/>
  <c r="S3999"/>
  <c r="S3998"/>
  <c r="S3997"/>
  <c r="S3996"/>
  <c r="S3995"/>
  <c r="S3994"/>
  <c r="S3993"/>
  <c r="S3992"/>
  <c r="S3991"/>
  <c r="S3990"/>
  <c r="S3989"/>
  <c r="S3988"/>
  <c r="S3987"/>
  <c r="S3986"/>
  <c r="S3985"/>
  <c r="S3984"/>
  <c r="S3983"/>
  <c r="S3982"/>
  <c r="S3981"/>
  <c r="S3980"/>
  <c r="S3979"/>
  <c r="S3978"/>
  <c r="S3977"/>
  <c r="S3976"/>
  <c r="S3975"/>
  <c r="S3974"/>
  <c r="S3973"/>
  <c r="S3972"/>
  <c r="S3971"/>
  <c r="S3970"/>
  <c r="S3969"/>
  <c r="S3968"/>
  <c r="S3967"/>
  <c r="S3966"/>
  <c r="S3965"/>
  <c r="S3964"/>
  <c r="S3963"/>
  <c r="S3962"/>
  <c r="S3961"/>
  <c r="S3960"/>
  <c r="S3959"/>
  <c r="S3958"/>
  <c r="S3957"/>
  <c r="S3956"/>
  <c r="S3955"/>
  <c r="S3954"/>
  <c r="S3953"/>
  <c r="S3952"/>
  <c r="S3951"/>
  <c r="S3950"/>
  <c r="S3949"/>
  <c r="S3948"/>
  <c r="S3947"/>
  <c r="S3946"/>
  <c r="S3945"/>
  <c r="S3944"/>
  <c r="S3943"/>
  <c r="S3942"/>
  <c r="S3941"/>
  <c r="S3940"/>
  <c r="S3939"/>
  <c r="S3938"/>
  <c r="S3937"/>
  <c r="S3936"/>
  <c r="S3935"/>
  <c r="S3934"/>
  <c r="S3933"/>
  <c r="S3932"/>
  <c r="S3931"/>
  <c r="S3930"/>
  <c r="S3929"/>
  <c r="S3928"/>
  <c r="S3927"/>
  <c r="S3926"/>
  <c r="S3925"/>
  <c r="S3924"/>
  <c r="S3923"/>
  <c r="S3922"/>
  <c r="S3921"/>
  <c r="S3920"/>
  <c r="S3919"/>
  <c r="S3918"/>
  <c r="S3917"/>
  <c r="S3916"/>
  <c r="S3915"/>
  <c r="S3914"/>
  <c r="S3913"/>
  <c r="S3912"/>
  <c r="S3911"/>
  <c r="S3910"/>
  <c r="S3909"/>
  <c r="S3908"/>
  <c r="S3907"/>
  <c r="S3906"/>
  <c r="S3905"/>
  <c r="S3904"/>
  <c r="S3903"/>
  <c r="S3902"/>
  <c r="S3901"/>
  <c r="S3900"/>
  <c r="S3899"/>
  <c r="S3898"/>
  <c r="S3897"/>
  <c r="S3896"/>
  <c r="S3895"/>
  <c r="S3894"/>
  <c r="S3893"/>
  <c r="S3892"/>
  <c r="S3891"/>
  <c r="S3890"/>
  <c r="S3889"/>
  <c r="S3888"/>
  <c r="S3887"/>
  <c r="S3886"/>
  <c r="S3885"/>
  <c r="S3884"/>
  <c r="S3883"/>
  <c r="S3882"/>
  <c r="S3881"/>
  <c r="S3880"/>
  <c r="S3879"/>
  <c r="S3878"/>
  <c r="S3877"/>
  <c r="S3876"/>
  <c r="S3875"/>
  <c r="S3874"/>
  <c r="S3873"/>
  <c r="S3872"/>
  <c r="S3871"/>
  <c r="S3870"/>
  <c r="S3869"/>
  <c r="S3868"/>
  <c r="S3867"/>
  <c r="S3866"/>
  <c r="S3865"/>
  <c r="S3864"/>
  <c r="S3863"/>
  <c r="S3862"/>
  <c r="S3861"/>
  <c r="S3860"/>
  <c r="S3859"/>
  <c r="S3858"/>
  <c r="S3857"/>
  <c r="S3856"/>
  <c r="S3855"/>
  <c r="S3854"/>
  <c r="S3853"/>
  <c r="S3852"/>
  <c r="S3851"/>
  <c r="S3850"/>
  <c r="S3849"/>
  <c r="S3848"/>
  <c r="S3847"/>
  <c r="S3846"/>
  <c r="S3845"/>
  <c r="S3844"/>
  <c r="S3843"/>
  <c r="S3842"/>
  <c r="S3841"/>
  <c r="S3840"/>
  <c r="S3839"/>
  <c r="S3838"/>
  <c r="S3837"/>
  <c r="S3836"/>
  <c r="S3835"/>
  <c r="S3834"/>
  <c r="S3833"/>
  <c r="S3832"/>
  <c r="S3831"/>
  <c r="S3830"/>
  <c r="S3829"/>
  <c r="S3828"/>
  <c r="S3827"/>
  <c r="S3826"/>
  <c r="S3825"/>
  <c r="S3824"/>
  <c r="S3823"/>
  <c r="S3822"/>
  <c r="S3821"/>
  <c r="S3820"/>
  <c r="S3819"/>
  <c r="S3818"/>
  <c r="S3817"/>
  <c r="S3816"/>
  <c r="S3815"/>
  <c r="S3814"/>
  <c r="S3813"/>
  <c r="S3812"/>
  <c r="S3811"/>
  <c r="S3810"/>
  <c r="S3809"/>
  <c r="S3808"/>
  <c r="S3807"/>
  <c r="S3806"/>
  <c r="S3805"/>
  <c r="S3804"/>
  <c r="S3803"/>
  <c r="S3802"/>
  <c r="S3801"/>
  <c r="S3800"/>
  <c r="S3799"/>
  <c r="S3798"/>
  <c r="S3797"/>
  <c r="S3796"/>
  <c r="S3795"/>
  <c r="S3794"/>
  <c r="S3793"/>
  <c r="S3792"/>
  <c r="S3791"/>
  <c r="S3790"/>
  <c r="S3789"/>
  <c r="S3788"/>
  <c r="S3787"/>
  <c r="S3786"/>
  <c r="S3785"/>
  <c r="S3784"/>
  <c r="S3783"/>
  <c r="S3782"/>
  <c r="S3781"/>
  <c r="S3780"/>
  <c r="S3779"/>
  <c r="S3778"/>
  <c r="S3777"/>
  <c r="S3776"/>
  <c r="S3775"/>
  <c r="S3774"/>
  <c r="S3773"/>
  <c r="S3772"/>
  <c r="S3771"/>
  <c r="S3770"/>
  <c r="S3769"/>
  <c r="S3768"/>
  <c r="S3767"/>
  <c r="S3766"/>
  <c r="S3765"/>
  <c r="S3764"/>
  <c r="S3763"/>
  <c r="S3762"/>
  <c r="S3761"/>
  <c r="S3760"/>
  <c r="S3759"/>
  <c r="S3758"/>
  <c r="S3757"/>
  <c r="S3756"/>
  <c r="S3755"/>
  <c r="S3754"/>
  <c r="S3753"/>
  <c r="S3752"/>
  <c r="S3751"/>
  <c r="S3750"/>
  <c r="S3749"/>
  <c r="S3748"/>
  <c r="S3747"/>
  <c r="S3746"/>
  <c r="S3745"/>
  <c r="S3744"/>
  <c r="S3743"/>
  <c r="S3742"/>
  <c r="S3741"/>
  <c r="S3740"/>
  <c r="S3739"/>
  <c r="S3738"/>
  <c r="S3737"/>
  <c r="S3736"/>
  <c r="S3735"/>
  <c r="S3734"/>
  <c r="S3733"/>
  <c r="S3732"/>
  <c r="S3731"/>
  <c r="S3730"/>
  <c r="S3729"/>
  <c r="S3728"/>
  <c r="S3727"/>
  <c r="S3726"/>
  <c r="S3725"/>
  <c r="S3724"/>
  <c r="S3723"/>
  <c r="S3722"/>
  <c r="S3721"/>
  <c r="S3720"/>
  <c r="S3719"/>
  <c r="S3718"/>
  <c r="S3717"/>
  <c r="S3716"/>
  <c r="S3715"/>
  <c r="S3714"/>
  <c r="S3713"/>
  <c r="S3712"/>
  <c r="S3711"/>
  <c r="S3710"/>
  <c r="S3709"/>
  <c r="S3708"/>
  <c r="S3707"/>
  <c r="S3706"/>
  <c r="S3705"/>
  <c r="S3704"/>
  <c r="S3703"/>
  <c r="S3702"/>
  <c r="S3701"/>
  <c r="S3700"/>
  <c r="S3699"/>
  <c r="S3698"/>
  <c r="S3697"/>
  <c r="S3696"/>
  <c r="S3695"/>
  <c r="S3694"/>
  <c r="S3693"/>
  <c r="S3692"/>
  <c r="S3691"/>
  <c r="S3690"/>
  <c r="S3689"/>
  <c r="S3688"/>
  <c r="S3687"/>
  <c r="S3686"/>
  <c r="S3685"/>
  <c r="S3684"/>
  <c r="S3683"/>
  <c r="S3682"/>
  <c r="S3681"/>
  <c r="S3680"/>
  <c r="S3679"/>
  <c r="S3678"/>
  <c r="S3677"/>
  <c r="S3676"/>
  <c r="S3675"/>
  <c r="S3674"/>
  <c r="S3673"/>
  <c r="S3672"/>
  <c r="S3671"/>
  <c r="S3670"/>
  <c r="S3669"/>
  <c r="S3668"/>
  <c r="S3667"/>
  <c r="S3666"/>
  <c r="S3665"/>
  <c r="S3664"/>
  <c r="S3663"/>
  <c r="S3662"/>
  <c r="S3661"/>
  <c r="S3660"/>
  <c r="S3659"/>
  <c r="S3658"/>
  <c r="S3657"/>
  <c r="S3656"/>
  <c r="S3655"/>
  <c r="S3654"/>
  <c r="S3653"/>
  <c r="S3652"/>
  <c r="S3651"/>
  <c r="S3650"/>
  <c r="S3649"/>
  <c r="S3648"/>
  <c r="S3647"/>
  <c r="S3646"/>
  <c r="S3645"/>
  <c r="S3644"/>
  <c r="S3643"/>
  <c r="S3642"/>
  <c r="S3641"/>
  <c r="S3640"/>
  <c r="S3639"/>
  <c r="S3638"/>
  <c r="S3637"/>
  <c r="S3636"/>
  <c r="S3635"/>
  <c r="S3634"/>
  <c r="S3633"/>
  <c r="S3632"/>
  <c r="S3631"/>
  <c r="S3630"/>
  <c r="S3629"/>
  <c r="S3628"/>
  <c r="S3627"/>
  <c r="S3626"/>
  <c r="S3625"/>
  <c r="S3624"/>
  <c r="S3623"/>
  <c r="S3622"/>
  <c r="S3621"/>
  <c r="S3620"/>
  <c r="S3619"/>
  <c r="S3618"/>
  <c r="S3617"/>
  <c r="S3616"/>
  <c r="S3615"/>
  <c r="S3614"/>
  <c r="S3613"/>
  <c r="S3612"/>
  <c r="S3611"/>
  <c r="S3610"/>
  <c r="S3609"/>
  <c r="S3608"/>
  <c r="S3607"/>
  <c r="S3606"/>
  <c r="S3605"/>
  <c r="S3604"/>
  <c r="S3603"/>
  <c r="S3602"/>
  <c r="S3601"/>
  <c r="S3600"/>
  <c r="S3599"/>
  <c r="S3598"/>
  <c r="S3597"/>
  <c r="S3596"/>
  <c r="S3595"/>
  <c r="S3594"/>
  <c r="S3593"/>
  <c r="S3592"/>
  <c r="S3591"/>
  <c r="S3590"/>
  <c r="S3589"/>
  <c r="S3588"/>
  <c r="S3587"/>
  <c r="S3586"/>
  <c r="S3585"/>
  <c r="S3584"/>
  <c r="S3583"/>
  <c r="S3582"/>
  <c r="S3581"/>
  <c r="S3580"/>
  <c r="S3579"/>
  <c r="S3578"/>
  <c r="S3577"/>
  <c r="S3576"/>
  <c r="S3575"/>
  <c r="S3574"/>
  <c r="S3573"/>
  <c r="S3572"/>
  <c r="S3571"/>
  <c r="S3570"/>
  <c r="S3569"/>
  <c r="S3568"/>
  <c r="S3567"/>
  <c r="S3566"/>
  <c r="S3565"/>
  <c r="S3564"/>
  <c r="S3563"/>
  <c r="S3562"/>
  <c r="S3561"/>
  <c r="S3560"/>
  <c r="S3559"/>
  <c r="S3558"/>
  <c r="S3557"/>
  <c r="S3556"/>
  <c r="S3555"/>
  <c r="S3554"/>
  <c r="S3553"/>
  <c r="S3552"/>
  <c r="S3551"/>
  <c r="S3550"/>
  <c r="S3549"/>
  <c r="S3548"/>
  <c r="S3547"/>
  <c r="S3546"/>
  <c r="S3545"/>
  <c r="S3544"/>
  <c r="S3543"/>
  <c r="S3542"/>
  <c r="S3541"/>
  <c r="S3540"/>
  <c r="S3539"/>
  <c r="S3538"/>
  <c r="S3537"/>
  <c r="S3536"/>
  <c r="S3535"/>
  <c r="S3534"/>
  <c r="S3533"/>
  <c r="S3532"/>
  <c r="S3531"/>
  <c r="S3530"/>
  <c r="S3529"/>
  <c r="S3528"/>
  <c r="S3527"/>
  <c r="S3526"/>
  <c r="S3525"/>
  <c r="S3524"/>
  <c r="S3523"/>
  <c r="S3522"/>
  <c r="S3521"/>
  <c r="S3520"/>
  <c r="S3519"/>
  <c r="S3518"/>
  <c r="S3517"/>
  <c r="S3516"/>
  <c r="S3515"/>
  <c r="S3514"/>
  <c r="S3513"/>
  <c r="S3512"/>
  <c r="S3511"/>
  <c r="S3510"/>
  <c r="S3509"/>
  <c r="S3508"/>
  <c r="S3507"/>
  <c r="S3506"/>
  <c r="S3505"/>
  <c r="S3504"/>
  <c r="S3503"/>
  <c r="S3502"/>
  <c r="S3501"/>
  <c r="S3500"/>
  <c r="S3499"/>
  <c r="S3498"/>
  <c r="S3497"/>
  <c r="S3496"/>
  <c r="S3495"/>
  <c r="S3494"/>
  <c r="S3493"/>
  <c r="S3492"/>
  <c r="S3491"/>
  <c r="S3490"/>
  <c r="S3489"/>
  <c r="S3488"/>
  <c r="S3487"/>
  <c r="S3486"/>
  <c r="S3485"/>
  <c r="S3484"/>
  <c r="S3483"/>
  <c r="S3482"/>
  <c r="S3481"/>
  <c r="S3480"/>
  <c r="S3479"/>
  <c r="S3478"/>
  <c r="S3477"/>
  <c r="S3476"/>
  <c r="S3475"/>
  <c r="S3474"/>
  <c r="S3473"/>
  <c r="S3472"/>
  <c r="S3471"/>
  <c r="S3470"/>
  <c r="S3469"/>
  <c r="S3468"/>
  <c r="S3467"/>
  <c r="S3466"/>
  <c r="S3465"/>
  <c r="S3464"/>
  <c r="S3463"/>
  <c r="S3462"/>
  <c r="S3461"/>
  <c r="S3460"/>
  <c r="S3459"/>
  <c r="S3458"/>
  <c r="S3457"/>
  <c r="S3456"/>
  <c r="S3455"/>
  <c r="S3454"/>
  <c r="S3453"/>
  <c r="S3452"/>
  <c r="S3451"/>
  <c r="S3450"/>
  <c r="S3449"/>
  <c r="S3448"/>
  <c r="S3447"/>
  <c r="S3446"/>
  <c r="S3445"/>
  <c r="S3444"/>
  <c r="S3443"/>
  <c r="S3442"/>
  <c r="S3441"/>
  <c r="S3440"/>
  <c r="S3439"/>
  <c r="S3438"/>
  <c r="S3437"/>
  <c r="S3436"/>
  <c r="S3435"/>
  <c r="S3434"/>
  <c r="S3433"/>
  <c r="S3432"/>
  <c r="S3431"/>
  <c r="S3430"/>
  <c r="S3429"/>
  <c r="S3428"/>
  <c r="S3427"/>
  <c r="S3426"/>
  <c r="S3425"/>
  <c r="S3424"/>
  <c r="S3423"/>
  <c r="S3422"/>
  <c r="S3421"/>
  <c r="S3420"/>
  <c r="S3419"/>
  <c r="S3418"/>
  <c r="S3417"/>
  <c r="S3416"/>
  <c r="S3415"/>
  <c r="S3414"/>
  <c r="S3413"/>
  <c r="S3412"/>
  <c r="S3411"/>
  <c r="S3410"/>
  <c r="S3409"/>
  <c r="S3408"/>
  <c r="S3407"/>
  <c r="S3406"/>
  <c r="S3405"/>
  <c r="S3404"/>
  <c r="S3403"/>
  <c r="S3402"/>
  <c r="S3401"/>
  <c r="S3400"/>
  <c r="S3399"/>
  <c r="S3398"/>
  <c r="S3397"/>
  <c r="S3396"/>
  <c r="S3395"/>
  <c r="S3394"/>
  <c r="S3393"/>
  <c r="S3392"/>
  <c r="S3391"/>
  <c r="S3390"/>
  <c r="S3389"/>
  <c r="S3388"/>
  <c r="S3387"/>
  <c r="S3386"/>
  <c r="S3385"/>
  <c r="S3384"/>
  <c r="S3383"/>
  <c r="S3382"/>
  <c r="S3381"/>
  <c r="S3380"/>
  <c r="S3379"/>
  <c r="S3378"/>
  <c r="S3377"/>
  <c r="S3376"/>
  <c r="S3375"/>
  <c r="S3374"/>
  <c r="S3373"/>
  <c r="S3372"/>
  <c r="S3371"/>
  <c r="S3370"/>
  <c r="S3369"/>
  <c r="S3368"/>
  <c r="S3367"/>
  <c r="S3366"/>
  <c r="S3365"/>
  <c r="S3364"/>
  <c r="S3363"/>
  <c r="S3362"/>
  <c r="S3361"/>
  <c r="S3360"/>
  <c r="S3359"/>
  <c r="S3358"/>
  <c r="S3357"/>
  <c r="S3356"/>
  <c r="S3355"/>
  <c r="S3354"/>
  <c r="S3353"/>
  <c r="S3352"/>
  <c r="S3351"/>
  <c r="S3350"/>
  <c r="S3349"/>
  <c r="S3348"/>
  <c r="S3347"/>
  <c r="S3346"/>
  <c r="S3345"/>
  <c r="S3344"/>
  <c r="S3343"/>
  <c r="S3342"/>
  <c r="S3341"/>
  <c r="S3340"/>
  <c r="S3339"/>
  <c r="S3338"/>
  <c r="S3337"/>
  <c r="S3336"/>
  <c r="S3335"/>
  <c r="S3334"/>
  <c r="S3333"/>
  <c r="S3332"/>
  <c r="S3331"/>
  <c r="S3330"/>
  <c r="S3329"/>
  <c r="S3328"/>
  <c r="S3327"/>
  <c r="S3326"/>
  <c r="S3325"/>
  <c r="S3324"/>
  <c r="S3323"/>
  <c r="S3322"/>
  <c r="S3321"/>
  <c r="S3320"/>
  <c r="S3319"/>
  <c r="S3318"/>
  <c r="S3317"/>
  <c r="S3316"/>
  <c r="S3315"/>
  <c r="S3314"/>
  <c r="S3313"/>
  <c r="S3312"/>
  <c r="S3311"/>
  <c r="S3310"/>
  <c r="S3309"/>
  <c r="S3308"/>
  <c r="S3307"/>
  <c r="S3306"/>
  <c r="S3305"/>
  <c r="S3304"/>
  <c r="S3303"/>
  <c r="S3302"/>
  <c r="S3301"/>
  <c r="S3300"/>
  <c r="S3299"/>
  <c r="S3298"/>
  <c r="S3297"/>
  <c r="S3296"/>
  <c r="S3295"/>
  <c r="S3294"/>
  <c r="S3293"/>
  <c r="S3292"/>
  <c r="S3291"/>
  <c r="S3290"/>
  <c r="S3289"/>
  <c r="S3288"/>
  <c r="S3287"/>
  <c r="S3286"/>
  <c r="S3285"/>
  <c r="S3284"/>
  <c r="S3283"/>
  <c r="S3282"/>
  <c r="S3281"/>
  <c r="S3280"/>
  <c r="S3279"/>
  <c r="S3278"/>
  <c r="S3277"/>
  <c r="S3276"/>
  <c r="S3275"/>
  <c r="S3274"/>
  <c r="S3273"/>
  <c r="S3272"/>
  <c r="S3271"/>
  <c r="S3270"/>
  <c r="S3269"/>
  <c r="S3268"/>
  <c r="S3267"/>
  <c r="S3266"/>
  <c r="S3265"/>
  <c r="S3264"/>
  <c r="S3263"/>
  <c r="S3262"/>
  <c r="S3261"/>
  <c r="S3260"/>
  <c r="S3259"/>
  <c r="S3258"/>
  <c r="S3257"/>
  <c r="S3256"/>
  <c r="S3255"/>
  <c r="S3254"/>
  <c r="S3253"/>
  <c r="S3252"/>
  <c r="S3251"/>
  <c r="S3250"/>
  <c r="S3249"/>
  <c r="S3248"/>
  <c r="S3247"/>
  <c r="S3246"/>
  <c r="S3245"/>
  <c r="S3244"/>
  <c r="S3243"/>
  <c r="S3242"/>
  <c r="S3241"/>
  <c r="S3240"/>
  <c r="S3239"/>
  <c r="S3238"/>
  <c r="S3237"/>
  <c r="S3236"/>
  <c r="S3235"/>
  <c r="S3234"/>
  <c r="S3233"/>
  <c r="S3232"/>
  <c r="S3231"/>
  <c r="S3230"/>
  <c r="S3229"/>
  <c r="S3228"/>
  <c r="S3227"/>
  <c r="S3226"/>
  <c r="S3225"/>
  <c r="S3224"/>
  <c r="S3223"/>
  <c r="S3222"/>
  <c r="S3221"/>
  <c r="S3220"/>
  <c r="S3219"/>
  <c r="S3218"/>
  <c r="S3217"/>
  <c r="S3216"/>
  <c r="S3215"/>
  <c r="S3214"/>
  <c r="S3213"/>
  <c r="S3212"/>
  <c r="S3211"/>
  <c r="S3210"/>
  <c r="S3209"/>
  <c r="S3208"/>
  <c r="S3207"/>
  <c r="S3206"/>
  <c r="S3205"/>
  <c r="S3204"/>
  <c r="S3203"/>
  <c r="S3202"/>
  <c r="S3201"/>
  <c r="S3200"/>
  <c r="S3199"/>
  <c r="S3198"/>
  <c r="S3197"/>
  <c r="S3196"/>
  <c r="S3195"/>
  <c r="S3194"/>
  <c r="S3193"/>
  <c r="S3192"/>
  <c r="S3191"/>
  <c r="S3190"/>
  <c r="S3189"/>
  <c r="S3188"/>
  <c r="S3187"/>
  <c r="S3186"/>
  <c r="S3185"/>
  <c r="S3184"/>
  <c r="S3183"/>
  <c r="S3182"/>
  <c r="S3181"/>
  <c r="S3180"/>
  <c r="S3179"/>
  <c r="S3178"/>
  <c r="S3177"/>
  <c r="S3176"/>
  <c r="S3175"/>
  <c r="S3174"/>
  <c r="S3173"/>
  <c r="S3172"/>
  <c r="S3171"/>
  <c r="S3170"/>
  <c r="S3169"/>
  <c r="S3168"/>
  <c r="S3167"/>
  <c r="S3166"/>
  <c r="S3165"/>
  <c r="S3164"/>
  <c r="S3163"/>
  <c r="S3162"/>
  <c r="S3161"/>
  <c r="S3160"/>
  <c r="S3159"/>
  <c r="S3158"/>
  <c r="S3157"/>
  <c r="S3156"/>
  <c r="S3155"/>
  <c r="S3154"/>
  <c r="S3153"/>
  <c r="S3152"/>
  <c r="S3151"/>
  <c r="S3150"/>
  <c r="S3149"/>
  <c r="S3148"/>
  <c r="S3147"/>
  <c r="S3146"/>
  <c r="S3145"/>
  <c r="S3144"/>
  <c r="S3143"/>
  <c r="S3142"/>
  <c r="S3141"/>
  <c r="S3140"/>
  <c r="S3139"/>
  <c r="S3138"/>
  <c r="S3137"/>
  <c r="S3136"/>
  <c r="S3135"/>
  <c r="S3134"/>
  <c r="S3133"/>
  <c r="S3132"/>
  <c r="S3131"/>
  <c r="S3130"/>
  <c r="S3129"/>
  <c r="S3128"/>
  <c r="S3127"/>
  <c r="S3126"/>
  <c r="S3125"/>
  <c r="S3124"/>
  <c r="S3123"/>
  <c r="S3122"/>
  <c r="S3121"/>
  <c r="S3120"/>
  <c r="S3119"/>
  <c r="S3118"/>
  <c r="S3117"/>
  <c r="S3116"/>
  <c r="S3115"/>
  <c r="S3114"/>
  <c r="S3113"/>
  <c r="S3112"/>
  <c r="S3111"/>
  <c r="S3110"/>
  <c r="S3109"/>
  <c r="S3108"/>
  <c r="S3107"/>
  <c r="S3106"/>
  <c r="S3105"/>
  <c r="S3104"/>
  <c r="S3103"/>
  <c r="S3102"/>
  <c r="S3101"/>
  <c r="S3100"/>
  <c r="S3099"/>
  <c r="S3098"/>
  <c r="S3097"/>
  <c r="S3096"/>
  <c r="S3095"/>
  <c r="S3094"/>
  <c r="S3093"/>
  <c r="S3092"/>
  <c r="S3091"/>
  <c r="S3090"/>
  <c r="S3089"/>
  <c r="S3088"/>
  <c r="S3087"/>
  <c r="S3086"/>
  <c r="S3085"/>
  <c r="S3084"/>
  <c r="S3083"/>
  <c r="S3082"/>
  <c r="S3081"/>
  <c r="S3080"/>
  <c r="S3079"/>
  <c r="S3078"/>
  <c r="S3077"/>
  <c r="S3076"/>
  <c r="S3075"/>
  <c r="S3074"/>
  <c r="S3073"/>
  <c r="S3072"/>
  <c r="S3071"/>
  <c r="S3070"/>
  <c r="S3069"/>
  <c r="S3068"/>
  <c r="S3067"/>
  <c r="S3066"/>
  <c r="S3065"/>
  <c r="S3064"/>
  <c r="S3063"/>
  <c r="S3062"/>
  <c r="S3061"/>
  <c r="S3060"/>
  <c r="S3059"/>
  <c r="S3058"/>
  <c r="S3057"/>
  <c r="S3056"/>
  <c r="S3055"/>
  <c r="S3054"/>
  <c r="S3053"/>
  <c r="S3052"/>
  <c r="S3051"/>
  <c r="S3050"/>
  <c r="S3049"/>
  <c r="S3048"/>
  <c r="S3047"/>
  <c r="S3046"/>
  <c r="S3045"/>
  <c r="S3044"/>
  <c r="S3043"/>
  <c r="S3042"/>
  <c r="S3041"/>
  <c r="S3040"/>
  <c r="S3039"/>
  <c r="S3038"/>
  <c r="S3037"/>
  <c r="S3036"/>
  <c r="S3035"/>
  <c r="S3034"/>
  <c r="S3033"/>
  <c r="S3032"/>
  <c r="S3031"/>
  <c r="S3030"/>
  <c r="S3029"/>
  <c r="S3028"/>
  <c r="S3027"/>
  <c r="S3026"/>
  <c r="S3025"/>
  <c r="S3024"/>
  <c r="S3023"/>
  <c r="S3022"/>
  <c r="S3021"/>
  <c r="S3020"/>
  <c r="S3019"/>
  <c r="S3018"/>
  <c r="S3017"/>
  <c r="S3016"/>
  <c r="S3015"/>
  <c r="S3014"/>
  <c r="S3013"/>
  <c r="S3012"/>
  <c r="S3011"/>
  <c r="S3010"/>
  <c r="S3009"/>
  <c r="S3008"/>
  <c r="S3007"/>
  <c r="S3006"/>
  <c r="S3005"/>
  <c r="S3004"/>
  <c r="S3003"/>
  <c r="S3002"/>
  <c r="S3001"/>
  <c r="S3000"/>
  <c r="S2999"/>
  <c r="S2998"/>
  <c r="S2997"/>
  <c r="S2996"/>
  <c r="S2995"/>
  <c r="S2994"/>
  <c r="S2993"/>
  <c r="S2992"/>
  <c r="S2991"/>
  <c r="S2990"/>
  <c r="S2989"/>
  <c r="S2988"/>
  <c r="S2987"/>
  <c r="S2986"/>
  <c r="S2985"/>
  <c r="S2984"/>
  <c r="S2983"/>
  <c r="S2982"/>
  <c r="S2981"/>
  <c r="S2980"/>
  <c r="S2979"/>
  <c r="S2978"/>
  <c r="S2977"/>
  <c r="S2976"/>
  <c r="S2975"/>
  <c r="S2974"/>
  <c r="S2973"/>
  <c r="S2972"/>
  <c r="S2971"/>
  <c r="S2970"/>
  <c r="S2969"/>
  <c r="S2968"/>
  <c r="S2967"/>
  <c r="S2966"/>
  <c r="S2965"/>
  <c r="S2964"/>
  <c r="S2963"/>
  <c r="S2962"/>
  <c r="S2961"/>
  <c r="S2960"/>
  <c r="S2959"/>
  <c r="S2958"/>
  <c r="S2957"/>
  <c r="S2956"/>
  <c r="S2955"/>
  <c r="S2954"/>
  <c r="S2953"/>
  <c r="S2952"/>
  <c r="S2951"/>
  <c r="S2950"/>
  <c r="S2949"/>
  <c r="S2948"/>
  <c r="S2947"/>
  <c r="S2946"/>
  <c r="S2945"/>
  <c r="S2944"/>
  <c r="S2943"/>
  <c r="S2942"/>
  <c r="S2941"/>
  <c r="S2940"/>
  <c r="S2939"/>
  <c r="S2938"/>
  <c r="S2937"/>
  <c r="S2936"/>
  <c r="S2935"/>
  <c r="S2934"/>
  <c r="S2933"/>
  <c r="S2932"/>
  <c r="S2931"/>
  <c r="S2930"/>
  <c r="S2929"/>
  <c r="S2928"/>
  <c r="S2927"/>
  <c r="S2926"/>
  <c r="S2925"/>
  <c r="S2924"/>
  <c r="S2923"/>
  <c r="S2922"/>
  <c r="S2921"/>
  <c r="S2920"/>
  <c r="S2919"/>
  <c r="S2918"/>
  <c r="S2917"/>
  <c r="S2916"/>
  <c r="S2915"/>
  <c r="S2914"/>
  <c r="S2913"/>
  <c r="S2912"/>
  <c r="S2911"/>
  <c r="S2910"/>
  <c r="S2909"/>
  <c r="S2908"/>
  <c r="S2907"/>
  <c r="S2906"/>
  <c r="S2905"/>
  <c r="S2904"/>
  <c r="S2903"/>
  <c r="S2902"/>
  <c r="S2901"/>
  <c r="S2900"/>
  <c r="S2899"/>
  <c r="S2898"/>
  <c r="S2897"/>
  <c r="S2896"/>
  <c r="S2895"/>
  <c r="S2894"/>
  <c r="S2893"/>
  <c r="S2892"/>
  <c r="S2891"/>
  <c r="S2890"/>
  <c r="S2889"/>
  <c r="S2888"/>
  <c r="S2887"/>
  <c r="S2886"/>
  <c r="S2885"/>
  <c r="S2884"/>
  <c r="S2883"/>
  <c r="S2882"/>
  <c r="S2881"/>
  <c r="S2880"/>
  <c r="S2879"/>
  <c r="S2878"/>
  <c r="S2877"/>
  <c r="S2876"/>
  <c r="S2875"/>
  <c r="S2874"/>
  <c r="S2873"/>
  <c r="S2872"/>
  <c r="S2871"/>
  <c r="S2870"/>
  <c r="S2869"/>
  <c r="S2868"/>
  <c r="S2867"/>
  <c r="S2866"/>
  <c r="S2865"/>
  <c r="S2864"/>
  <c r="S2863"/>
  <c r="S2862"/>
  <c r="S2861"/>
  <c r="S2860"/>
  <c r="S2859"/>
  <c r="S2858"/>
  <c r="S2857"/>
  <c r="S2856"/>
  <c r="S2855"/>
  <c r="S2854"/>
  <c r="S2853"/>
  <c r="S2852"/>
  <c r="S2851"/>
  <c r="S2850"/>
  <c r="S2849"/>
  <c r="S2848"/>
  <c r="S2847"/>
  <c r="S2846"/>
  <c r="S2845"/>
  <c r="S2844"/>
  <c r="S2843"/>
  <c r="S2842"/>
  <c r="S2841"/>
  <c r="S2840"/>
  <c r="S2839"/>
  <c r="S2838"/>
  <c r="S2837"/>
  <c r="S2836"/>
  <c r="S2835"/>
  <c r="S2834"/>
  <c r="S2833"/>
  <c r="S2832"/>
  <c r="S2831"/>
  <c r="S2830"/>
  <c r="S2829"/>
  <c r="S2828"/>
  <c r="S2827"/>
  <c r="S2826"/>
  <c r="S2825"/>
  <c r="S2824"/>
  <c r="S2823"/>
  <c r="S2822"/>
  <c r="S2821"/>
  <c r="S2820"/>
  <c r="S2819"/>
  <c r="S2818"/>
  <c r="S2817"/>
  <c r="S2816"/>
  <c r="S2815"/>
  <c r="S2814"/>
  <c r="S2813"/>
  <c r="S2812"/>
  <c r="S2811"/>
  <c r="S2810"/>
  <c r="S2809"/>
  <c r="S2808"/>
  <c r="S2807"/>
  <c r="S2806"/>
  <c r="S2805"/>
  <c r="S2804"/>
  <c r="S2803"/>
  <c r="S2802"/>
  <c r="S2801"/>
  <c r="S2800"/>
  <c r="S2799"/>
  <c r="S2798"/>
  <c r="S2797"/>
  <c r="S2796"/>
  <c r="S2795"/>
  <c r="S2794"/>
  <c r="S2793"/>
  <c r="S2792"/>
  <c r="S2791"/>
  <c r="S2790"/>
  <c r="S2789"/>
  <c r="S2788"/>
  <c r="S2787"/>
  <c r="S2786"/>
  <c r="S2785"/>
  <c r="S2784"/>
  <c r="S2783"/>
  <c r="S2782"/>
  <c r="S2781"/>
  <c r="S2780"/>
  <c r="S2779"/>
  <c r="S2778"/>
  <c r="S2777"/>
  <c r="S2776"/>
  <c r="S2775"/>
  <c r="S2774"/>
  <c r="S2773"/>
  <c r="S2772"/>
  <c r="S2771"/>
  <c r="S2770"/>
  <c r="S2769"/>
  <c r="S2768"/>
  <c r="S2767"/>
  <c r="S2766"/>
  <c r="S2765"/>
  <c r="S2764"/>
  <c r="S2763"/>
  <c r="S2762"/>
  <c r="S2761"/>
  <c r="S2760"/>
  <c r="S2759"/>
  <c r="S2758"/>
  <c r="S2757"/>
  <c r="S2756"/>
  <c r="S2755"/>
  <c r="S2754"/>
  <c r="S2753"/>
  <c r="S2752"/>
  <c r="S2751"/>
  <c r="S2750"/>
  <c r="S2749"/>
  <c r="S2748"/>
  <c r="S2747"/>
  <c r="S2746"/>
  <c r="S2745"/>
  <c r="S2744"/>
  <c r="S2743"/>
  <c r="S2742"/>
  <c r="S2741"/>
  <c r="S2740"/>
  <c r="S2739"/>
  <c r="S2738"/>
  <c r="S2737"/>
  <c r="S2736"/>
  <c r="S2735"/>
  <c r="S2734"/>
  <c r="S2733"/>
  <c r="S2732"/>
  <c r="S2731"/>
  <c r="S2730"/>
  <c r="S2729"/>
  <c r="S2728"/>
  <c r="S2727"/>
  <c r="S2726"/>
  <c r="S2725"/>
  <c r="S2724"/>
  <c r="S2723"/>
  <c r="S2722"/>
  <c r="S2721"/>
  <c r="S2720"/>
  <c r="S2719"/>
  <c r="S2718"/>
  <c r="S2717"/>
  <c r="S2716"/>
  <c r="S2715"/>
  <c r="S2714"/>
  <c r="S2713"/>
  <c r="S2712"/>
  <c r="S2711"/>
  <c r="S2710"/>
  <c r="S2709"/>
  <c r="S2708"/>
  <c r="S2707"/>
  <c r="S2706"/>
  <c r="S2705"/>
  <c r="S2704"/>
  <c r="S2703"/>
  <c r="S2702"/>
  <c r="S2701"/>
  <c r="S2700"/>
  <c r="S2699"/>
  <c r="S2698"/>
  <c r="S2697"/>
  <c r="S2696"/>
  <c r="S2695"/>
  <c r="S2694"/>
  <c r="S2693"/>
  <c r="S2692"/>
  <c r="S2691"/>
  <c r="S2690"/>
  <c r="S2689"/>
  <c r="S2688"/>
  <c r="S2687"/>
  <c r="S2686"/>
  <c r="S2685"/>
  <c r="S2684"/>
  <c r="S2683"/>
  <c r="S2682"/>
  <c r="S2681"/>
  <c r="S2680"/>
  <c r="S2679"/>
  <c r="S2678"/>
  <c r="S2677"/>
  <c r="S2676"/>
  <c r="S2675"/>
  <c r="S2674"/>
  <c r="S2673"/>
  <c r="S2672"/>
  <c r="S2671"/>
  <c r="S2670"/>
  <c r="S2669"/>
  <c r="S2668"/>
  <c r="S2667"/>
  <c r="S2666"/>
  <c r="S2665"/>
  <c r="S2664"/>
  <c r="S2663"/>
  <c r="S2662"/>
  <c r="S2661"/>
  <c r="S2660"/>
  <c r="S2659"/>
  <c r="S2658"/>
  <c r="S2657"/>
  <c r="S2656"/>
  <c r="S2655"/>
  <c r="S2654"/>
  <c r="S2653"/>
  <c r="S2652"/>
  <c r="S2651"/>
  <c r="S2650"/>
  <c r="S2649"/>
  <c r="S2648"/>
  <c r="S2647"/>
  <c r="S2646"/>
  <c r="S2645"/>
  <c r="S2644"/>
  <c r="S2643"/>
  <c r="S2642"/>
  <c r="S2641"/>
  <c r="S2640"/>
  <c r="S2639"/>
  <c r="S2638"/>
  <c r="S2637"/>
  <c r="S2636"/>
  <c r="S2635"/>
  <c r="S2634"/>
  <c r="S2633"/>
  <c r="S2632"/>
  <c r="S2631"/>
  <c r="S2630"/>
  <c r="S2629"/>
  <c r="S2628"/>
  <c r="S2627"/>
  <c r="S2626"/>
  <c r="S2625"/>
  <c r="S2624"/>
  <c r="S2623"/>
  <c r="S2622"/>
  <c r="S2621"/>
  <c r="S2620"/>
  <c r="S2619"/>
  <c r="S2618"/>
  <c r="S2617"/>
  <c r="S2616"/>
  <c r="S2615"/>
  <c r="S2614"/>
  <c r="S2613"/>
  <c r="S2612"/>
  <c r="S2611"/>
  <c r="S2610"/>
  <c r="S2609"/>
  <c r="S2608"/>
  <c r="S2607"/>
  <c r="S2606"/>
  <c r="S2605"/>
  <c r="S2604"/>
  <c r="S2603"/>
  <c r="S2602"/>
  <c r="S2601"/>
  <c r="S2600"/>
  <c r="S2599"/>
  <c r="S2598"/>
  <c r="S2597"/>
  <c r="S2596"/>
  <c r="S2595"/>
  <c r="S2594"/>
  <c r="S2593"/>
  <c r="S2592"/>
  <c r="S2591"/>
  <c r="S2590"/>
  <c r="S2589"/>
  <c r="S2588"/>
  <c r="S2587"/>
  <c r="S2586"/>
  <c r="S2585"/>
  <c r="S2584"/>
  <c r="S2583"/>
  <c r="S2582"/>
  <c r="S2581"/>
  <c r="S2580"/>
  <c r="S2579"/>
  <c r="S2578"/>
  <c r="S2577"/>
  <c r="S2576"/>
  <c r="S2575"/>
  <c r="S2574"/>
  <c r="S2573"/>
  <c r="S2572"/>
  <c r="S2571"/>
  <c r="S2570"/>
  <c r="S2569"/>
  <c r="S2568"/>
  <c r="S2567"/>
  <c r="S2566"/>
  <c r="S2565"/>
  <c r="S2564"/>
  <c r="S2563"/>
  <c r="S2562"/>
  <c r="S2561"/>
  <c r="S2560"/>
  <c r="S2559"/>
  <c r="S2558"/>
  <c r="S2557"/>
  <c r="S2556"/>
  <c r="S2555"/>
  <c r="S2554"/>
  <c r="S2553"/>
  <c r="S2552"/>
  <c r="S2551"/>
  <c r="S2550"/>
  <c r="S2549"/>
  <c r="S2548"/>
  <c r="S2547"/>
  <c r="S2546"/>
  <c r="S2545"/>
  <c r="S2544"/>
  <c r="S2543"/>
  <c r="S2542"/>
  <c r="S2541"/>
  <c r="S2540"/>
  <c r="S2539"/>
  <c r="S2538"/>
  <c r="S2537"/>
  <c r="S2536"/>
  <c r="S2535"/>
  <c r="S2534"/>
  <c r="S2533"/>
  <c r="S2532"/>
  <c r="S2531"/>
  <c r="S2530"/>
  <c r="S2529"/>
  <c r="S2528"/>
  <c r="S2527"/>
  <c r="S2526"/>
  <c r="S2525"/>
  <c r="S2524"/>
  <c r="S2523"/>
  <c r="S2522"/>
  <c r="S2521"/>
  <c r="S2520"/>
  <c r="S2519"/>
  <c r="S2518"/>
  <c r="S2517"/>
  <c r="S2516"/>
  <c r="S2515"/>
  <c r="S2514"/>
  <c r="S2513"/>
  <c r="S2512"/>
  <c r="S2511"/>
  <c r="S2510"/>
  <c r="S2509"/>
  <c r="S2508"/>
  <c r="S2507"/>
  <c r="S2506"/>
  <c r="S2505"/>
  <c r="S2504"/>
  <c r="S2503"/>
  <c r="S2502"/>
  <c r="S2501"/>
  <c r="S2500"/>
  <c r="S2499"/>
  <c r="S2498"/>
  <c r="S2497"/>
  <c r="S2496"/>
  <c r="S2495"/>
  <c r="S2494"/>
  <c r="S2493"/>
  <c r="S2492"/>
  <c r="S2491"/>
  <c r="S2490"/>
  <c r="S2489"/>
  <c r="S2488"/>
  <c r="S2487"/>
  <c r="S2486"/>
  <c r="S2485"/>
  <c r="S2484"/>
  <c r="S2483"/>
  <c r="S2482"/>
  <c r="S2481"/>
  <c r="S2480"/>
  <c r="S2479"/>
  <c r="S2478"/>
  <c r="S2477"/>
  <c r="S2476"/>
  <c r="S2475"/>
  <c r="S2474"/>
  <c r="S2473"/>
  <c r="S2472"/>
  <c r="S2471"/>
  <c r="S2470"/>
  <c r="S2469"/>
  <c r="S2468"/>
  <c r="S2467"/>
  <c r="S2466"/>
  <c r="S2465"/>
  <c r="S2464"/>
  <c r="S2463"/>
  <c r="S2462"/>
  <c r="S2461"/>
  <c r="S2460"/>
  <c r="S2459"/>
  <c r="S2458"/>
  <c r="S2457"/>
  <c r="S2456"/>
  <c r="S2455"/>
  <c r="S2454"/>
  <c r="S2453"/>
  <c r="S2452"/>
  <c r="S2451"/>
  <c r="S2450"/>
  <c r="S2449"/>
  <c r="S2448"/>
  <c r="S2447"/>
  <c r="S2446"/>
  <c r="S2445"/>
  <c r="S2444"/>
  <c r="S2443"/>
  <c r="S2442"/>
  <c r="S2441"/>
  <c r="S2440"/>
  <c r="S2439"/>
  <c r="S2438"/>
  <c r="S2437"/>
  <c r="S2436"/>
  <c r="S2435"/>
  <c r="S2434"/>
  <c r="S2433"/>
  <c r="S2432"/>
  <c r="S2431"/>
  <c r="S2430"/>
  <c r="S2429"/>
  <c r="S2428"/>
  <c r="S2427"/>
  <c r="S2426"/>
  <c r="S2425"/>
  <c r="S2424"/>
  <c r="S2423"/>
  <c r="S2422"/>
  <c r="S2421"/>
  <c r="S2420"/>
  <c r="S2419"/>
  <c r="S2418"/>
  <c r="S2417"/>
  <c r="S2416"/>
  <c r="S2415"/>
  <c r="S2414"/>
  <c r="S2413"/>
  <c r="S2412"/>
  <c r="S2411"/>
  <c r="S2410"/>
  <c r="S2409"/>
  <c r="S2408"/>
  <c r="S2407"/>
  <c r="S2406"/>
  <c r="S2405"/>
  <c r="S2404"/>
  <c r="S2403"/>
  <c r="S2402"/>
  <c r="S2401"/>
  <c r="S2400"/>
  <c r="S2399"/>
  <c r="S2398"/>
  <c r="S2397"/>
  <c r="S2396"/>
  <c r="S2395"/>
  <c r="S2394"/>
  <c r="S2393"/>
  <c r="S2392"/>
  <c r="S2391"/>
  <c r="S2390"/>
  <c r="S2389"/>
  <c r="S2388"/>
  <c r="S2387"/>
  <c r="S2386"/>
  <c r="S2385"/>
  <c r="S2384"/>
  <c r="S2383"/>
  <c r="S2382"/>
  <c r="S2381"/>
  <c r="S2380"/>
  <c r="S2379"/>
  <c r="S2378"/>
  <c r="S2377"/>
  <c r="S2376"/>
  <c r="S2375"/>
  <c r="S2374"/>
  <c r="S2373"/>
  <c r="S2372"/>
  <c r="S2371"/>
  <c r="S2370"/>
  <c r="S2369"/>
  <c r="S2368"/>
  <c r="S2367"/>
  <c r="S2366"/>
  <c r="S2365"/>
  <c r="S2364"/>
  <c r="S2363"/>
  <c r="S2362"/>
  <c r="S2361"/>
  <c r="S2360"/>
  <c r="S2359"/>
  <c r="S2358"/>
  <c r="S2357"/>
  <c r="S2356"/>
  <c r="S2355"/>
  <c r="S2354"/>
  <c r="S2353"/>
  <c r="S2352"/>
  <c r="S2351"/>
  <c r="S2350"/>
  <c r="S2349"/>
  <c r="S2348"/>
  <c r="S2347"/>
  <c r="S2346"/>
  <c r="S2345"/>
  <c r="S2344"/>
  <c r="S2343"/>
  <c r="S2342"/>
  <c r="S2341"/>
  <c r="S2340"/>
  <c r="S2339"/>
  <c r="S2338"/>
  <c r="S2337"/>
  <c r="S2336"/>
  <c r="S2335"/>
  <c r="S2334"/>
  <c r="S2333"/>
  <c r="S2332"/>
  <c r="S2331"/>
  <c r="S2330"/>
  <c r="S2329"/>
  <c r="S2328"/>
  <c r="S2327"/>
  <c r="S2326"/>
  <c r="S2325"/>
  <c r="S2324"/>
  <c r="S2323"/>
  <c r="S2322"/>
  <c r="S2321"/>
  <c r="S2320"/>
  <c r="S2319"/>
  <c r="S2318"/>
  <c r="S2317"/>
  <c r="S2316"/>
  <c r="S2315"/>
  <c r="S2314"/>
  <c r="S2313"/>
  <c r="S2312"/>
  <c r="S2311"/>
  <c r="S2310"/>
  <c r="S2309"/>
  <c r="S2308"/>
  <c r="S2307"/>
  <c r="S2306"/>
  <c r="S2305"/>
  <c r="S2304"/>
  <c r="S2303"/>
  <c r="S2302"/>
  <c r="S2301"/>
  <c r="S2300"/>
  <c r="S2299"/>
  <c r="S2298"/>
  <c r="S2297"/>
  <c r="S2296"/>
  <c r="S2295"/>
  <c r="S2294"/>
  <c r="S2293"/>
  <c r="S2292"/>
  <c r="S2291"/>
  <c r="S2290"/>
  <c r="S2289"/>
  <c r="S2288"/>
  <c r="S2287"/>
  <c r="S2286"/>
  <c r="S2285"/>
  <c r="S2284"/>
  <c r="S2283"/>
  <c r="S2282"/>
  <c r="S2281"/>
  <c r="S2280"/>
  <c r="S2279"/>
  <c r="S2278"/>
  <c r="S2277"/>
  <c r="S2276"/>
  <c r="S2275"/>
  <c r="S2274"/>
  <c r="S2273"/>
  <c r="S2272"/>
  <c r="S2271"/>
  <c r="S2270"/>
  <c r="S2269"/>
  <c r="S2268"/>
  <c r="S2267"/>
  <c r="S2266"/>
  <c r="S2265"/>
  <c r="S2264"/>
  <c r="S2263"/>
  <c r="S2262"/>
  <c r="S2261"/>
  <c r="S2260"/>
  <c r="S2259"/>
  <c r="S2258"/>
  <c r="S2257"/>
  <c r="S2256"/>
  <c r="S2255"/>
  <c r="S2254"/>
  <c r="S2253"/>
  <c r="S2252"/>
  <c r="S2251"/>
  <c r="S2250"/>
  <c r="S2249"/>
  <c r="S2248"/>
  <c r="S2247"/>
  <c r="S2246"/>
  <c r="S2245"/>
  <c r="S2244"/>
  <c r="S2243"/>
  <c r="S2242"/>
  <c r="S2241"/>
  <c r="S2240"/>
  <c r="S2239"/>
  <c r="S2238"/>
  <c r="S2237"/>
  <c r="S2236"/>
  <c r="S2235"/>
  <c r="S2234"/>
  <c r="S2233"/>
  <c r="S2232"/>
  <c r="S2231"/>
  <c r="S2230"/>
  <c r="S2229"/>
  <c r="S2228"/>
  <c r="S2227"/>
  <c r="S2226"/>
  <c r="S2225"/>
  <c r="S2224"/>
  <c r="S2223"/>
  <c r="S2222"/>
  <c r="S2221"/>
  <c r="S2220"/>
  <c r="S2219"/>
  <c r="S2218"/>
  <c r="S2217"/>
  <c r="S2216"/>
  <c r="S2215"/>
  <c r="S2214"/>
  <c r="S2213"/>
  <c r="S2212"/>
  <c r="S2211"/>
  <c r="S2210"/>
  <c r="S2209"/>
  <c r="S2208"/>
  <c r="S2207"/>
  <c r="S2206"/>
  <c r="S2205"/>
  <c r="S2204"/>
  <c r="S2203"/>
  <c r="S2202"/>
  <c r="S2201"/>
  <c r="S2200"/>
  <c r="S2199"/>
  <c r="S2198"/>
  <c r="S2197"/>
  <c r="S2196"/>
  <c r="S2195"/>
  <c r="S2194"/>
  <c r="S2193"/>
  <c r="S2192"/>
  <c r="S2191"/>
  <c r="S2190"/>
  <c r="S2189"/>
  <c r="S2188"/>
  <c r="S2187"/>
  <c r="S2186"/>
  <c r="S2185"/>
  <c r="S2184"/>
  <c r="S2183"/>
  <c r="S2182"/>
  <c r="S2181"/>
  <c r="S2180"/>
  <c r="S2179"/>
  <c r="S2178"/>
  <c r="S2177"/>
  <c r="S2176"/>
  <c r="S2175"/>
  <c r="S2174"/>
  <c r="S2173"/>
  <c r="S2172"/>
  <c r="S2171"/>
  <c r="S2170"/>
  <c r="S2169"/>
  <c r="S2168"/>
  <c r="S2167"/>
  <c r="S2166"/>
  <c r="S2165"/>
  <c r="S2164"/>
  <c r="S2163"/>
  <c r="S2162"/>
  <c r="S2161"/>
  <c r="S2160"/>
  <c r="S2159"/>
  <c r="S2158"/>
  <c r="S2157"/>
  <c r="S2156"/>
  <c r="S2155"/>
  <c r="S2154"/>
  <c r="S2153"/>
  <c r="S2152"/>
  <c r="S2151"/>
  <c r="S2150"/>
  <c r="S2149"/>
  <c r="S2148"/>
  <c r="S2147"/>
  <c r="S2146"/>
  <c r="S2145"/>
  <c r="S2144"/>
  <c r="S2143"/>
  <c r="S2142"/>
  <c r="S2141"/>
  <c r="S2140"/>
  <c r="S2139"/>
  <c r="S2138"/>
  <c r="S2137"/>
  <c r="S2136"/>
  <c r="S2135"/>
  <c r="S2134"/>
  <c r="S2133"/>
  <c r="S2132"/>
  <c r="S2131"/>
  <c r="S2130"/>
  <c r="S2129"/>
  <c r="S2128"/>
  <c r="S2127"/>
  <c r="S2126"/>
  <c r="S2125"/>
  <c r="S2124"/>
  <c r="S2123"/>
  <c r="S2122"/>
  <c r="S2121"/>
  <c r="S2120"/>
  <c r="S2119"/>
  <c r="S2118"/>
  <c r="S2117"/>
  <c r="S2116"/>
  <c r="S2115"/>
  <c r="S2114"/>
  <c r="S2113"/>
  <c r="S2112"/>
  <c r="S2111"/>
  <c r="S2110"/>
  <c r="S2109"/>
  <c r="S2108"/>
  <c r="S2107"/>
  <c r="S2106"/>
  <c r="S2105"/>
  <c r="S2104"/>
  <c r="S2103"/>
  <c r="S2102"/>
  <c r="S2101"/>
  <c r="S2100"/>
  <c r="S2099"/>
  <c r="S2098"/>
  <c r="S2097"/>
  <c r="S2096"/>
  <c r="S2095"/>
  <c r="S2094"/>
  <c r="S2093"/>
  <c r="S2092"/>
  <c r="S2091"/>
  <c r="S2090"/>
  <c r="S2089"/>
  <c r="S2088"/>
  <c r="S2087"/>
  <c r="S2086"/>
  <c r="S2085"/>
  <c r="S2084"/>
  <c r="S2083"/>
  <c r="S2082"/>
  <c r="S2081"/>
  <c r="S2080"/>
  <c r="S2079"/>
  <c r="S2078"/>
  <c r="S2077"/>
  <c r="S2076"/>
  <c r="S2075"/>
  <c r="S2074"/>
  <c r="S2073"/>
  <c r="S2072"/>
  <c r="S2071"/>
  <c r="S2070"/>
  <c r="S2069"/>
  <c r="S2068"/>
  <c r="S2067"/>
  <c r="S2066"/>
  <c r="S2065"/>
  <c r="S2064"/>
  <c r="S2063"/>
  <c r="S2062"/>
  <c r="S2061"/>
  <c r="S2060"/>
  <c r="S2059"/>
  <c r="S2058"/>
  <c r="S2057"/>
  <c r="S2056"/>
  <c r="S2055"/>
  <c r="S2054"/>
  <c r="S2053"/>
  <c r="S2052"/>
  <c r="S2051"/>
  <c r="S2050"/>
  <c r="S2049"/>
  <c r="S2048"/>
  <c r="S2047"/>
  <c r="S2046"/>
  <c r="S2045"/>
  <c r="S2044"/>
  <c r="S2043"/>
  <c r="S2042"/>
  <c r="S2041"/>
  <c r="S2040"/>
  <c r="S2039"/>
  <c r="S2038"/>
  <c r="S2037"/>
  <c r="S2036"/>
  <c r="S2035"/>
  <c r="S2034"/>
  <c r="S2033"/>
  <c r="S2032"/>
  <c r="S2031"/>
  <c r="S2030"/>
  <c r="S2029"/>
  <c r="S2028"/>
  <c r="S2027"/>
  <c r="S2026"/>
  <c r="S2025"/>
  <c r="S2024"/>
  <c r="S2023"/>
  <c r="S2022"/>
  <c r="S2021"/>
  <c r="S2020"/>
  <c r="S2019"/>
  <c r="S2018"/>
  <c r="S2017"/>
  <c r="S2016"/>
  <c r="S2015"/>
  <c r="S2014"/>
  <c r="S2013"/>
  <c r="S2012"/>
  <c r="S2011"/>
  <c r="S2010"/>
  <c r="S2009"/>
  <c r="S2008"/>
  <c r="S2007"/>
  <c r="S2006"/>
  <c r="S2005"/>
  <c r="S2004"/>
  <c r="S2003"/>
  <c r="S2002"/>
  <c r="S2001"/>
  <c r="S2000"/>
  <c r="S1999"/>
  <c r="S1998"/>
  <c r="S1997"/>
  <c r="S1996"/>
  <c r="S1995"/>
  <c r="S1994"/>
  <c r="S1993"/>
  <c r="S1992"/>
  <c r="S1991"/>
  <c r="S1990"/>
  <c r="S1989"/>
  <c r="S1988"/>
  <c r="S1987"/>
  <c r="S1986"/>
  <c r="S1985"/>
  <c r="S1984"/>
  <c r="S1983"/>
  <c r="S1982"/>
  <c r="S1981"/>
  <c r="S1980"/>
  <c r="S1979"/>
  <c r="S1978"/>
  <c r="S1977"/>
  <c r="S1976"/>
  <c r="S1975"/>
  <c r="S1974"/>
  <c r="S1973"/>
  <c r="S1972"/>
  <c r="S1971"/>
  <c r="S1970"/>
  <c r="S1969"/>
  <c r="S1968"/>
  <c r="S1967"/>
  <c r="S1966"/>
  <c r="S1965"/>
  <c r="S1964"/>
  <c r="S1963"/>
  <c r="S1962"/>
  <c r="S1961"/>
  <c r="S1960"/>
  <c r="S1959"/>
  <c r="S1958"/>
  <c r="S1957"/>
  <c r="S1956"/>
  <c r="S1955"/>
  <c r="S1954"/>
  <c r="S1953"/>
  <c r="S1952"/>
  <c r="S1951"/>
  <c r="S1950"/>
  <c r="S1949"/>
  <c r="S1948"/>
  <c r="S1947"/>
  <c r="S1946"/>
  <c r="S1945"/>
  <c r="S1944"/>
  <c r="S1943"/>
  <c r="S1942"/>
  <c r="S1941"/>
  <c r="S1940"/>
  <c r="S1939"/>
  <c r="S1938"/>
  <c r="S1937"/>
  <c r="S1936"/>
  <c r="S1935"/>
  <c r="S1934"/>
  <c r="S1933"/>
  <c r="S1932"/>
  <c r="S1931"/>
  <c r="S1930"/>
  <c r="S1929"/>
  <c r="S1928"/>
  <c r="S1927"/>
  <c r="S1926"/>
  <c r="S1925"/>
  <c r="S1924"/>
  <c r="S1923"/>
  <c r="S1922"/>
  <c r="S1921"/>
  <c r="S1920"/>
  <c r="S1919"/>
  <c r="S1918"/>
  <c r="S1917"/>
  <c r="S1916"/>
  <c r="S1915"/>
  <c r="S1914"/>
  <c r="S1913"/>
  <c r="S1912"/>
  <c r="S1911"/>
  <c r="S1910"/>
  <c r="S1909"/>
  <c r="S1908"/>
  <c r="S1907"/>
  <c r="S1906"/>
  <c r="S1905"/>
  <c r="S1904"/>
  <c r="S1903"/>
  <c r="S1902"/>
  <c r="S1901"/>
  <c r="S1900"/>
  <c r="S1899"/>
  <c r="S1898"/>
  <c r="S1897"/>
  <c r="S1896"/>
  <c r="S1895"/>
  <c r="S1894"/>
  <c r="S1893"/>
  <c r="S1892"/>
  <c r="S1891"/>
  <c r="S1890"/>
  <c r="S1889"/>
  <c r="S1888"/>
  <c r="S1887"/>
  <c r="S1886"/>
  <c r="S1885"/>
  <c r="S1884"/>
  <c r="S1883"/>
  <c r="S1882"/>
  <c r="S1881"/>
  <c r="S1880"/>
  <c r="S1879"/>
  <c r="S1878"/>
  <c r="S1877"/>
  <c r="S1876"/>
  <c r="S1875"/>
  <c r="S1874"/>
  <c r="S1873"/>
  <c r="S1872"/>
  <c r="S1871"/>
  <c r="S1870"/>
  <c r="S1869"/>
  <c r="S1868"/>
  <c r="S1867"/>
  <c r="S1866"/>
  <c r="S1865"/>
  <c r="S1864"/>
  <c r="S1863"/>
  <c r="S1862"/>
  <c r="S1861"/>
  <c r="S1860"/>
  <c r="S1859"/>
  <c r="S1858"/>
  <c r="S1857"/>
  <c r="S1856"/>
  <c r="S1855"/>
  <c r="S1854"/>
  <c r="S1853"/>
  <c r="S1852"/>
  <c r="S1851"/>
  <c r="S1850"/>
  <c r="S1849"/>
  <c r="S1848"/>
  <c r="S1847"/>
  <c r="S1846"/>
  <c r="S1845"/>
  <c r="S1844"/>
  <c r="S1843"/>
  <c r="S1842"/>
  <c r="S1841"/>
  <c r="S1840"/>
  <c r="S1839"/>
  <c r="S1838"/>
  <c r="S1837"/>
  <c r="S1836"/>
  <c r="S1835"/>
  <c r="S1834"/>
  <c r="S1833"/>
  <c r="S1832"/>
  <c r="S1831"/>
  <c r="S1830"/>
  <c r="S1829"/>
  <c r="S1828"/>
  <c r="S1827"/>
  <c r="S1826"/>
  <c r="S1825"/>
  <c r="S1824"/>
  <c r="S1823"/>
  <c r="S1822"/>
  <c r="S1821"/>
  <c r="S1820"/>
  <c r="S1819"/>
  <c r="S1818"/>
  <c r="S1817"/>
  <c r="S1816"/>
  <c r="S1815"/>
  <c r="S1814"/>
  <c r="S1813"/>
  <c r="S1812"/>
  <c r="S1811"/>
  <c r="S1810"/>
  <c r="S1809"/>
  <c r="S1808"/>
  <c r="S1807"/>
  <c r="S1806"/>
  <c r="S1805"/>
  <c r="S1804"/>
  <c r="S1803"/>
  <c r="S1802"/>
  <c r="S1801"/>
  <c r="S1800"/>
  <c r="S1799"/>
  <c r="S1798"/>
  <c r="S1797"/>
  <c r="S1796"/>
  <c r="S1795"/>
  <c r="S1794"/>
  <c r="S1793"/>
  <c r="S1792"/>
  <c r="S1791"/>
  <c r="S1790"/>
  <c r="S1789"/>
  <c r="S1788"/>
  <c r="S1787"/>
  <c r="S1786"/>
  <c r="S1785"/>
  <c r="S1784"/>
  <c r="S1783"/>
  <c r="S1782"/>
  <c r="S1781"/>
  <c r="S1780"/>
  <c r="S1779"/>
  <c r="S1778"/>
  <c r="S1777"/>
  <c r="S1776"/>
  <c r="S1775"/>
  <c r="S1774"/>
  <c r="S1773"/>
  <c r="S1772"/>
  <c r="S1771"/>
  <c r="S1770"/>
  <c r="S1769"/>
  <c r="S1768"/>
  <c r="S1767"/>
  <c r="S1766"/>
  <c r="S1765"/>
  <c r="S1764"/>
  <c r="S1763"/>
  <c r="S1762"/>
  <c r="S1761"/>
  <c r="S1760"/>
  <c r="S1759"/>
  <c r="S1758"/>
  <c r="S1757"/>
  <c r="S1756"/>
  <c r="S1755"/>
  <c r="S1754"/>
  <c r="S1753"/>
  <c r="S1752"/>
  <c r="S1751"/>
  <c r="S1750"/>
  <c r="S1749"/>
  <c r="S1748"/>
  <c r="S1747"/>
  <c r="S1746"/>
  <c r="S1745"/>
  <c r="S1744"/>
  <c r="S1743"/>
  <c r="S1742"/>
  <c r="S1741"/>
  <c r="S1740"/>
  <c r="S1739"/>
  <c r="S1738"/>
  <c r="S1737"/>
  <c r="S1736"/>
  <c r="S1735"/>
  <c r="S1734"/>
  <c r="S1733"/>
  <c r="S1732"/>
  <c r="S1731"/>
  <c r="S1730"/>
  <c r="S1729"/>
  <c r="S1728"/>
  <c r="S1727"/>
  <c r="S1726"/>
  <c r="S1725"/>
  <c r="S1724"/>
  <c r="S1723"/>
  <c r="S1722"/>
  <c r="S1721"/>
  <c r="S1720"/>
  <c r="S1719"/>
  <c r="S1718"/>
  <c r="S1717"/>
  <c r="S1716"/>
  <c r="S1715"/>
  <c r="S1714"/>
  <c r="S1713"/>
  <c r="S1712"/>
  <c r="S1711"/>
  <c r="S1710"/>
  <c r="S1709"/>
  <c r="S1708"/>
  <c r="S1707"/>
  <c r="S1706"/>
  <c r="S1705"/>
  <c r="S1704"/>
  <c r="S1703"/>
  <c r="S1702"/>
  <c r="S1701"/>
  <c r="S1700"/>
  <c r="S1699"/>
  <c r="S1698"/>
  <c r="S1697"/>
  <c r="S1696"/>
  <c r="S1695"/>
  <c r="S1694"/>
  <c r="S1693"/>
  <c r="S1692"/>
  <c r="S1691"/>
  <c r="S1690"/>
  <c r="S1689"/>
  <c r="S1688"/>
  <c r="S1687"/>
  <c r="S1686"/>
  <c r="S1685"/>
  <c r="S1684"/>
  <c r="S1683"/>
  <c r="S1682"/>
  <c r="S1681"/>
  <c r="S1680"/>
  <c r="S1679"/>
  <c r="S1678"/>
  <c r="S1677"/>
  <c r="S1676"/>
  <c r="S1675"/>
  <c r="S1674"/>
  <c r="S1673"/>
  <c r="S1672"/>
  <c r="S1671"/>
  <c r="S1670"/>
  <c r="S1669"/>
  <c r="S1668"/>
  <c r="S1667"/>
  <c r="S1666"/>
  <c r="S1665"/>
  <c r="S1664"/>
  <c r="S1663"/>
  <c r="S1662"/>
  <c r="S1661"/>
  <c r="S1660"/>
  <c r="S1659"/>
  <c r="S1658"/>
  <c r="S1657"/>
  <c r="S1656"/>
  <c r="S1655"/>
  <c r="S1654"/>
  <c r="S1653"/>
  <c r="S1652"/>
  <c r="S1651"/>
  <c r="S1650"/>
  <c r="S1649"/>
  <c r="S1648"/>
  <c r="S1647"/>
  <c r="S1646"/>
  <c r="S1645"/>
  <c r="S1644"/>
  <c r="S1643"/>
  <c r="S1642"/>
  <c r="S1641"/>
  <c r="S1640"/>
  <c r="S1639"/>
  <c r="S1638"/>
  <c r="S1637"/>
  <c r="S1636"/>
  <c r="S1635"/>
  <c r="S1634"/>
  <c r="S1633"/>
  <c r="S1632"/>
  <c r="S1631"/>
  <c r="S1630"/>
  <c r="S1629"/>
  <c r="S1628"/>
  <c r="S1627"/>
  <c r="S1626"/>
  <c r="S1625"/>
  <c r="S1624"/>
  <c r="S1623"/>
  <c r="S1622"/>
  <c r="S1621"/>
  <c r="S1620"/>
  <c r="S1619"/>
  <c r="S1618"/>
  <c r="S1617"/>
  <c r="S1616"/>
  <c r="S1615"/>
  <c r="S1614"/>
  <c r="S1613"/>
  <c r="S1612"/>
  <c r="S1611"/>
  <c r="S1610"/>
  <c r="S1609"/>
  <c r="S1608"/>
  <c r="S1607"/>
  <c r="S1606"/>
  <c r="S1605"/>
  <c r="S1604"/>
  <c r="S1603"/>
  <c r="S1602"/>
  <c r="S1601"/>
  <c r="S1600"/>
  <c r="S1599"/>
  <c r="S1598"/>
  <c r="S1597"/>
  <c r="S1596"/>
  <c r="S1595"/>
  <c r="S1594"/>
  <c r="S1593"/>
  <c r="S1592"/>
  <c r="S1591"/>
  <c r="S1590"/>
  <c r="S1589"/>
  <c r="S1588"/>
  <c r="S1587"/>
  <c r="S1586"/>
  <c r="S1585"/>
  <c r="S1584"/>
  <c r="S1583"/>
  <c r="S1582"/>
  <c r="S1581"/>
  <c r="S1580"/>
  <c r="S1579"/>
  <c r="S1578"/>
  <c r="S1577"/>
  <c r="S1576"/>
  <c r="S1575"/>
  <c r="S1574"/>
  <c r="S1573"/>
  <c r="S1572"/>
  <c r="S1571"/>
  <c r="S1570"/>
  <c r="S1569"/>
  <c r="S1568"/>
  <c r="S1567"/>
  <c r="S1566"/>
  <c r="S1565"/>
  <c r="S1564"/>
  <c r="S1563"/>
  <c r="S1562"/>
  <c r="S1561"/>
  <c r="S1560"/>
  <c r="S1559"/>
  <c r="S1558"/>
  <c r="S1557"/>
  <c r="S1556"/>
  <c r="S1555"/>
  <c r="S1554"/>
  <c r="S1553"/>
  <c r="S1552"/>
  <c r="S1551"/>
  <c r="S1550"/>
  <c r="S1549"/>
  <c r="S1548"/>
  <c r="S1547"/>
  <c r="S1546"/>
  <c r="S1545"/>
  <c r="S1544"/>
  <c r="S1543"/>
  <c r="S1542"/>
  <c r="S1541"/>
  <c r="S1540"/>
  <c r="S1539"/>
  <c r="S1538"/>
  <c r="S1537"/>
  <c r="S1536"/>
  <c r="S1535"/>
  <c r="S1534"/>
  <c r="S1533"/>
  <c r="S1532"/>
  <c r="S1531"/>
  <c r="S1530"/>
  <c r="S1529"/>
  <c r="S1528"/>
  <c r="S1527"/>
  <c r="S1526"/>
  <c r="S1525"/>
  <c r="S1524"/>
  <c r="S1523"/>
  <c r="S1522"/>
  <c r="S1521"/>
  <c r="S1520"/>
  <c r="S1519"/>
  <c r="S1518"/>
  <c r="S1517"/>
  <c r="S1516"/>
  <c r="S1515"/>
  <c r="S1514"/>
  <c r="S1513"/>
  <c r="S1512"/>
  <c r="S1511"/>
  <c r="S1510"/>
  <c r="S1509"/>
  <c r="S1508"/>
  <c r="S1507"/>
  <c r="S1506"/>
  <c r="S1505"/>
  <c r="S1504"/>
  <c r="S1503"/>
  <c r="S1502"/>
  <c r="S1501"/>
  <c r="S1500"/>
  <c r="S1499"/>
  <c r="S1498"/>
  <c r="S1497"/>
  <c r="S1496"/>
  <c r="S1495"/>
  <c r="S1494"/>
  <c r="S1493"/>
  <c r="S1492"/>
  <c r="S1491"/>
  <c r="S1490"/>
  <c r="S1489"/>
  <c r="S1488"/>
  <c r="S1487"/>
  <c r="S1486"/>
  <c r="S1485"/>
  <c r="S1484"/>
  <c r="S1483"/>
  <c r="S1482"/>
  <c r="S1481"/>
  <c r="S1480"/>
  <c r="S1479"/>
  <c r="S1478"/>
  <c r="S1477"/>
  <c r="S1476"/>
  <c r="S1475"/>
  <c r="S1474"/>
  <c r="S1473"/>
  <c r="S1472"/>
  <c r="S1471"/>
  <c r="S1470"/>
  <c r="S1469"/>
  <c r="S1468"/>
  <c r="S1467"/>
  <c r="S1466"/>
  <c r="S1465"/>
  <c r="S1464"/>
  <c r="S1463"/>
  <c r="S1462"/>
  <c r="S1461"/>
  <c r="S1460"/>
  <c r="S1459"/>
  <c r="S1458"/>
  <c r="S1457"/>
  <c r="S1456"/>
  <c r="S1455"/>
  <c r="S1454"/>
  <c r="S1453"/>
  <c r="S1452"/>
  <c r="S1451"/>
  <c r="S1450"/>
  <c r="S1449"/>
  <c r="S1448"/>
  <c r="S1447"/>
  <c r="S1446"/>
  <c r="S1445"/>
  <c r="S1444"/>
  <c r="S1443"/>
  <c r="S1442"/>
  <c r="S1441"/>
  <c r="S1440"/>
  <c r="S1439"/>
  <c r="S1438"/>
  <c r="S1437"/>
  <c r="S1436"/>
  <c r="S1435"/>
  <c r="S1434"/>
  <c r="S1433"/>
  <c r="S1432"/>
  <c r="S1431"/>
  <c r="S1430"/>
  <c r="S1429"/>
  <c r="S1428"/>
  <c r="S1427"/>
  <c r="S1426"/>
  <c r="S1425"/>
  <c r="S1424"/>
  <c r="S1423"/>
  <c r="S1422"/>
  <c r="S1421"/>
  <c r="S1420"/>
  <c r="S1419"/>
  <c r="S1418"/>
  <c r="S1417"/>
  <c r="S1416"/>
  <c r="S1415"/>
  <c r="S1414"/>
  <c r="S1413"/>
  <c r="S1412"/>
  <c r="S1411"/>
  <c r="S1410"/>
  <c r="S1409"/>
  <c r="S1408"/>
  <c r="S1407"/>
  <c r="S1406"/>
  <c r="S1405"/>
  <c r="S1404"/>
  <c r="S1403"/>
  <c r="S1402"/>
  <c r="S1401"/>
  <c r="S1400"/>
  <c r="S1399"/>
  <c r="S1398"/>
  <c r="S1397"/>
  <c r="S1396"/>
  <c r="S1395"/>
  <c r="S1394"/>
  <c r="S1393"/>
  <c r="S1392"/>
  <c r="S1391"/>
  <c r="S1390"/>
  <c r="S1389"/>
  <c r="S1388"/>
  <c r="S1387"/>
  <c r="S1386"/>
  <c r="S1385"/>
  <c r="S1384"/>
  <c r="S1383"/>
  <c r="S1382"/>
  <c r="S1381"/>
  <c r="S1380"/>
  <c r="S1379"/>
  <c r="S1378"/>
  <c r="S1377"/>
  <c r="S1376"/>
  <c r="S1375"/>
  <c r="S1374"/>
  <c r="S1373"/>
  <c r="S1372"/>
  <c r="S1371"/>
  <c r="S1370"/>
  <c r="S1369"/>
  <c r="S1368"/>
  <c r="S1367"/>
  <c r="S1366"/>
  <c r="S1365"/>
  <c r="S1364"/>
  <c r="S1363"/>
  <c r="S1362"/>
  <c r="S1361"/>
  <c r="S1360"/>
  <c r="S1359"/>
  <c r="S1358"/>
  <c r="S1357"/>
  <c r="S1356"/>
  <c r="S1355"/>
  <c r="S1354"/>
  <c r="S1353"/>
  <c r="S1352"/>
  <c r="S1351"/>
  <c r="S1350"/>
  <c r="S1349"/>
  <c r="S1348"/>
  <c r="S1347"/>
  <c r="S1346"/>
  <c r="S1345"/>
  <c r="S1344"/>
  <c r="S1343"/>
  <c r="S1342"/>
  <c r="S1341"/>
  <c r="S1340"/>
  <c r="S1339"/>
  <c r="S1338"/>
  <c r="S1337"/>
  <c r="S1336"/>
  <c r="S1335"/>
  <c r="S1334"/>
  <c r="S1333"/>
  <c r="S1332"/>
  <c r="S1331"/>
  <c r="S1330"/>
  <c r="S1329"/>
  <c r="S1328"/>
  <c r="S1327"/>
  <c r="S1326"/>
  <c r="S1325"/>
  <c r="S1324"/>
  <c r="S1323"/>
  <c r="S1322"/>
  <c r="S1321"/>
  <c r="S1320"/>
  <c r="S1319"/>
  <c r="S1318"/>
  <c r="S1317"/>
  <c r="S1316"/>
  <c r="S1315"/>
  <c r="S1314"/>
  <c r="S1313"/>
  <c r="S1312"/>
  <c r="S1311"/>
  <c r="S1310"/>
  <c r="S1309"/>
  <c r="S1308"/>
  <c r="S1307"/>
  <c r="S1306"/>
  <c r="S1305"/>
  <c r="S1304"/>
  <c r="S1303"/>
  <c r="S1302"/>
  <c r="S1301"/>
  <c r="S1300"/>
  <c r="S1299"/>
  <c r="S1298"/>
  <c r="S1297"/>
  <c r="S1296"/>
  <c r="S1295"/>
  <c r="S1294"/>
  <c r="S1293"/>
  <c r="S1292"/>
  <c r="S1291"/>
  <c r="S1290"/>
  <c r="S1289"/>
  <c r="S1288"/>
  <c r="S1287"/>
  <c r="S1286"/>
  <c r="S1285"/>
  <c r="S1284"/>
  <c r="S1283"/>
  <c r="S1282"/>
  <c r="S1281"/>
  <c r="S1280"/>
  <c r="S1279"/>
  <c r="S1278"/>
  <c r="S1277"/>
  <c r="S1276"/>
  <c r="S1275"/>
  <c r="S1274"/>
  <c r="S1273"/>
  <c r="S1272"/>
  <c r="S1271"/>
  <c r="S1270"/>
  <c r="S1269"/>
  <c r="S1268"/>
  <c r="S1267"/>
  <c r="S1266"/>
  <c r="S1265"/>
  <c r="S1264"/>
  <c r="S1263"/>
  <c r="S1262"/>
  <c r="S1261"/>
  <c r="S1260"/>
  <c r="S1259"/>
  <c r="S1258"/>
  <c r="S1257"/>
  <c r="S1256"/>
  <c r="S1255"/>
  <c r="S1254"/>
  <c r="S1253"/>
  <c r="S1252"/>
  <c r="S1251"/>
  <c r="S1250"/>
  <c r="S1249"/>
  <c r="S1248"/>
  <c r="S1247"/>
  <c r="S1246"/>
  <c r="S1245"/>
  <c r="S1244"/>
  <c r="S1243"/>
  <c r="S1242"/>
  <c r="S1241"/>
  <c r="S1240"/>
  <c r="S1239"/>
  <c r="S1238"/>
  <c r="S1237"/>
  <c r="S1236"/>
  <c r="S1235"/>
  <c r="S1234"/>
  <c r="S1233"/>
  <c r="S1232"/>
  <c r="S1231"/>
  <c r="S1230"/>
  <c r="S1229"/>
  <c r="S1228"/>
  <c r="S1227"/>
  <c r="S1226"/>
  <c r="S1225"/>
  <c r="S1224"/>
  <c r="S1223"/>
  <c r="S1222"/>
  <c r="S1221"/>
  <c r="S1220"/>
  <c r="S1219"/>
  <c r="S1218"/>
  <c r="S1217"/>
  <c r="S1216"/>
  <c r="S1215"/>
  <c r="S1214"/>
  <c r="S1213"/>
  <c r="S1212"/>
  <c r="S1211"/>
  <c r="S1210"/>
  <c r="S1209"/>
  <c r="S1208"/>
  <c r="S1207"/>
  <c r="S1206"/>
  <c r="S1205"/>
  <c r="S1204"/>
  <c r="S1203"/>
  <c r="S1202"/>
  <c r="S1201"/>
  <c r="S1200"/>
  <c r="S1199"/>
  <c r="S1198"/>
  <c r="S1197"/>
  <c r="S1196"/>
  <c r="S1195"/>
  <c r="S1194"/>
  <c r="S1193"/>
  <c r="S1192"/>
  <c r="S1191"/>
  <c r="S1190"/>
  <c r="S1189"/>
  <c r="S1188"/>
  <c r="S1187"/>
  <c r="S1186"/>
  <c r="S1185"/>
  <c r="S1184"/>
  <c r="S1183"/>
  <c r="S1182"/>
  <c r="S1181"/>
  <c r="S1180"/>
  <c r="S1179"/>
  <c r="S1178"/>
  <c r="S1177"/>
  <c r="S1176"/>
  <c r="S1175"/>
  <c r="S1174"/>
  <c r="S1173"/>
  <c r="S1172"/>
  <c r="S1171"/>
  <c r="S1170"/>
  <c r="S1169"/>
  <c r="S1168"/>
  <c r="S1167"/>
  <c r="S1166"/>
  <c r="S1165"/>
  <c r="S1164"/>
  <c r="S1163"/>
  <c r="S1162"/>
  <c r="S1161"/>
  <c r="S1160"/>
  <c r="S1159"/>
  <c r="S1158"/>
  <c r="S1157"/>
  <c r="S1156"/>
  <c r="S1155"/>
  <c r="S1154"/>
  <c r="S1153"/>
  <c r="S1152"/>
  <c r="S1151"/>
  <c r="S1150"/>
  <c r="S1149"/>
  <c r="S1148"/>
  <c r="S1147"/>
  <c r="S1146"/>
  <c r="S1145"/>
  <c r="S1144"/>
  <c r="S1143"/>
  <c r="S1142"/>
  <c r="S1141"/>
  <c r="S1140"/>
  <c r="S1139"/>
  <c r="S1138"/>
  <c r="S1137"/>
  <c r="S1136"/>
  <c r="S1135"/>
  <c r="S1134"/>
  <c r="S1133"/>
  <c r="S1132"/>
  <c r="S1131"/>
  <c r="S1130"/>
  <c r="S1129"/>
  <c r="S1128"/>
  <c r="S1127"/>
  <c r="S1126"/>
  <c r="S1125"/>
  <c r="S1124"/>
  <c r="S1123"/>
  <c r="S1122"/>
  <c r="S1121"/>
  <c r="S1120"/>
  <c r="S1119"/>
  <c r="S1118"/>
  <c r="S1117"/>
  <c r="S1116"/>
  <c r="S1115"/>
  <c r="S1114"/>
  <c r="S1113"/>
  <c r="S1112"/>
  <c r="S1111"/>
  <c r="S1110"/>
  <c r="S1109"/>
  <c r="S1108"/>
  <c r="S1107"/>
  <c r="S1106"/>
  <c r="S1105"/>
  <c r="S1104"/>
  <c r="S1103"/>
  <c r="S1102"/>
  <c r="S1101"/>
  <c r="S1100"/>
  <c r="S1099"/>
  <c r="S1098"/>
  <c r="S1097"/>
  <c r="S1096"/>
  <c r="S1095"/>
  <c r="S1094"/>
  <c r="S1093"/>
  <c r="S1092"/>
  <c r="S1091"/>
  <c r="S1090"/>
  <c r="S1089"/>
  <c r="S1088"/>
  <c r="S1087"/>
  <c r="S1086"/>
  <c r="S1085"/>
  <c r="S1084"/>
  <c r="S1083"/>
  <c r="S1082"/>
  <c r="S1081"/>
  <c r="S1080"/>
  <c r="S1079"/>
  <c r="S1078"/>
  <c r="S1077"/>
  <c r="S1076"/>
  <c r="S1075"/>
  <c r="S1074"/>
  <c r="S1073"/>
  <c r="S1072"/>
  <c r="S1071"/>
  <c r="S1070"/>
  <c r="S1069"/>
  <c r="S1068"/>
  <c r="S1067"/>
  <c r="S1066"/>
  <c r="S1065"/>
  <c r="S1064"/>
  <c r="S1063"/>
  <c r="S1062"/>
  <c r="S1061"/>
  <c r="S1060"/>
  <c r="S1059"/>
  <c r="S1058"/>
  <c r="S1057"/>
  <c r="S1056"/>
  <c r="S1055"/>
  <c r="S1054"/>
  <c r="S1053"/>
  <c r="S1052"/>
  <c r="S1051"/>
  <c r="S1050"/>
  <c r="S1049"/>
  <c r="S1048"/>
  <c r="S1047"/>
  <c r="S1046"/>
  <c r="S1045"/>
  <c r="S1044"/>
  <c r="S1043"/>
  <c r="S1042"/>
  <c r="S1041"/>
  <c r="S1040"/>
  <c r="S1039"/>
  <c r="S1038"/>
  <c r="S1037"/>
  <c r="S1036"/>
  <c r="S1035"/>
  <c r="S1034"/>
  <c r="S1033"/>
  <c r="S1032"/>
  <c r="S1031"/>
  <c r="S1030"/>
  <c r="S1029"/>
  <c r="S1028"/>
  <c r="S1027"/>
  <c r="S1026"/>
  <c r="S1025"/>
  <c r="S1024"/>
  <c r="S1023"/>
  <c r="S1022"/>
  <c r="S1021"/>
  <c r="S1020"/>
  <c r="S1019"/>
  <c r="S1018"/>
  <c r="S1017"/>
  <c r="S1016"/>
  <c r="S1015"/>
  <c r="S1014"/>
  <c r="S1013"/>
  <c r="S1012"/>
  <c r="S1011"/>
  <c r="S1010"/>
  <c r="S1009"/>
  <c r="S1008"/>
  <c r="S1007"/>
  <c r="S1006"/>
  <c r="S1005"/>
  <c r="S1004"/>
  <c r="S1003"/>
  <c r="S1002"/>
  <c r="S1001"/>
  <c r="S1000"/>
  <c r="S999"/>
  <c r="S998"/>
  <c r="S997"/>
  <c r="S996"/>
  <c r="S995"/>
  <c r="S994"/>
  <c r="S993"/>
  <c r="S992"/>
  <c r="S991"/>
  <c r="S990"/>
  <c r="S989"/>
  <c r="S988"/>
  <c r="S987"/>
  <c r="S986"/>
  <c r="S985"/>
  <c r="S984"/>
  <c r="S983"/>
  <c r="S982"/>
  <c r="S981"/>
  <c r="S980"/>
  <c r="S979"/>
  <c r="S978"/>
  <c r="S977"/>
  <c r="S976"/>
  <c r="S975"/>
  <c r="S974"/>
  <c r="S973"/>
  <c r="S972"/>
  <c r="S971"/>
  <c r="S970"/>
  <c r="S969"/>
  <c r="S968"/>
  <c r="S967"/>
  <c r="S966"/>
  <c r="S965"/>
  <c r="S964"/>
  <c r="S963"/>
  <c r="S962"/>
  <c r="S961"/>
  <c r="S960"/>
  <c r="S959"/>
  <c r="S958"/>
  <c r="S957"/>
  <c r="S956"/>
  <c r="S955"/>
  <c r="S954"/>
  <c r="S953"/>
  <c r="S952"/>
  <c r="S951"/>
  <c r="S950"/>
  <c r="S949"/>
  <c r="S948"/>
  <c r="S947"/>
  <c r="S946"/>
  <c r="S945"/>
  <c r="S944"/>
  <c r="S943"/>
  <c r="S942"/>
  <c r="S941"/>
  <c r="S940"/>
  <c r="S939"/>
  <c r="S938"/>
  <c r="S937"/>
  <c r="S936"/>
  <c r="S935"/>
  <c r="S934"/>
  <c r="S933"/>
  <c r="S932"/>
  <c r="S931"/>
  <c r="S930"/>
  <c r="S929"/>
  <c r="S928"/>
  <c r="S927"/>
  <c r="S926"/>
  <c r="S925"/>
  <c r="S924"/>
  <c r="S923"/>
  <c r="S922"/>
  <c r="S921"/>
  <c r="S920"/>
  <c r="S919"/>
  <c r="S918"/>
  <c r="S917"/>
  <c r="S916"/>
  <c r="S915"/>
  <c r="S914"/>
  <c r="S913"/>
  <c r="S912"/>
  <c r="S911"/>
  <c r="S910"/>
  <c r="S909"/>
  <c r="S908"/>
  <c r="S907"/>
  <c r="S906"/>
  <c r="S905"/>
  <c r="S904"/>
  <c r="S903"/>
  <c r="S902"/>
  <c r="S901"/>
  <c r="S900"/>
  <c r="S899"/>
  <c r="S898"/>
  <c r="S897"/>
  <c r="S896"/>
  <c r="S895"/>
  <c r="S894"/>
  <c r="S893"/>
  <c r="S892"/>
  <c r="S891"/>
  <c r="S890"/>
  <c r="S889"/>
  <c r="S888"/>
  <c r="S887"/>
  <c r="S886"/>
  <c r="S885"/>
  <c r="S884"/>
  <c r="S883"/>
  <c r="S882"/>
  <c r="S881"/>
  <c r="S880"/>
  <c r="S879"/>
  <c r="S878"/>
  <c r="S877"/>
  <c r="S876"/>
  <c r="S875"/>
  <c r="S874"/>
  <c r="S873"/>
  <c r="S872"/>
  <c r="S871"/>
  <c r="S870"/>
  <c r="S869"/>
  <c r="S868"/>
  <c r="S867"/>
  <c r="S866"/>
  <c r="S865"/>
  <c r="S864"/>
  <c r="S863"/>
  <c r="S862"/>
  <c r="S861"/>
  <c r="S860"/>
  <c r="S859"/>
  <c r="S858"/>
  <c r="S857"/>
  <c r="S856"/>
  <c r="S855"/>
  <c r="S854"/>
  <c r="S853"/>
  <c r="S852"/>
  <c r="S851"/>
  <c r="S850"/>
  <c r="S849"/>
  <c r="S848"/>
  <c r="S847"/>
  <c r="S846"/>
  <c r="S845"/>
  <c r="S844"/>
  <c r="S843"/>
  <c r="S842"/>
  <c r="S841"/>
  <c r="S840"/>
  <c r="S839"/>
  <c r="S838"/>
  <c r="S837"/>
  <c r="S836"/>
  <c r="S835"/>
  <c r="S834"/>
  <c r="S833"/>
  <c r="S832"/>
  <c r="S831"/>
  <c r="S830"/>
  <c r="S829"/>
  <c r="S828"/>
  <c r="S827"/>
  <c r="S826"/>
  <c r="S825"/>
  <c r="S824"/>
  <c r="S823"/>
  <c r="S822"/>
  <c r="S821"/>
  <c r="S820"/>
  <c r="S819"/>
  <c r="S818"/>
  <c r="S817"/>
  <c r="S816"/>
  <c r="S815"/>
  <c r="S814"/>
  <c r="S813"/>
  <c r="S812"/>
  <c r="S811"/>
  <c r="S810"/>
  <c r="S809"/>
  <c r="S808"/>
  <c r="S807"/>
  <c r="S806"/>
  <c r="S805"/>
  <c r="S804"/>
  <c r="S803"/>
  <c r="S802"/>
  <c r="S801"/>
  <c r="S800"/>
  <c r="S799"/>
  <c r="S798"/>
  <c r="S797"/>
  <c r="S796"/>
  <c r="S795"/>
  <c r="S794"/>
  <c r="S793"/>
  <c r="S792"/>
  <c r="S791"/>
  <c r="S790"/>
  <c r="S789"/>
  <c r="S788"/>
  <c r="S787"/>
  <c r="S786"/>
  <c r="S785"/>
  <c r="S784"/>
  <c r="S783"/>
  <c r="S782"/>
  <c r="S781"/>
  <c r="S780"/>
  <c r="S779"/>
  <c r="S778"/>
  <c r="S777"/>
  <c r="S776"/>
  <c r="S775"/>
  <c r="S774"/>
  <c r="S773"/>
  <c r="S772"/>
  <c r="S771"/>
  <c r="S770"/>
  <c r="S769"/>
  <c r="S768"/>
  <c r="S767"/>
  <c r="S766"/>
  <c r="S765"/>
  <c r="S764"/>
  <c r="S763"/>
  <c r="S762"/>
  <c r="S761"/>
  <c r="S760"/>
  <c r="S759"/>
  <c r="S758"/>
  <c r="S757"/>
  <c r="S756"/>
  <c r="S755"/>
  <c r="S754"/>
  <c r="S753"/>
  <c r="S752"/>
  <c r="S751"/>
  <c r="S750"/>
  <c r="S749"/>
  <c r="S748"/>
  <c r="S747"/>
  <c r="S746"/>
  <c r="S745"/>
  <c r="S744"/>
  <c r="S743"/>
  <c r="S742"/>
  <c r="S741"/>
  <c r="S740"/>
  <c r="S739"/>
  <c r="S738"/>
  <c r="S737"/>
  <c r="S736"/>
  <c r="S735"/>
  <c r="S734"/>
  <c r="S733"/>
  <c r="S732"/>
  <c r="S731"/>
  <c r="S730"/>
  <c r="S729"/>
  <c r="S728"/>
  <c r="S727"/>
  <c r="S726"/>
  <c r="S725"/>
  <c r="S724"/>
  <c r="S723"/>
  <c r="S722"/>
  <c r="S721"/>
  <c r="S720"/>
  <c r="S719"/>
  <c r="S718"/>
  <c r="S717"/>
  <c r="S716"/>
  <c r="S715"/>
  <c r="S714"/>
  <c r="S713"/>
  <c r="S712"/>
  <c r="S711"/>
  <c r="S710"/>
  <c r="S709"/>
  <c r="S708"/>
  <c r="S707"/>
  <c r="S706"/>
  <c r="S705"/>
  <c r="S704"/>
  <c r="S703"/>
  <c r="S702"/>
  <c r="S701"/>
  <c r="S700"/>
  <c r="S699"/>
  <c r="S698"/>
  <c r="S697"/>
  <c r="S696"/>
  <c r="S695"/>
  <c r="S694"/>
  <c r="S693"/>
  <c r="S692"/>
  <c r="S691"/>
  <c r="S690"/>
  <c r="S689"/>
  <c r="S688"/>
  <c r="S687"/>
  <c r="S686"/>
  <c r="S685"/>
  <c r="S684"/>
  <c r="S683"/>
  <c r="S682"/>
  <c r="S681"/>
  <c r="S680"/>
  <c r="S679"/>
  <c r="S678"/>
  <c r="S677"/>
  <c r="S676"/>
  <c r="S675"/>
  <c r="S674"/>
  <c r="S673"/>
  <c r="S672"/>
  <c r="S671"/>
  <c r="S670"/>
  <c r="S669"/>
  <c r="S668"/>
  <c r="S667"/>
  <c r="S666"/>
  <c r="S665"/>
  <c r="S664"/>
  <c r="S663"/>
  <c r="S662"/>
  <c r="S661"/>
  <c r="S660"/>
  <c r="S659"/>
  <c r="S658"/>
  <c r="S657"/>
  <c r="S656"/>
  <c r="S655"/>
  <c r="S654"/>
  <c r="S653"/>
  <c r="S652"/>
  <c r="S651"/>
  <c r="S650"/>
  <c r="S649"/>
  <c r="S648"/>
  <c r="S647"/>
  <c r="S646"/>
  <c r="S645"/>
  <c r="S644"/>
  <c r="S643"/>
  <c r="S642"/>
  <c r="S641"/>
  <c r="S640"/>
  <c r="S639"/>
  <c r="S638"/>
  <c r="S637"/>
  <c r="S636"/>
  <c r="S635"/>
  <c r="S634"/>
  <c r="S633"/>
  <c r="S632"/>
  <c r="S631"/>
  <c r="S630"/>
  <c r="S629"/>
  <c r="S628"/>
  <c r="S627"/>
  <c r="S626"/>
  <c r="S625"/>
  <c r="S624"/>
  <c r="S623"/>
  <c r="S622"/>
  <c r="S621"/>
  <c r="S620"/>
  <c r="S619"/>
  <c r="S618"/>
  <c r="S617"/>
  <c r="S616"/>
  <c r="S615"/>
  <c r="S614"/>
  <c r="S613"/>
  <c r="S612"/>
  <c r="S611"/>
  <c r="S610"/>
  <c r="S609"/>
  <c r="S608"/>
  <c r="S607"/>
  <c r="S606"/>
  <c r="S605"/>
  <c r="S604"/>
  <c r="S603"/>
  <c r="S602"/>
  <c r="S601"/>
  <c r="S600"/>
  <c r="S599"/>
  <c r="S598"/>
  <c r="S597"/>
  <c r="S596"/>
  <c r="S595"/>
  <c r="S594"/>
  <c r="S593"/>
  <c r="S592"/>
  <c r="S591"/>
  <c r="S590"/>
  <c r="S589"/>
  <c r="S588"/>
  <c r="S587"/>
  <c r="S586"/>
  <c r="S585"/>
  <c r="S584"/>
  <c r="S583"/>
  <c r="S582"/>
  <c r="S581"/>
  <c r="S580"/>
  <c r="S579"/>
  <c r="S578"/>
  <c r="S577"/>
  <c r="S576"/>
  <c r="S575"/>
  <c r="S574"/>
  <c r="S573"/>
  <c r="S572"/>
  <c r="S571"/>
  <c r="S570"/>
  <c r="S569"/>
  <c r="S568"/>
  <c r="S567"/>
  <c r="S566"/>
  <c r="S565"/>
  <c r="S564"/>
  <c r="S563"/>
  <c r="S562"/>
  <c r="S561"/>
  <c r="S560"/>
  <c r="S559"/>
  <c r="S558"/>
  <c r="S557"/>
  <c r="S556"/>
  <c r="S555"/>
  <c r="S554"/>
  <c r="S553"/>
  <c r="S552"/>
  <c r="S551"/>
  <c r="S550"/>
  <c r="S549"/>
  <c r="S548"/>
  <c r="S547"/>
  <c r="S546"/>
  <c r="S545"/>
  <c r="S544"/>
  <c r="S543"/>
  <c r="S542"/>
  <c r="S541"/>
  <c r="S540"/>
  <c r="S539"/>
  <c r="S538"/>
  <c r="S537"/>
  <c r="S536"/>
  <c r="S535"/>
  <c r="S534"/>
  <c r="S533"/>
  <c r="S532"/>
  <c r="S531"/>
  <c r="S530"/>
  <c r="S529"/>
  <c r="S528"/>
  <c r="S527"/>
  <c r="S526"/>
  <c r="S525"/>
  <c r="S524"/>
  <c r="S523"/>
  <c r="S522"/>
  <c r="S521"/>
  <c r="S520"/>
  <c r="S519"/>
  <c r="S518"/>
  <c r="S517"/>
  <c r="S516"/>
  <c r="S515"/>
  <c r="S514"/>
  <c r="S513"/>
  <c r="S512"/>
  <c r="S511"/>
  <c r="S510"/>
  <c r="S509"/>
  <c r="S508"/>
  <c r="S507"/>
  <c r="S506"/>
  <c r="S505"/>
  <c r="S504"/>
  <c r="S503"/>
  <c r="S502"/>
  <c r="S501"/>
  <c r="S500"/>
  <c r="S499"/>
  <c r="S498"/>
  <c r="S497"/>
  <c r="S496"/>
  <c r="S495"/>
  <c r="S494"/>
  <c r="S493"/>
  <c r="S492"/>
  <c r="S491"/>
  <c r="S490"/>
  <c r="S489"/>
  <c r="S488"/>
  <c r="S487"/>
  <c r="S486"/>
  <c r="S485"/>
  <c r="S484"/>
  <c r="S483"/>
  <c r="S482"/>
  <c r="S481"/>
  <c r="S480"/>
  <c r="S479"/>
  <c r="S478"/>
  <c r="S477"/>
  <c r="S476"/>
  <c r="S475"/>
  <c r="S474"/>
  <c r="S473"/>
  <c r="S472"/>
  <c r="S471"/>
  <c r="S470"/>
  <c r="S469"/>
  <c r="S468"/>
  <c r="S467"/>
  <c r="S466"/>
  <c r="S465"/>
  <c r="S464"/>
  <c r="S463"/>
  <c r="S462"/>
  <c r="S461"/>
  <c r="S460"/>
  <c r="S459"/>
  <c r="S458"/>
  <c r="S457"/>
  <c r="S456"/>
  <c r="S455"/>
  <c r="S454"/>
  <c r="S453"/>
  <c r="S452"/>
  <c r="S451"/>
  <c r="S450"/>
  <c r="S449"/>
  <c r="S448"/>
  <c r="S447"/>
  <c r="S446"/>
  <c r="S445"/>
  <c r="S444"/>
  <c r="S443"/>
  <c r="S442"/>
  <c r="S441"/>
  <c r="S440"/>
  <c r="S439"/>
  <c r="S438"/>
  <c r="S437"/>
  <c r="S436"/>
  <c r="S435"/>
  <c r="S434"/>
  <c r="S433"/>
  <c r="S432"/>
  <c r="S431"/>
  <c r="S430"/>
  <c r="S429"/>
  <c r="S428"/>
  <c r="S427"/>
  <c r="S426"/>
  <c r="S425"/>
  <c r="S424"/>
  <c r="S423"/>
  <c r="S422"/>
  <c r="S421"/>
  <c r="S420"/>
  <c r="S419"/>
  <c r="S418"/>
  <c r="S417"/>
  <c r="S416"/>
  <c r="S415"/>
  <c r="S414"/>
  <c r="S413"/>
  <c r="S412"/>
  <c r="S411"/>
  <c r="S410"/>
  <c r="S409"/>
  <c r="S408"/>
  <c r="S407"/>
  <c r="S406"/>
  <c r="S405"/>
  <c r="S404"/>
  <c r="S403"/>
  <c r="S402"/>
  <c r="S401"/>
  <c r="S400"/>
  <c r="S399"/>
  <c r="S398"/>
  <c r="S397"/>
  <c r="S396"/>
  <c r="S395"/>
  <c r="S394"/>
  <c r="S393"/>
  <c r="S392"/>
  <c r="S391"/>
  <c r="S390"/>
  <c r="S389"/>
  <c r="S388"/>
  <c r="S387"/>
  <c r="S386"/>
  <c r="S385"/>
  <c r="S384"/>
  <c r="S383"/>
  <c r="S382"/>
  <c r="S381"/>
  <c r="S380"/>
  <c r="S379"/>
  <c r="S378"/>
  <c r="S377"/>
  <c r="S376"/>
  <c r="S375"/>
  <c r="S374"/>
  <c r="S373"/>
  <c r="S372"/>
  <c r="S371"/>
  <c r="S370"/>
  <c r="S369"/>
  <c r="S368"/>
  <c r="S367"/>
  <c r="S366"/>
  <c r="S365"/>
  <c r="S364"/>
  <c r="S363"/>
  <c r="S362"/>
  <c r="S361"/>
  <c r="S360"/>
  <c r="S359"/>
  <c r="S358"/>
  <c r="S357"/>
  <c r="S356"/>
  <c r="S355"/>
  <c r="S354"/>
  <c r="S353"/>
  <c r="S352"/>
  <c r="S351"/>
  <c r="S350"/>
  <c r="S349"/>
  <c r="S348"/>
  <c r="S347"/>
  <c r="S346"/>
  <c r="S345"/>
  <c r="S344"/>
  <c r="S343"/>
  <c r="S342"/>
  <c r="S341"/>
  <c r="S340"/>
  <c r="S339"/>
  <c r="S338"/>
  <c r="S337"/>
  <c r="S336"/>
  <c r="S335"/>
  <c r="S334"/>
  <c r="S333"/>
  <c r="S332"/>
  <c r="S331"/>
  <c r="S330"/>
  <c r="S329"/>
  <c r="S328"/>
  <c r="S327"/>
  <c r="S326"/>
  <c r="S325"/>
  <c r="S324"/>
  <c r="S323"/>
  <c r="S322"/>
  <c r="S321"/>
  <c r="S320"/>
  <c r="S319"/>
  <c r="S318"/>
  <c r="S317"/>
  <c r="S316"/>
  <c r="S315"/>
  <c r="S314"/>
  <c r="S313"/>
  <c r="S312"/>
  <c r="S311"/>
  <c r="S310"/>
  <c r="S309"/>
  <c r="S308"/>
  <c r="S307"/>
  <c r="S306"/>
  <c r="S305"/>
  <c r="S304"/>
  <c r="S303"/>
  <c r="S302"/>
  <c r="S301"/>
  <c r="S300"/>
  <c r="S299"/>
  <c r="S298"/>
  <c r="S297"/>
  <c r="S296"/>
  <c r="S295"/>
  <c r="S294"/>
  <c r="S293"/>
  <c r="S292"/>
  <c r="S291"/>
  <c r="S290"/>
  <c r="S289"/>
  <c r="S288"/>
  <c r="S287"/>
  <c r="S286"/>
  <c r="S285"/>
  <c r="S284"/>
  <c r="S283"/>
  <c r="S282"/>
  <c r="S281"/>
  <c r="S280"/>
  <c r="S279"/>
  <c r="S278"/>
  <c r="S277"/>
  <c r="S276"/>
  <c r="S275"/>
  <c r="S274"/>
  <c r="S273"/>
  <c r="S272"/>
  <c r="S271"/>
  <c r="S270"/>
  <c r="S269"/>
  <c r="S268"/>
  <c r="S267"/>
  <c r="S266"/>
  <c r="S265"/>
  <c r="S264"/>
  <c r="S263"/>
  <c r="S262"/>
  <c r="S261"/>
  <c r="S260"/>
  <c r="S259"/>
  <c r="S258"/>
  <c r="S257"/>
  <c r="S256"/>
  <c r="S255"/>
  <c r="S254"/>
  <c r="S253"/>
  <c r="S252"/>
  <c r="S251"/>
  <c r="S250"/>
  <c r="S249"/>
  <c r="S248"/>
  <c r="S247"/>
  <c r="S246"/>
  <c r="S245"/>
  <c r="S244"/>
  <c r="S243"/>
  <c r="S242"/>
  <c r="S241"/>
  <c r="S240"/>
  <c r="S239"/>
  <c r="S238"/>
  <c r="S237"/>
  <c r="S236"/>
  <c r="S235"/>
  <c r="S234"/>
  <c r="S233"/>
  <c r="S232"/>
  <c r="S231"/>
  <c r="S230"/>
  <c r="S229"/>
  <c r="S228"/>
  <c r="S227"/>
  <c r="S226"/>
  <c r="S225"/>
  <c r="S224"/>
  <c r="S223"/>
  <c r="S222"/>
  <c r="S221"/>
  <c r="S220"/>
  <c r="S219"/>
  <c r="S218"/>
  <c r="S217"/>
  <c r="S216"/>
  <c r="S215"/>
  <c r="S214"/>
  <c r="S213"/>
  <c r="S212"/>
  <c r="S211"/>
  <c r="S210"/>
  <c r="S209"/>
  <c r="S208"/>
  <c r="S207"/>
  <c r="S206"/>
  <c r="S205"/>
  <c r="S204"/>
  <c r="S203"/>
  <c r="S202"/>
  <c r="S201"/>
  <c r="S200"/>
  <c r="S199"/>
  <c r="S198"/>
  <c r="S197"/>
  <c r="S196"/>
  <c r="S195"/>
  <c r="S194"/>
  <c r="S193"/>
  <c r="S192"/>
  <c r="S191"/>
  <c r="S190"/>
  <c r="S189"/>
  <c r="S188"/>
  <c r="S187"/>
  <c r="S186"/>
  <c r="S185"/>
  <c r="S184"/>
  <c r="S183"/>
  <c r="S182"/>
  <c r="S181"/>
  <c r="S180"/>
  <c r="S179"/>
  <c r="S178"/>
  <c r="S177"/>
  <c r="S176"/>
  <c r="S175"/>
  <c r="S174"/>
  <c r="S173"/>
  <c r="S172"/>
  <c r="S171"/>
  <c r="S170"/>
  <c r="S169"/>
  <c r="S168"/>
  <c r="S167"/>
  <c r="S166"/>
  <c r="S165"/>
  <c r="S164"/>
  <c r="S163"/>
  <c r="S162"/>
  <c r="S161"/>
  <c r="S160"/>
  <c r="S159"/>
  <c r="S158"/>
  <c r="S157"/>
  <c r="S156"/>
  <c r="S155"/>
  <c r="S154"/>
  <c r="S153"/>
  <c r="S152"/>
  <c r="S151"/>
  <c r="S150"/>
  <c r="S149"/>
  <c r="S148"/>
  <c r="S147"/>
  <c r="S146"/>
  <c r="S145"/>
  <c r="S144"/>
  <c r="S143"/>
  <c r="S142"/>
  <c r="S141"/>
  <c r="S140"/>
  <c r="S139"/>
  <c r="S138"/>
  <c r="S137"/>
  <c r="S136"/>
  <c r="S135"/>
  <c r="S134"/>
  <c r="S133"/>
  <c r="S132"/>
  <c r="S131"/>
  <c r="S130"/>
  <c r="S129"/>
  <c r="S128"/>
  <c r="S127"/>
  <c r="S126"/>
  <c r="S125"/>
  <c r="S124"/>
  <c r="S123"/>
  <c r="S122"/>
  <c r="S121"/>
  <c r="S120"/>
  <c r="S119"/>
  <c r="S118"/>
  <c r="S117"/>
  <c r="S116"/>
  <c r="S115"/>
  <c r="S114"/>
  <c r="S113"/>
  <c r="S112"/>
  <c r="S111"/>
  <c r="S110"/>
  <c r="S109"/>
  <c r="S108"/>
  <c r="S107"/>
  <c r="S106"/>
  <c r="S105"/>
  <c r="S104"/>
  <c r="S103"/>
  <c r="S102"/>
  <c r="S101"/>
  <c r="S100"/>
  <c r="S99"/>
  <c r="S98"/>
  <c r="S97"/>
  <c r="S96"/>
  <c r="S95"/>
  <c r="S94"/>
  <c r="S93"/>
  <c r="S92"/>
  <c r="S91"/>
  <c r="S90"/>
  <c r="S89"/>
  <c r="S88"/>
  <c r="S87"/>
  <c r="S86"/>
  <c r="S85"/>
  <c r="S84"/>
  <c r="S83"/>
  <c r="S82"/>
  <c r="S81"/>
  <c r="S80"/>
  <c r="S79"/>
  <c r="S78"/>
  <c r="S77"/>
  <c r="S76"/>
  <c r="S75"/>
  <c r="S74"/>
  <c r="S73"/>
  <c r="S72"/>
  <c r="S71"/>
  <c r="S70"/>
  <c r="S69"/>
  <c r="S68"/>
  <c r="S67"/>
  <c r="S66"/>
  <c r="S65"/>
  <c r="S64"/>
  <c r="S63"/>
  <c r="S62"/>
  <c r="S61"/>
  <c r="S60"/>
  <c r="S59"/>
  <c r="S58"/>
  <c r="S57"/>
  <c r="S56"/>
  <c r="S55"/>
  <c r="S54"/>
  <c r="S53"/>
  <c r="S52"/>
  <c r="S51"/>
  <c r="S50"/>
  <c r="S49"/>
  <c r="S48"/>
  <c r="S47"/>
  <c r="S46"/>
  <c r="S45"/>
  <c r="S44"/>
  <c r="S43"/>
  <c r="S42"/>
  <c r="S41"/>
  <c r="S40"/>
  <c r="S39"/>
  <c r="S38"/>
  <c r="S37"/>
  <c r="S36"/>
  <c r="S35"/>
  <c r="S34"/>
  <c r="S33"/>
  <c r="S32"/>
  <c r="S31"/>
  <c r="S30"/>
  <c r="S29"/>
  <c r="S28"/>
  <c r="S27"/>
  <c r="S26"/>
  <c r="S25"/>
  <c r="S24"/>
  <c r="S23"/>
  <c r="S22"/>
  <c r="S21"/>
  <c r="S20"/>
  <c r="S19"/>
  <c r="S18"/>
  <c r="S17"/>
  <c r="S16"/>
  <c r="S15"/>
  <c r="S14"/>
  <c r="S13"/>
  <c r="S12"/>
  <c r="S11"/>
  <c r="S10"/>
  <c r="S9"/>
</calcChain>
</file>

<file path=xl/sharedStrings.xml><?xml version="1.0" encoding="utf-8"?>
<sst xmlns="http://schemas.openxmlformats.org/spreadsheetml/2006/main" count="40578" uniqueCount="18319">
  <si>
    <t>ЦЕНТРПОЛИГРАФ</t>
  </si>
  <si>
    <t>111024, Москва, 1-ая ул. Энтузиастов, 15</t>
  </si>
  <si>
    <t>тел. (495) 781-45-46,673-50-61,673-48-91,673-21-48, факс (495) 673-41-55</t>
  </si>
  <si>
    <t>дата прайс-листа:</t>
  </si>
  <si>
    <t>21 Ноября 2025 г.</t>
  </si>
  <si>
    <t>E-mail: cnpol@cnpol.ru</t>
  </si>
  <si>
    <t>www.centrpoligraf.ru</t>
  </si>
  <si>
    <t>www.cnpol.ru</t>
  </si>
  <si>
    <t>цены в прайс-листе приведены с учетом НДС</t>
  </si>
  <si>
    <t>Код</t>
  </si>
  <si>
    <t>Серия</t>
  </si>
  <si>
    <t>Автор</t>
  </si>
  <si>
    <t>Название</t>
  </si>
  <si>
    <t>Том</t>
  </si>
  <si>
    <t>Цена</t>
  </si>
  <si>
    <t>НДС</t>
  </si>
  <si>
    <t>Стд</t>
  </si>
  <si>
    <t>ISBN</t>
  </si>
  <si>
    <t>Формат</t>
  </si>
  <si>
    <t>Перепл.</t>
  </si>
  <si>
    <t>Стр.</t>
  </si>
  <si>
    <t>Год</t>
  </si>
  <si>
    <t>Вес</t>
  </si>
  <si>
    <t>экз.</t>
  </si>
  <si>
    <t>пач.</t>
  </si>
  <si>
    <t>Аннотация</t>
  </si>
  <si>
    <t>Фото на сайте</t>
  </si>
  <si>
    <t>16879</t>
  </si>
  <si>
    <t>ОИ ПРОЗА</t>
  </si>
  <si>
    <t>Прилепин З.</t>
  </si>
  <si>
    <t>"Лимонка" в тюрьму</t>
  </si>
  <si>
    <t xml:space="preserve">        </t>
  </si>
  <si>
    <t>978-5-227-06579-7</t>
  </si>
  <si>
    <t>84x108 1/32</t>
  </si>
  <si>
    <t>тв</t>
  </si>
  <si>
    <t>Д</t>
  </si>
  <si>
    <t>21670</t>
  </si>
  <si>
    <t>ОИ ВИ</t>
  </si>
  <si>
    <t>Цалер И.В.</t>
  </si>
  <si>
    <t>100 легенд рока. Живой звук в каждой фразе</t>
  </si>
  <si>
    <t>978-5-227-11061-9</t>
  </si>
  <si>
    <t>60x90 1/16</t>
  </si>
  <si>
    <t>На споры о ценности и вредоносности рока было израсходовано не меньше типографской краски, чем ушло грима на все турне Kiss. Но как спорить о музыкальной стихии, которая избегает определений и застывших форм? Описанные в книге 100 имен и сюжетов из истории рока позволяют оценить мятежную силу музыки, над которой не властно время. Под одной обложкой и непререкаемые авторитеты уровня Элвиса Пресли, The Beatles, Led Zeppelin и Pink Floyd, и «теневые» классики, среди которых творцы гаражной психоделии The 13th Floor Elevators, культовый кантри-рокер Грэм Парсонс, признанные спустя десятилетия Big Star. В 100 историях безумств, знаковых событий и творческих прозрений — весь путь революционной музыкальной формы от наивного раннего рок-н-ролла до концептуальности прога, тяжелой поступи хард-рока, авангардных экспериментов панк-подполья. Полезное дополнение — рекомендованный к каждой главе классический альбом.</t>
  </si>
  <si>
    <t>Н</t>
  </si>
  <si>
    <t>21566</t>
  </si>
  <si>
    <t>СПБ</t>
  </si>
  <si>
    <t>Манойленко А.С.;Манойленко Ю.Е.</t>
  </si>
  <si>
    <t>100 петербургских историй, извлеченных из архивов и пожелтевших газет</t>
  </si>
  <si>
    <t>978-5-227-11005-3</t>
  </si>
  <si>
    <t>Эта книга состоит из невыдуманных историй. На протяжении многих лет авторы занимались их поиском в архивах и библиотеках, чтобы рассказать о неизвестных, но очень интересных страницах прошлого Санкт-Петербурга._x000D_
Вы прочитаете о государях, министрах и придворных — и сможете узнать те «штрихи» и «черточки», которые не вошли в их парадные биографии. Но главные герои книги — это петербургские обыватели XIX — начала ХХ века. Студенты, домохозяйки, офицеры, дворники, сторожа, художники — все те, кто дышал влажным воздухом Северной столицы, любовался красотой улиц и площадей, улыбался редкому солнышку, печалился и радовался событиям повседневной жизни. Вместе они создали особую, неповторимую атмосферу Петербурга, которая вдохновляет нас по сегодняшний день.</t>
  </si>
  <si>
    <t>14985</t>
  </si>
  <si>
    <t>ДУШЕВ КУЛ</t>
  </si>
  <si>
    <t>Вечерская И.</t>
  </si>
  <si>
    <t>100 рецептов блюд, богатыми витамином C. Вкусно, полезно, душевно, целебно</t>
  </si>
  <si>
    <t>978-5-227-04917-9</t>
  </si>
  <si>
    <t>70x90 1/32</t>
  </si>
  <si>
    <t>мяг</t>
  </si>
  <si>
    <t>14648</t>
  </si>
  <si>
    <t>100 рецептов блюд, богатыми витамином А. Вкусно, полезно, душевно, целебно</t>
  </si>
  <si>
    <t>978-5-227-04264-4</t>
  </si>
  <si>
    <t>16165</t>
  </si>
  <si>
    <t>100 рецептов вегетарианских блюд. Вкусно, полезно, душевно, целебно</t>
  </si>
  <si>
    <t>978-5-227-06047-1</t>
  </si>
  <si>
    <t>16238</t>
  </si>
  <si>
    <t>100 рецептов для молодых мам</t>
  </si>
  <si>
    <t>978-5-227-06010-5</t>
  </si>
  <si>
    <t>17134</t>
  </si>
  <si>
    <t>100 рецептов для омоложения</t>
  </si>
  <si>
    <t>978-5-227-07244-3</t>
  </si>
  <si>
    <t>13920</t>
  </si>
  <si>
    <t>Мудрова А.Ю.</t>
  </si>
  <si>
    <t>100 рецептов для разных знаков зодиака</t>
  </si>
  <si>
    <t>978-5-227-03888-3</t>
  </si>
  <si>
    <t>16096</t>
  </si>
  <si>
    <t>100 рецептов любовных блюд</t>
  </si>
  <si>
    <t>978-5-227-05986-4</t>
  </si>
  <si>
    <t>16539</t>
  </si>
  <si>
    <t>100 рецептов питания для малышей</t>
  </si>
  <si>
    <t>978-5-227-06455-4</t>
  </si>
  <si>
    <t>18086</t>
  </si>
  <si>
    <t>100 рецептов питания при геморрое</t>
  </si>
  <si>
    <t>978-5-227-08075-2</t>
  </si>
  <si>
    <t>17017</t>
  </si>
  <si>
    <t>100 рецептов питания при гипотонии</t>
  </si>
  <si>
    <t>978-5-227-06863-7</t>
  </si>
  <si>
    <t>17151</t>
  </si>
  <si>
    <t>100 рецептов питания при пищевой аллергии</t>
  </si>
  <si>
    <t>978-5-227-07100-2</t>
  </si>
  <si>
    <t>14802</t>
  </si>
  <si>
    <t>100 рецептов при авитаминозе</t>
  </si>
  <si>
    <t>978-5-227-04035-0</t>
  </si>
  <si>
    <t>15244</t>
  </si>
  <si>
    <t>100 рецептов при гипетронии. Вусно, полезно, душевно, целебно</t>
  </si>
  <si>
    <t>978-5-227-05178-3</t>
  </si>
  <si>
    <t>16867</t>
  </si>
  <si>
    <t>100 рецептов при головной боли</t>
  </si>
  <si>
    <t>978-5-227-06679-4</t>
  </si>
  <si>
    <t>17488</t>
  </si>
  <si>
    <t>100 рецептов при заболеваниях десен. Вкусно, полезно, душевно, целебно</t>
  </si>
  <si>
    <t>978-5-227-07085-2</t>
  </si>
  <si>
    <t>17323</t>
  </si>
  <si>
    <t>100 рецептов при заболеваниях желчного пузыря. Вкусно, полезно, душевно, целебно</t>
  </si>
  <si>
    <t>978-5-227-07261-0</t>
  </si>
  <si>
    <t>16164</t>
  </si>
  <si>
    <t>100 рецептов при заболеваниях щитовидной железы. Вкусно, полезно, душевно, целебно</t>
  </si>
  <si>
    <t>978-5-227-06022-8</t>
  </si>
  <si>
    <t>16715</t>
  </si>
  <si>
    <t>100 рецептов при недостатке кальция</t>
  </si>
  <si>
    <t>978-5-227-06643-5</t>
  </si>
  <si>
    <t>18245</t>
  </si>
  <si>
    <t>100 рецептов при остеохондрозе и отложении солей. Вкусно, полезно, душевно, целебно</t>
  </si>
  <si>
    <t>978-5-227-08191-9</t>
  </si>
  <si>
    <t>17349</t>
  </si>
  <si>
    <t>100 рецептов при холецистите. Вкусно, полезно, душевно, целебно</t>
  </si>
  <si>
    <t>978-5-227-07176-7</t>
  </si>
  <si>
    <t>16616</t>
  </si>
  <si>
    <t>100 рецептов салатной диеты для похудения</t>
  </si>
  <si>
    <t>978-5-227-06429-5</t>
  </si>
  <si>
    <t>21500</t>
  </si>
  <si>
    <t>ШЕДЕВРЫ</t>
  </si>
  <si>
    <t>Мудрова И.А.</t>
  </si>
  <si>
    <t>1000 превосходных цитат русских писателей. Мудрость, юмор, ирония, любовь, красота</t>
  </si>
  <si>
    <t>978-5-227-10985-9</t>
  </si>
  <si>
    <t>70x100 1/32</t>
  </si>
  <si>
    <t>Масштабы произведений, эпичность сюжетов и харизма персонажей заставляют склонять голову перед талантом русских писателей. Немецкий писатель Томас Манн однажды назвал русскую литературу святой: «Разве русский — не наиболее человечный из людей? Разве его литература не наиболее всех гуманна?» А один азиатский старец сказал: «Мы были колонией Англии, и европейская культура много дала, но ничто так не потрясло наши души, как русская литература». Не всякая национальная литература выходит за рамки своего языка, становясь частью мировой культуры. Русская литература ставит и решает задачи мирового масштаба. И потому помимо художественной ценности она несёт в себе и некие высшие начала. Предлагаем вашему вниманию превосходный сборник ярких цитат из произведений великих русских писателей и поэтов. Чаадаев и Пушкин, Мамин-Сибиряк и Салтыков-Щедрин, Лесков и Ломоносов, Карамзин и Державин, Лермонтов, Есенин, Достоевский, Некрасов, Чернышевский, Гоголь и ещё много-много прекрасных имён ждут вас в этой книге. Юмор, ирония, любовь, мудрость и красота на каждой странице.</t>
  </si>
  <si>
    <t>11103</t>
  </si>
  <si>
    <t>СОД</t>
  </si>
  <si>
    <t>Ковалев В.К.</t>
  </si>
  <si>
    <t>1000 советов опытного доктора. Как помочь себе и близким в экстремальных ситуациях</t>
  </si>
  <si>
    <t>978-5-9524-4207-8</t>
  </si>
  <si>
    <t>84x108 1/32 (обл)</t>
  </si>
  <si>
    <t>5989</t>
  </si>
  <si>
    <t>ПОДАРОК</t>
  </si>
  <si>
    <t>Рейчел Хэйл</t>
  </si>
  <si>
    <t>101 котомодель с любовью к кошкам</t>
  </si>
  <si>
    <t>5-9524-1608-X</t>
  </si>
  <si>
    <t>220х250</t>
  </si>
  <si>
    <t>15516</t>
  </si>
  <si>
    <t>ОИ ПСИХ</t>
  </si>
  <si>
    <t>Шушунова М.С.</t>
  </si>
  <si>
    <t>108 вопросов о здоровье и любви</t>
  </si>
  <si>
    <t>978-5-227-05372-5</t>
  </si>
  <si>
    <t>18516</t>
  </si>
  <si>
    <t>ОИ РОСС</t>
  </si>
  <si>
    <t>Ден Ю.А.</t>
  </si>
  <si>
    <t>1100 православных монастырей Российской империи. Полный перечень мужских и женских монастырей, архие</t>
  </si>
  <si>
    <t>978-5-227-07876-6</t>
  </si>
  <si>
    <t>70x100 1/16</t>
  </si>
  <si>
    <t>16407</t>
  </si>
  <si>
    <t>М ПС Ф</t>
  </si>
  <si>
    <t>Коровина Е.А.</t>
  </si>
  <si>
    <t>115 способов разбогатеть, или Секреты денежного изобилия. Маленькая книга, приносящая большие деньги</t>
  </si>
  <si>
    <t>978-5-227-06328-1</t>
  </si>
  <si>
    <t>17225</t>
  </si>
  <si>
    <t>ПРИЛЕПИН</t>
  </si>
  <si>
    <t>Демьян И.</t>
  </si>
  <si>
    <t>15 ветреных лет</t>
  </si>
  <si>
    <t>978-5-227-06616-9</t>
  </si>
  <si>
    <t>82x100 1/32</t>
  </si>
  <si>
    <t>18866</t>
  </si>
  <si>
    <t>Дубровин Н.Ф</t>
  </si>
  <si>
    <t>1773 год. Пугачев и его сообщники. Эпизод из истории царствования императрицы Екатерины II. Т. 1</t>
  </si>
  <si>
    <t>978-5-227-08751-5</t>
  </si>
  <si>
    <t>18867</t>
  </si>
  <si>
    <t>1774 год. Пугачев и его сообщники. Эпизод из истории царствования императрицы Екатерины II. Т. 2</t>
  </si>
  <si>
    <t>978-5-227-08756-0</t>
  </si>
  <si>
    <t>17707</t>
  </si>
  <si>
    <t>Дегтев Д., Зубов Д.</t>
  </si>
  <si>
    <t>1917г:  Русская голгофа. Агония империи и истоки революции.</t>
  </si>
  <si>
    <t>978-5-227-07562-8</t>
  </si>
  <si>
    <t>20732</t>
  </si>
  <si>
    <t>БД НОВ</t>
  </si>
  <si>
    <t>Волков С.В.</t>
  </si>
  <si>
    <t>1918 год на Украине</t>
  </si>
  <si>
    <t>978-5-227-10006-1</t>
  </si>
  <si>
    <t>Книга «1918 год на Украине» представляет собой пятый том из серии, посвященной Белому движению в России, и знакомит читателя с воспоминаниями участников событий и боев на Украине в период конец 1917—1918 гг. Гражданская война велась здесь в сложном идеологическом и националистическом противостоянии._x000D_
В книге впервые с такой полнотой представлены свидетельства не только руководителей антикоммунистической борьбы, но и ее рядовых участников, позволяющие наглядно представить обстановку и атмосферу того времени, психологию и духовный облик первых добровольцев. За небольшим исключением помещенные в томе материалы в России никогда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</si>
  <si>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20924</t>
  </si>
  <si>
    <t>1918­й год на Востоке России</t>
  </si>
  <si>
    <t>978-5-227-10077-1</t>
  </si>
  <si>
    <t>Книга представляет собой шестнадцатый том серии, посвященной Белому движению в России, и рассказывает о начальном этапе Белой борьбы на Востоке России, понимая под востоком в данном случае Волгу, Урал, Западную Сибирь. Этот период характеризовался выступлением офицерских организаций крупных городов этих регионов и Чехословацкого корпуса. Именно в это время заявляли о себе и прославились такие деятели Белого движения как В.О. Каппель, П.П. Иванов-Ринов, А.Н. Гришин-Алмазов, Н.Н. Казагранди, А.Н. Пепеляев и др. Особое внимание уделено Ижевско-Воткинскому антибольшевистскому восстанию и последующим боям ижевцев и воткинцев._x000D__x000D_
Боевые действия описываются на фоне политических акций Комуча, Уфимской Директории, Временного Сибирского правительства вплоть до вступления в верховное командование адмирала Колчака, то есть с мая по ноябрь 1918 г._x000D__x000D_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</si>
  <si>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13935</t>
  </si>
  <si>
    <t>СПБ ДЕТЯМ</t>
  </si>
  <si>
    <t>Векслер А.Ф.</t>
  </si>
  <si>
    <t>22 площади Санкт Петербурга</t>
  </si>
  <si>
    <t>978-5-227-03885-2</t>
  </si>
  <si>
    <t>21585</t>
  </si>
  <si>
    <t>Лемке М.К.</t>
  </si>
  <si>
    <t>250 дней в царской Ставке. Дневники штабс-капитана и военного цензора, приближенного к высшим государственным и военным чинам</t>
  </si>
  <si>
    <t>978-5-227-10808-1</t>
  </si>
  <si>
    <t>Михаил Лемке (1872–1923) — писатель, публицист, автор трудов по истории журналистики и цензуры, известен прежде всего подробнейшими воспоминаниями о службе в Ставке Верховного главнокомандующего в годы Первой мировой войны. С сентября 1915 года М.К. Лемке занимал должность военного цензора, а также отвечал за взаимодействие армейского начальства с прессой. Имея доступ к деловой переписке, приказам и донесениям, в том числе к особо секретным, штабс-капитан Лемке копировал все проходившие через него документы в дневник, в котором также записывал беседы с сослуживцами всех чинов и званий — от простых солдат до командующих фронтами. Из этих записок можно узнать о положении дел в армии незадолго до падения Российской империи: о проблемах со снабжением, недостаточном техническом и инженерном оснащении частей, пагубной практике протекционизма, интригах и даже адюльтерах. Книга наполнена мрачными предчувствиями надвигающихся перемен и робкой надеждой на грядущее обновление жизни.</t>
  </si>
  <si>
    <t>21384</t>
  </si>
  <si>
    <t>Мартьянова Л.М.</t>
  </si>
  <si>
    <t>30 восточных мыслителей, которых обязательно надо знать</t>
  </si>
  <si>
    <t>978-5-9524-6076-8</t>
  </si>
  <si>
    <t>70x108 1/32</t>
  </si>
  <si>
    <t>Восток – дело тонкое! Именно здесь зародились знания и думы, которые выросли в огромный пласт мировой философии. И хотя основы философии всегда больше относятся к религии, древние мудрецы внесли вклад в развитие метафизики, этики, логики… Традиционное понятие «восточная философия» объединяет индийскую, китайскую и исламские философии, но мы дадим вам представление ещё и о японских мыслителях. Лао-цзы и Конфуций, Сунь-цзы и Сиддхартха Гаутама (он же легендарный Будда), Патанджали и Ишваракришна, Авиценна, Ведавьяса и бессмертный Омар Хайям ждут вас на страницах этой книги.</t>
  </si>
  <si>
    <t>11794</t>
  </si>
  <si>
    <t>УВЛЕЧЕНИЯ</t>
  </si>
  <si>
    <t>Исаева</t>
  </si>
  <si>
    <t>30 способов завязывать галстук</t>
  </si>
  <si>
    <t>978-5-9524-4771-4</t>
  </si>
  <si>
    <t>16389</t>
  </si>
  <si>
    <t>Анташкевич Е.М.</t>
  </si>
  <si>
    <t>33 рассказа о китайском полицейском поручике Сорокине</t>
  </si>
  <si>
    <t>978-5-227-06341-0</t>
  </si>
  <si>
    <t>10681</t>
  </si>
  <si>
    <t>ПИСЬМА</t>
  </si>
  <si>
    <t>Елкин П.</t>
  </si>
  <si>
    <t>35 родинок: @mail.ru рекомендует</t>
  </si>
  <si>
    <t>978-5-9524-3693-0</t>
  </si>
  <si>
    <t>Интегр</t>
  </si>
  <si>
    <t>18623</t>
  </si>
  <si>
    <t>НИКТО КРОМЕ НАС</t>
  </si>
  <si>
    <t>Группа</t>
  </si>
  <si>
    <t>350 гвардейский парашютно-десантный Краснознаменный ордена Суворова полк</t>
  </si>
  <si>
    <t>978-5-227-08310-4</t>
  </si>
  <si>
    <t>84x108 1/12</t>
  </si>
  <si>
    <t>21784</t>
  </si>
  <si>
    <t>36 стратагем. Сокровенная книга по военной тактике</t>
  </si>
  <si>
    <t>978-5-227-11110-4</t>
  </si>
  <si>
    <t xml:space="preserve">     </t>
  </si>
  <si>
    <t>Стратагема — некий алгоритм поведения, просчитанная последовательность действий, направленных на достижение скрытой цели или решение какой-либо задачи с обязательным учетом психологии объекта, его положения, обстановки и других особенностей ситуации. Это понятие существует в культуре Китая не менее трех тысяч лет. _x000D_
Точно определить дату создания этого собрания стратагем невозможно. Книгу приблизительно можно отнести к династии Мин, хотя в ней нет указания ни на автора, ни на дату. Авторство в разное время приписывалось Сунь-цзы (эпоха Весны и Осени) и Чжугэ Ляну (Троецарствие). Большинство современных ученых склоняется к тому, что трактат вышел из устной и письменной традиции и имеет множество вариантов и авторов.</t>
  </si>
  <si>
    <t>12803</t>
  </si>
  <si>
    <t>Михайлова Л.</t>
  </si>
  <si>
    <t>365 рецептов здоровья от лучших целителей</t>
  </si>
  <si>
    <t>978-5-227-02859-4</t>
  </si>
  <si>
    <t>60x84 1/32</t>
  </si>
  <si>
    <t>21434</t>
  </si>
  <si>
    <t>37 французских философов, которых обязательно надо знать</t>
  </si>
  <si>
    <t>978-5-9524-6073-7</t>
  </si>
  <si>
    <t>В XX веке французская философия стала одной из самых влиятельных в мире и по сей день сохраняет своё действие на современные умы. В этой небольшой, но очень информативной книге мы расскажем вам о самых известных французских просветителях и мыслителях. Жан-Жак Руссо и Мишель Монтень, Пьер Абеляр и Блез Паскаль, Вольтер и Дени Дидро, Рене Декарт и Николя Мальбранш… Каждый из этого списка стоит того, чтобы мы хотя бы немного приобщились к их мудрости.</t>
  </si>
  <si>
    <t>21280</t>
  </si>
  <si>
    <t>44 древнегреческих мудреца, которых обязательно надо читать</t>
  </si>
  <si>
    <t>978-5-227-10724-4</t>
  </si>
  <si>
    <t>Древние греки оказали колоссальное влияние на западное общество. Именно греки сделали огромное количество открытий, и их литературные произведения дошли в полном виде до наших дней. Мы предлагаем вам познакомиться с наиболее влиятельными античными мудрецами, математиками, философами, писателями и поэтами. 44 бессмертных имени ждут вас на страницах книги: Гомер и Софокл, Геродот и Гиппократ, Платон и Аристотель, Архимед и Эзоп… Каждый из них заслужил того, чтобы мы хотя бы немного приобщились к их мудрости.</t>
  </si>
  <si>
    <t>21432</t>
  </si>
  <si>
    <t>Пигулевская И.С.</t>
  </si>
  <si>
    <t>44 русских философа, которых обязательно надо знать</t>
  </si>
  <si>
    <t>978-5-227-10778-7</t>
  </si>
  <si>
    <t>История русской философии сложна тем, что одни считают её началом XIX век, когда появились собственно русские философы, а другие исследователи говорят об истории философии с X века, поскольку в трудах авторов тех времён также поднимались вопросы бытия. В этой книге мы уделим внимание 44 великим русским философам, которых обязательно надо знать, так как они оказали наиболее сильное влияние на взгляды современников, потомков и ход русской истории. Мы ¬расскажем о Михаиле Ломоносове и Александре Радищеве, Виссарионе Белинском и Льве Толстом, Николае Добролюбове и Фёдоре Достоевском, Владимире Вернадском, Николае Рерихе, Павле Флоренском и других славных именах отечественной философии.</t>
  </si>
  <si>
    <t>21339</t>
  </si>
  <si>
    <t>45 немецких философов, которых обязательно надо знать</t>
  </si>
  <si>
    <t>978-5-9524-6072-0</t>
  </si>
  <si>
    <t>Философия пронизывает наш мир, формирует взгляды человека на природу человека и его место во Вселенной. Изначально философом называли любого образованного человека, и лишь гораздо позже этот термин стали применять к тем мыслителям, которые изучают вопросы мировоззрения. Германия — развитая страна с высоким уровнем образования. Она подарила миру много талантливых людей и, конечно же, философов, идеи которых оказали влияние на мировую культуру. Фридрих Ницше и Георг Гегель, Мартин Лютер и Иоганн Фихте, Иммануил Кант и Артур Шопенгауэр, Новалис и Эдмунд Гуссерль — каждый из них заслужил то, что мы хотя бы немного приобщились к их мудрости.</t>
  </si>
  <si>
    <t>21707</t>
  </si>
  <si>
    <t>Н ЙОГА</t>
  </si>
  <si>
    <t>Брахмачари С.</t>
  </si>
  <si>
    <t>5 минут йоги не вставая с кровати. Для каждой женщины в любом возрасте</t>
  </si>
  <si>
    <t>978-5-227-11004-6</t>
  </si>
  <si>
    <t>Вам нравится йога, но у вас нет времени ходить на занятия? Или, может быть, напротив, вы считаете ее мудреным увлечением экзальтированных домохозяек? И зря, ведь с помощью этого древнего учения и заложенных в нем практик можно помочь себе родиться заново._x000D_
Эта книга перевернет ваше представление о йоге и докажет, что она может быть проще, чем вы думаете, и, главное, что она действительно работает! Вам не надо будет никуда ходить — большинство упражнений, описанных здесь, можно выполнять не вставая с постели, и это займет у вас всего пять минут!_x000D_
Несложные асаны, мудры и пранаяма помогут вам избавиться от болезней и тревог, вредных привычек, лишнего веса, обрести психологическое равновесие и отличное здоровье.</t>
  </si>
  <si>
    <t>11548</t>
  </si>
  <si>
    <t>ОИ ДЕЛ</t>
  </si>
  <si>
    <t>Грид Р.</t>
  </si>
  <si>
    <t>5 победоносных стратегических пинков в зад, чтобы увеличить продажи, обезвредить конкурентов, завоевать рынок и добиться процветания</t>
  </si>
  <si>
    <t>978-5-9524-4528-4</t>
  </si>
  <si>
    <t>10260</t>
  </si>
  <si>
    <t>52 ЛС</t>
  </si>
  <si>
    <t>Кросс</t>
  </si>
  <si>
    <t>52 легких способа бросить курить</t>
  </si>
  <si>
    <t>978-5-9524-3271-0</t>
  </si>
  <si>
    <t>70x90 1/12</t>
  </si>
  <si>
    <t>Эта книга - полное и подробное собрание новейшей информации о курении, курильщиках и эффективнейших способах борьбы с курением. Вы сможете определить тот тип курильщика, к которому относитесь, и степень отравления вашего организма никотином. Авторы расскажут о современных лекарственных средствах, помогут внести изменения в распорядок дня, и вы за семь этапов избавитесь от пагубной привычки. Чтение книги являет собой базовый психологический тренинг, который настраивает на безболезненное и окончательное решение никогда не прикасаться к сигарете! _x000D_
Редактор, готовивший рукопись к изданию, бросил курить! Теперь - вы.</t>
  </si>
  <si>
    <t>10541</t>
  </si>
  <si>
    <t>Досани С.</t>
  </si>
  <si>
    <t>52 легких способа жить в кайф</t>
  </si>
  <si>
    <t>978-5-9524-3711-1</t>
  </si>
  <si>
    <t>Книга предлагает реальный способ выхода из депрессии. Она даст вам ответы на самые противоречивые вопросы и убедит в том, что самые простые и доступные средства могут творить чудеса. Перед вами предстанут безграничные возможности музыкальной терапии, природных антидепрессантов, дружеского общения, специального рациона питания и даже магнитов.</t>
  </si>
  <si>
    <t>10466</t>
  </si>
  <si>
    <t>Перрет</t>
  </si>
  <si>
    <t>52 легких способа извлечь пользу из развода</t>
  </si>
  <si>
    <t>978-5-9524-3632-9</t>
  </si>
  <si>
    <t>Книга поможет вам пережить развод и пройти путь от мучительного одиночества и растерянности к радости и вере в блестящее будущее. Кроме того, автор советует как оградить детей от стресса, и помогает понять, что неудавшийся брак открывает иные уровни возможностей. Также даны практические советы для решения юридической стороны развода.</t>
  </si>
  <si>
    <t>10310</t>
  </si>
  <si>
    <t>Френсис Д.</t>
  </si>
  <si>
    <t>52 легких способа научить детей питаться правильно</t>
  </si>
  <si>
    <t>978-5-9524-3486-8</t>
  </si>
  <si>
    <t>В книге вы найдете конкретную информацию о том, как заставить юных любителей чипсов есть овощи и фрукты, как научиться читать этикетки на продуктах или планировать диету малыша-вегетарианца. Полезная еда на скорую руку, здоровое меню для школьников, борьба с избыточным весом ребенка - все это и многое другое покажется не таким сложным, как вы думали раньше.</t>
  </si>
  <si>
    <t>10596</t>
  </si>
  <si>
    <t>Хаггинс К.</t>
  </si>
  <si>
    <t>52 легких способа получить от беременности удовольствие</t>
  </si>
  <si>
    <t>978-5-9524-3656-5</t>
  </si>
  <si>
    <t>Эту книгу для вас написала женщина, которая была беременна четыре раза и у которой были такие же сомнения и страхи, как и у вас. Вы готовы стать матерью? Какое белье нужно носить во время беременности: практичное и удобное или миниатюрное и сексуальное, какое носят все рок-звезды? Насколько вы прибавите в весе? Как избежать растяжек, из-за которых кажется, что вы постоянно одеты в купальник тигриной раскраски? Увидите ли вы когда-нибудь опять свои ноги? _x000D_
Заметки и советы в этой книге появились благодаря многолетнему опыту автора книги, а также близких, родных и женщин, с которыми она общалась во время работы.</t>
  </si>
  <si>
    <t>10566</t>
  </si>
  <si>
    <t>Браун Салли</t>
  </si>
  <si>
    <t>52 легких способа сохранить молодость</t>
  </si>
  <si>
    <t>978-5-9524-3708-1</t>
  </si>
  <si>
    <t>Изложена простая и доступная программа пошаговой деятельности по сохранению и генерированию позитивной энергии, благодаря которой вы сможете укрепить иммунитет, выиграть "войну со свободными радикалами", ощутить волшебную силу известных продуктов.</t>
  </si>
  <si>
    <t>10433</t>
  </si>
  <si>
    <t>52 легких способа укрощения строптивого ребенка</t>
  </si>
  <si>
    <t>978-5-9524-3497-4</t>
  </si>
  <si>
    <t>Ваш ребенок повзрослел, и вы понимаете, что настал интересный, но очень трудный период для семьи. Накопленный до сего времени педагогический опыт в одно мгновение стал бесполезным, и вы впадаете в отчаяние, когда не можете заставить свое чадо ходить в школу и не сидеть ночами за компьютером, возвращаться домой в установленное время и не огрызаться на домашних. У него слишком большая нагрузка или он превратился в существо с дурным характером? В любом случае подростку не обойтисъ без вашей поддержки, а вам - без совета людей, нашедших выход из подобных обстоятельств!</t>
  </si>
  <si>
    <t>11356</t>
  </si>
  <si>
    <t>ППЗ</t>
  </si>
  <si>
    <t>Хикс Р.</t>
  </si>
  <si>
    <t>52 способа победить аллергию</t>
  </si>
  <si>
    <t>978-5-9524-4028-9</t>
  </si>
  <si>
    <t>19600</t>
  </si>
  <si>
    <t>ДЕТЕКТИВ</t>
  </si>
  <si>
    <t>Ёкояма Х.</t>
  </si>
  <si>
    <t>978-5-227-09384-4</t>
  </si>
  <si>
    <t>75x100 1/32</t>
  </si>
  <si>
    <t>18034</t>
  </si>
  <si>
    <t>ИНОСТРАННЫЙ ДЕТЕКТИВ №1</t>
  </si>
  <si>
    <t>978-5-227-07987-9</t>
  </si>
  <si>
    <t>тв, супер</t>
  </si>
  <si>
    <t>15465</t>
  </si>
  <si>
    <t>Брандрет Дж.</t>
  </si>
  <si>
    <t>7 секретов счастья. Путь оптимиста</t>
  </si>
  <si>
    <t>978-5-227-05387-9</t>
  </si>
  <si>
    <t>20329</t>
  </si>
  <si>
    <t>Польман Х.</t>
  </si>
  <si>
    <t>900 дней боев за Ленинград. Воспоминания полковника вермахта Хартвига Польмана</t>
  </si>
  <si>
    <t>978-5-9524-5802-4</t>
  </si>
  <si>
    <t>Сражения за Ленинград в лесах и на берегах Волхова носили отчаянный и ожесточенный характер. На стороне немцев сражались датчане, эстонцы, голландцы, латыши, испанцы и норвежцы. Хартвиг Польман командовал в то время полком и был очевидцем событий, но после войны он стал историком, и эта книга — синтез знаний и чувств солдата и ученого.</t>
  </si>
  <si>
    <t>19942</t>
  </si>
  <si>
    <t>РАСКРАСКИ ДЛЯ ВЗРОСЛЫХ</t>
  </si>
  <si>
    <t>Тейлор Л.</t>
  </si>
  <si>
    <t>Cats-2. Творческая раскраска замурчательных котиков</t>
  </si>
  <si>
    <t>978-5-9524-5603-7</t>
  </si>
  <si>
    <t>84x108 1/16</t>
  </si>
  <si>
    <t>19775</t>
  </si>
  <si>
    <t>Cats­3. Творческая раскраска замурчательных котиков</t>
  </si>
  <si>
    <t>978-5-9524-5560-3</t>
  </si>
  <si>
    <t>20116</t>
  </si>
  <si>
    <t>Cats­4. Творческая раскраска замурчательных котиков</t>
  </si>
  <si>
    <t>978-5-9524-5735-5</t>
  </si>
  <si>
    <t>19208</t>
  </si>
  <si>
    <t>Cats­5. Творческая раскраска замурчательных котиков</t>
  </si>
  <si>
    <t>978-5-9524-5443-9</t>
  </si>
  <si>
    <t>19922</t>
  </si>
  <si>
    <t>Cats­6. Творческая раскраска замурчательных котиков</t>
  </si>
  <si>
    <t>978-5-9524-5589-4</t>
  </si>
  <si>
    <t>20265</t>
  </si>
  <si>
    <t>Cats­7. Очаровательные котята. Творческая раскраска</t>
  </si>
  <si>
    <t>978-5-9524-5835-2</t>
  </si>
  <si>
    <t>20229</t>
  </si>
  <si>
    <t>Cats. Творческая раскраска замурчательных котиков</t>
  </si>
  <si>
    <t>978-5-9524-5780-5</t>
  </si>
  <si>
    <t>20062</t>
  </si>
  <si>
    <t>Dino. Творческая раскраска удивительных динозавров</t>
  </si>
  <si>
    <t>978-5-9524-5685-3</t>
  </si>
  <si>
    <t>19943</t>
  </si>
  <si>
    <t>Dogs. Творческая раскраска симпатичных собачек</t>
  </si>
  <si>
    <t>978-5-9524-5619-8</t>
  </si>
  <si>
    <t>20352</t>
  </si>
  <si>
    <t>Flowers. Творческая раскраска великолепных цветов</t>
  </si>
  <si>
    <t>978-5-9524-5853-6</t>
  </si>
  <si>
    <t>Яркий восхитительный мир цветов поражает богатством форм и буйством красок. Творите волшебство, и под вашей рукой обретут благородные бордовые тона пышные розы, засветятся нежной голубизной незабудки, вспыхнут пронзительными розовыми оттенками цикламены. Раскрасьте дивные бутоны, феерические лепестки и ажурные листья — и почувствуете, как в вас просыпаются воспоминания о самых прекрасных моментах жизни, ­наполняют душу покой и умиротворение.</t>
  </si>
  <si>
    <t>12737</t>
  </si>
  <si>
    <t>CPF</t>
  </si>
  <si>
    <t>Гишлер В.</t>
  </si>
  <si>
    <t>Go-go girls апокалипсиса</t>
  </si>
  <si>
    <t>978-5-227-02828-0</t>
  </si>
  <si>
    <t>"Мортимер Тейт, в прошлом страховой агент, девять лет пережидает конец света в пещере на вершине горы в Теннесси. Так случается, что, защищая себя и свое убежище, он убивает трех человек, после чего решает спуститься в долину посмотреть, что осталось от не существующей более Америки. Его глазам предстает картина полного разорения. То малое, что осталось от цивилизации, сосредоточено вокруг стриптиз-клубов, где пиво холодное, танцоры горячие, а вышибалы вооружены до зубов.
В сопровождении ковбоя Баффало Билла, великолепной стриптизерши Шейлы и горца Теда Мортимер отправляется в разрушенный город Атланту в надежде, что сумеет поспособствовать  возрождению человечества..."</t>
  </si>
  <si>
    <t>7847</t>
  </si>
  <si>
    <t>РУБЛЕВКА</t>
  </si>
  <si>
    <t>Солей Н.</t>
  </si>
  <si>
    <t>Nечто или Рублевский Pops art</t>
  </si>
  <si>
    <t>978-5-9524-2801-0</t>
  </si>
  <si>
    <t>84х90 1/32</t>
  </si>
  <si>
    <t>19376</t>
  </si>
  <si>
    <t>Robots. Творческая раскраска</t>
  </si>
  <si>
    <t>978-5-9524-5467-5</t>
  </si>
  <si>
    <t>11223</t>
  </si>
  <si>
    <t>SMS</t>
  </si>
  <si>
    <t>Мухин</t>
  </si>
  <si>
    <t>SMS поздравлялки на все случаи жизни</t>
  </si>
  <si>
    <t>978-5-9524-4361-7</t>
  </si>
  <si>
    <t>10318</t>
  </si>
  <si>
    <t>978-5-9524-3425-7</t>
  </si>
  <si>
    <t>10874</t>
  </si>
  <si>
    <t>Добрынин А.Ф.</t>
  </si>
  <si>
    <t>SMS приколы с перчиком на все случаи жизни</t>
  </si>
  <si>
    <t>978-5-9524-3985-6</t>
  </si>
  <si>
    <t>10151</t>
  </si>
  <si>
    <t>ПИСЬМА Б</t>
  </si>
  <si>
    <t>Фрир О.</t>
  </si>
  <si>
    <t>UК для начинающих</t>
  </si>
  <si>
    <t>978-5-9524-3322-9</t>
  </si>
  <si>
    <t>19414</t>
  </si>
  <si>
    <t>ХХ ВЕК</t>
  </si>
  <si>
    <t>Воротников В.И.</t>
  </si>
  <si>
    <t>А было это так… Из дневника члена Политбюро ЦК КПСС</t>
  </si>
  <si>
    <t>978-5-227-07916-9</t>
  </si>
  <si>
    <t>0109</t>
  </si>
  <si>
    <t>МКД НО</t>
  </si>
  <si>
    <t>Чейз Д.Х.</t>
  </si>
  <si>
    <t>А ведь жизнь так коротка</t>
  </si>
  <si>
    <t>978-5-227-06941-2</t>
  </si>
  <si>
    <t>18154</t>
  </si>
  <si>
    <t>ЛР</t>
  </si>
  <si>
    <t>Коллинз Д.</t>
  </si>
  <si>
    <t>А как же любовь?</t>
  </si>
  <si>
    <t>978-5-227-08129-2</t>
  </si>
  <si>
    <t>3585</t>
  </si>
  <si>
    <t>КТ</t>
  </si>
  <si>
    <t>Юрская Е.</t>
  </si>
  <si>
    <t>А смерти net</t>
  </si>
  <si>
    <t>5-9524-0159-7</t>
  </si>
  <si>
    <t>19053</t>
  </si>
  <si>
    <t>НТ</t>
  </si>
  <si>
    <t>Горос О.В</t>
  </si>
  <si>
    <t>А утром пришел Фо…</t>
  </si>
  <si>
    <t>978-5-227-09024-9</t>
  </si>
  <si>
    <t>0126</t>
  </si>
  <si>
    <t>А что же случится со мной?</t>
  </si>
  <si>
    <t>978-5-227-06942-9</t>
  </si>
  <si>
    <t>19439</t>
  </si>
  <si>
    <t>ЗДН НОВ</t>
  </si>
  <si>
    <t>Бакстон Д.</t>
  </si>
  <si>
    <t>Абиссинцы. Потомки царя Соломона</t>
  </si>
  <si>
    <t>978-5-9524-5470-5</t>
  </si>
  <si>
    <t>17012</t>
  </si>
  <si>
    <t>KISS</t>
  </si>
  <si>
    <t>Гилмор Д.</t>
  </si>
  <si>
    <t>Абсолютная вера в любовь</t>
  </si>
  <si>
    <t>978-5-227-07050-0</t>
  </si>
  <si>
    <t>18065</t>
  </si>
  <si>
    <t>М ИР</t>
  </si>
  <si>
    <t>Бикон Э.</t>
  </si>
  <si>
    <t>Авантюра леди Олстон</t>
  </si>
  <si>
    <t>978-5-227-08109-4</t>
  </si>
  <si>
    <t>8826</t>
  </si>
  <si>
    <t>М ЖИ</t>
  </si>
  <si>
    <t>Константинова Д.</t>
  </si>
  <si>
    <t>Авантюристка</t>
  </si>
  <si>
    <t>978-5-9524-3077-8</t>
  </si>
  <si>
    <t>3486</t>
  </si>
  <si>
    <t>Н СТАУТ</t>
  </si>
  <si>
    <t>Стаут Рекс</t>
  </si>
  <si>
    <t>5-9524-0052-3</t>
  </si>
  <si>
    <t xml:space="preserve">    </t>
  </si>
  <si>
    <t>4332</t>
  </si>
  <si>
    <t>21582</t>
  </si>
  <si>
    <t>ПРАВИТЕЛИ</t>
  </si>
  <si>
    <t>Бейкер Д.</t>
  </si>
  <si>
    <t>Август. Первый император Рима</t>
  </si>
  <si>
    <t>978-5-9524-6319-6</t>
  </si>
  <si>
    <t>Джордж Бейкер предлагает увлекательную и наиболее полную из существующих биографий Гая Октавия, усыновленного Цезарем и поэтому получившего имя Гай Юлий Цезарь Октавиан Август, ставшего первым императором Рима, по возможности избегая предвзятых оценок и непроверенных мнений. Бейкер использует не только свидетельства великих историков древности, но и достижения современной научной мысли. В книге воссозданы реалии политики, экономики и быта Древнего Рима.</t>
  </si>
  <si>
    <t>20507</t>
  </si>
  <si>
    <t>НЛФ СВ</t>
  </si>
  <si>
    <t>Безуглов С.А.</t>
  </si>
  <si>
    <t>Авиация РККА в Зимней войне. Опыт боевых действий советских ВВС накануне Великой Отечественной войны</t>
  </si>
  <si>
    <t>978-5-227-09840-5</t>
  </si>
  <si>
    <t>Книга посвящена анализу боевого применения советской авиации в войне с Финляндией 1939—1940 гг.  Рассмотрены физико-географические и климатические условия театра военных действий, состояние и группировка советских и финских войск, как факторы, влиявшие на создание и наращивание авиационной группировки советских ВВС, планирование боевых действий, управление группировкой, взаимодействие с другими родами войск. Рассмотрены особенности базирования и всестороннего снабжения советской авиации в районе боевых действий. В работе показаны сложности  выполнения задач в условиях безориентирной местности и противодействия авиации и зенитных средств противника.</t>
  </si>
  <si>
    <t>19161</t>
  </si>
  <si>
    <t>Подгальский В.</t>
  </si>
  <si>
    <t>Агарта</t>
  </si>
  <si>
    <t>978-5-227-09102-4</t>
  </si>
  <si>
    <t>15470</t>
  </si>
  <si>
    <t>Шерих Д.Ю.</t>
  </si>
  <si>
    <t>Агонизирующая столица. Как Петербург противостоял семи страшнейшим эпидемиям холеры</t>
  </si>
  <si>
    <t>978-5-227-05355-8</t>
  </si>
  <si>
    <t>21399</t>
  </si>
  <si>
    <t>ЗЛФ НОВ</t>
  </si>
  <si>
    <t>Рот Г.</t>
  </si>
  <si>
    <t>Ад Восточного фронта. Дневники фельдфебеля противотанкового батальона. 1941—1943</t>
  </si>
  <si>
    <t>978-5-9524-6253-3</t>
  </si>
  <si>
    <t>Ефрейтор, а позднее фельдфебель Ганс Рот начал вести свой дневник весной 1941 г., когда 299-я дивизия, в которой он воевал, в составе 6-й армии, готовилась к нападению на Советский Союз. В соответствии с планом операции «Барбаросса» дивизия в ходе упорных боев продвигалась южнее Припятских болот. В конце того же года подразделение Рота участвовало в замыкании кольца окружения вокруг Киева, а впоследствии в ожесточенных боях под Сталинградом, в боях за Харьков, Воронеж и Орел. Почти ежедневно автор без прикрас описывал все, что видел своими глазами: кровопролитные бои и жестокую расправу над населением на оккупированных территориях, суровый солдатский быт и мечты о возвращении к мирной жизни. В 1944 г. фельдфебель Ганс Рот пропал без вести в Витебском котле, но сохранились три дневника с описанием боевых действий, в которых он принимал участие. Лишь много лет спустя их обнаружили внуки Рота и осуществили издание записок своего деда.</t>
  </si>
  <si>
    <t>13731</t>
  </si>
  <si>
    <t>Михеев М.А.</t>
  </si>
  <si>
    <t>Адмирал галактической империи</t>
  </si>
  <si>
    <t>978-5-227-03844-9</t>
  </si>
  <si>
    <t>7400</t>
  </si>
  <si>
    <t>СКАЗКА</t>
  </si>
  <si>
    <t>Дружинина</t>
  </si>
  <si>
    <t>Азбука</t>
  </si>
  <si>
    <t>5-9524-2236-5</t>
  </si>
  <si>
    <t>60x90 1/8</t>
  </si>
  <si>
    <t>10158</t>
  </si>
  <si>
    <t>АП</t>
  </si>
  <si>
    <t>Горшков</t>
  </si>
  <si>
    <t>Азбука праздника</t>
  </si>
  <si>
    <t>978-5-9524-3316-8</t>
  </si>
  <si>
    <t>12655</t>
  </si>
  <si>
    <t>Абельс Ж.</t>
  </si>
  <si>
    <t>Академия демиургов</t>
  </si>
  <si>
    <t>978-5-227-02777-1</t>
  </si>
  <si>
    <t>21452</t>
  </si>
  <si>
    <t>ОИ</t>
  </si>
  <si>
    <t>Мочульский К.В.</t>
  </si>
  <si>
    <t>Александр Блок</t>
  </si>
  <si>
    <t>978-5-227-10948-4</t>
  </si>
  <si>
    <t>Книга литературоведа Константина Васильевича Мочульского посвящена жизни и творчеству одного из крупнейших представителей русского символизма Александра Блока. Автор прослеживает жизненный путь поэта с детских лет до последних дней жизни, рассказывает о его творческой деятельности, анализирует произведения, уделяя особое внимание проблемам философского содержания творчества А. Блока.</t>
  </si>
  <si>
    <t>21562</t>
  </si>
  <si>
    <t>Грин П.</t>
  </si>
  <si>
    <t>Александр Македонский. Царь четырех сторон света</t>
  </si>
  <si>
    <t>978-5-9524-6383-7</t>
  </si>
  <si>
    <t>В книге английского писателя и критика, профессора истории Питера Грина повествуется о военных кампаниях Александра Македонского, великого завоевателя, сумевшего создать крупнейшую монархию древности. В книге приведены интереснейшие малоизвестные факты биографии Александра Македонского, ярко воссоздана историческая эпоха. Издание богато иллюстрировано и снабжено военными картами.</t>
  </si>
  <si>
    <t>21111</t>
  </si>
  <si>
    <t>Земан Збинек, Шарлау Уинфред</t>
  </si>
  <si>
    <t>Александр Парвус против российской монархии. Рассекреченные страницы жизни агента кайзеровской Германии</t>
  </si>
  <si>
    <t>978-5-9524-5777-5</t>
  </si>
  <si>
    <t>Александр Гельфанд в социалистических кругах был более известен под псевдонимом Парвус. Политический деятель иногда ловко преображался в политического дельца, и масштаб его интересов и влияния поражает воображение. Авторы в своем исследовании, основываясь на множестве документов, газетных и журнальных публикациях, архивных данных и авторитетных свидетельствах очевидцев событий, восстанавливают истинную картину жизни Гельфанда. Признанные исторические исполины оказались колоссами на глиняных ногах, а скрытный Парвус, оставаясь в тени, вершил судьбы империй.</t>
  </si>
  <si>
    <t>17078</t>
  </si>
  <si>
    <t>Альбомы по искусству</t>
  </si>
  <si>
    <t>Герман М.</t>
  </si>
  <si>
    <t>Александр Русаков. Живопись. (Адмиралтейский проспект)</t>
  </si>
  <si>
    <t>978-5-227-07089-0</t>
  </si>
  <si>
    <t>17079</t>
  </si>
  <si>
    <t>Александр Русаков. Живопись. (Нева. Вид на Зимний дворец)</t>
  </si>
  <si>
    <t>978-5-227-07182-8</t>
  </si>
  <si>
    <t>21840</t>
  </si>
  <si>
    <t>400 РОМАНОВЫ</t>
  </si>
  <si>
    <t>Зимин И.В.</t>
  </si>
  <si>
    <t>Александровский дворец в Царском Селе. Люди и стены. 1796—1917. Повседневная жизнь Российского императорского двора</t>
  </si>
  <si>
    <t>978-5-227-11166-1</t>
  </si>
  <si>
    <t>В окрестностях Петербурга за 200 лет его имперской истории сформировалось настоящее созвездие императорских резиденций. Одни из них, например Петергоф, несмотря на колоссальные потери военных лет, продолжают блистать всеми красками. Другие, например Ропша, практически утрачены. Третьи находятся в тени своих блестящих соседей. К последним относится Александровский дворец Царского Села. Вместе с тем Александровский дворец занимает особое место среди пригородных императорских резиденций и в первую очередь потому, что на его стены лег отсвет трагической судьбы последней императорской семьи — семьи Николая II. Именно из этого дворца семью увезли рано утром 1 августа 1917 г. в Сибирь, откуда им не суждено было вернуться… Сегодня дворец живет новой жизнью. Действует постоянная экспозиция, рассказывающая о его истории и хозяевах. Осваивается музейное пространство второго этажа и подвала, реставрируются и открываются новые парадные залы... Множество людей, не являясь профессиональными искусствоведами или историками, прекрасно знают и любят Александровский дворец. Эта книга с ее бесчисленными подробностями и деталями обращена к ним.</t>
  </si>
  <si>
    <t>21769</t>
  </si>
  <si>
    <t>Александровский парк Царского Села. XVIII - начало XX в. Повседневная жизнь Российского императорского двора</t>
  </si>
  <si>
    <t>978-5-227-11142-5</t>
  </si>
  <si>
    <t>Эта книга является логическим продолжением опубликованной ранее работы И.В. Зимина «Александровский дворец в Царском Селе». Обращение к истории Александровского парка с его многочисленными сооружениями и павильонами обусловлено тем, что парк и дворец составляют единое пространство загородной императорской резиденции и изучать историю одного вне истории другого ­неправомерно. История Александровского парка имеет более глубокие корни в прошлом, нежели история Александровского дворца. Все императоры и императрицы, с начала XVIII в. жившие в Царском Селе, с любовью и усердием обустраивали свои резиденции и парки. В результате на территории Александровского парка возник причудливый сплав архитектурных фантазий и предпочтений, в которых проявился не только талант архитекторов, но и отблеск личных увлечений российских монархов…</t>
  </si>
  <si>
    <t>14622</t>
  </si>
  <si>
    <t>Денисенко Е.</t>
  </si>
  <si>
    <t>Александровский парк. Увлекательная экскурсия по Северной столице.</t>
  </si>
  <si>
    <t>978-5-227-04572-0</t>
  </si>
  <si>
    <t>13393</t>
  </si>
  <si>
    <t>Александровский сад. Увлекательная экскурсия по Северной столице</t>
  </si>
  <si>
    <t>978-5-227-03375-8</t>
  </si>
  <si>
    <t>18587</t>
  </si>
  <si>
    <t>ИНТРИГА</t>
  </si>
  <si>
    <t>Майерс С</t>
  </si>
  <si>
    <t>Алиби для любимой</t>
  </si>
  <si>
    <t>978-5-227-08527-6</t>
  </si>
  <si>
    <t>19429</t>
  </si>
  <si>
    <t>Алиса и ее волшебный мир. Творческая раскраска</t>
  </si>
  <si>
    <t>978-5-9524-5477-4</t>
  </si>
  <si>
    <t>15230</t>
  </si>
  <si>
    <t>КЦ</t>
  </si>
  <si>
    <t>Константинов Ю.Ю</t>
  </si>
  <si>
    <t>Аллергия. Народные способы лечения</t>
  </si>
  <si>
    <t>978-5-227-05067-0</t>
  </si>
  <si>
    <t>2902</t>
  </si>
  <si>
    <t>ПБ</t>
  </si>
  <si>
    <t>Арчер В.</t>
  </si>
  <si>
    <t>Алтарь василиска</t>
  </si>
  <si>
    <t>5-227-01530-9</t>
  </si>
  <si>
    <t>10944</t>
  </si>
  <si>
    <t>ТОП</t>
  </si>
  <si>
    <t>Джеймс П.</t>
  </si>
  <si>
    <t>Алхимик кн.1</t>
  </si>
  <si>
    <t>978-5-9524-4103-3</t>
  </si>
  <si>
    <t>12339</t>
  </si>
  <si>
    <t>М МБ</t>
  </si>
  <si>
    <t>978-5-227-02508-1</t>
  </si>
  <si>
    <t>16861</t>
  </si>
  <si>
    <t>ЛР СО</t>
  </si>
  <si>
    <t>Грин Э.</t>
  </si>
  <si>
    <t>Алхимия страсти</t>
  </si>
  <si>
    <t>978-5-227-06829-3</t>
  </si>
  <si>
    <t>19434</t>
  </si>
  <si>
    <t>Мальчушкин С.А</t>
  </si>
  <si>
    <t>Амбиции</t>
  </si>
  <si>
    <t>978-5-227-09171-0</t>
  </si>
  <si>
    <t>18093</t>
  </si>
  <si>
    <t>Грейвс У.</t>
  </si>
  <si>
    <t>Американская интервенция в Сибири. 1918—1920. Воспоминания командующего экспедиционным корпусом</t>
  </si>
  <si>
    <t>978-5-9524-5294-7</t>
  </si>
  <si>
    <t>16121</t>
  </si>
  <si>
    <t>Эриксон К.</t>
  </si>
  <si>
    <t>Американские горки</t>
  </si>
  <si>
    <t>978-5-227-06124-9</t>
  </si>
  <si>
    <t>5486</t>
  </si>
  <si>
    <t>М БРС</t>
  </si>
  <si>
    <t>Дубров</t>
  </si>
  <si>
    <t>Американский коккер-спаниель</t>
  </si>
  <si>
    <t>5-9524-1482-6</t>
  </si>
  <si>
    <t>6241</t>
  </si>
  <si>
    <t>Американский питбультерьер</t>
  </si>
  <si>
    <t>5-9524-2022-2</t>
  </si>
  <si>
    <t>20637</t>
  </si>
  <si>
    <t>Гольдман Э.</t>
  </si>
  <si>
    <t>Анархизм. Сочинения одного из лидеров мирового анархического движения начала ХХ века</t>
  </si>
  <si>
    <t>978-5-227-10247-8</t>
  </si>
  <si>
    <t>В книгу вошли наиболее яркие эссе американской писательницы и политической активистки Эммы Гольдман (1869—1940 гг.), словом и делом боровшейся за социальную справедливость, равенство полов и всеобщее избирательное право. Эмигрировав из Российской империи, Гольдман принесла на американскую почву не только гуманистические идеалы русской интеллигенции, но и революционные идеи русских анархистов. В своих статьях публицистка ставит вопросы о положении женщин и институте брака, рассуждает об истинных целях анархизма и пагубном влиянии на личность и общество любых форм эксплуатации. Сочинения предваряет биографический очерк, написанный Ипполитом Гавелом, другом и соратником Эммы Гольдман.</t>
  </si>
  <si>
    <t>17353</t>
  </si>
  <si>
    <t>М РОБЕРТС НОВ</t>
  </si>
  <si>
    <t>Робертс Н.</t>
  </si>
  <si>
    <t>Ангел Габриеля</t>
  </si>
  <si>
    <t>978-5-227-07240-5</t>
  </si>
  <si>
    <t>15283</t>
  </si>
  <si>
    <t>М РОБЕРТС</t>
  </si>
  <si>
    <t>978-5-227-05032-8</t>
  </si>
  <si>
    <t>12441</t>
  </si>
  <si>
    <t>СР+</t>
  </si>
  <si>
    <t>Баррет Л.</t>
  </si>
  <si>
    <t>Ангел для дочери</t>
  </si>
  <si>
    <t>978-5-227-02555-5</t>
  </si>
  <si>
    <t>17028</t>
  </si>
  <si>
    <t>МЕЛИК</t>
  </si>
  <si>
    <t>Мелик Л.</t>
  </si>
  <si>
    <t>Ангелы-хранители- наши друзья и заступники</t>
  </si>
  <si>
    <t>978-5-227-06421-9</t>
  </si>
  <si>
    <t>20223</t>
  </si>
  <si>
    <t>Шоу Ш.</t>
  </si>
  <si>
    <t>Английская роза</t>
  </si>
  <si>
    <t>978-5-227-09696-8</t>
  </si>
  <si>
    <t>5424</t>
  </si>
  <si>
    <t>Английский бульдог</t>
  </si>
  <si>
    <t>5-9524-1443-5</t>
  </si>
  <si>
    <t>5568</t>
  </si>
  <si>
    <t>Английский кокер спаниель</t>
  </si>
  <si>
    <t>5-9524-1481-8</t>
  </si>
  <si>
    <t>20968</t>
  </si>
  <si>
    <t>Лоуни Э.</t>
  </si>
  <si>
    <t>Англичанин Сталина. Несколько жизней Гая Бёрджесса, джокера кембриджской шпионской колоды</t>
  </si>
  <si>
    <t>978-5-227-10562-2</t>
  </si>
  <si>
    <t>Эта книга о Гае Бёрджессе — непризнанном гении шпионажа и самом эксцентричном агенте советской разведки. В 1951 году Бёрджесс бежал в СССР и в течение двенадцати лет добросовестно служил принявшей его стране, однако, оставаясь англичанином до мозга костей, так и не сумел приспособиться к жизни в сталинской России. Деятельность истинного лидера Кембриджской пятерки до сих пор остается объектом всевозможных измышлений и спекуляций, современники и кураторы из КГБ дают самые противоречивые и неоднозначные характеристики его личности. Эндрю Лоуни удалось создать многоплановый портрет незаурядного, порочного интеллектуала, представителя по­коления западной левой интеллигенции, которое в 30—40­х годах ХХ века оказалось в плену коммунистической идеологии.</t>
  </si>
  <si>
    <t>18036</t>
  </si>
  <si>
    <t>Эплби Д.Т.</t>
  </si>
  <si>
    <t>Англия времен Ричарда Львиное Сердце</t>
  </si>
  <si>
    <t>978-5-9524-5314-2</t>
  </si>
  <si>
    <t>18575</t>
  </si>
  <si>
    <t>ШС Т</t>
  </si>
  <si>
    <t>Шпаковский В.Ф., Шпаковская И.В</t>
  </si>
  <si>
    <t>Англо-русский словарь для каждого. English-russian Dictionary for Everyone</t>
  </si>
  <si>
    <t>978-5-227-08535-1</t>
  </si>
  <si>
    <t>19440</t>
  </si>
  <si>
    <t>Вильсон Д. М.</t>
  </si>
  <si>
    <t>Англосаксы. Покорители кельтской Британии</t>
  </si>
  <si>
    <t>978-5-9524-5469-9</t>
  </si>
  <si>
    <t>21023</t>
  </si>
  <si>
    <t>Андрей Белый. Новаторское творчество и личные катастрофы знаменитого поэта и писателя-символиста</t>
  </si>
  <si>
    <t>978-5-227-10602-5</t>
  </si>
  <si>
    <t>Книга литературоведа Константина Васильевича Мочульского посвящена жизни и творчеству известного русского символиста Андрея Белого. Автор прослеживает жизненный путь поэта с детских лет до последних дней жизни, рассказывает о его творческой деятельности и взаимоотношениях с товарищами по литературному цеху, уделяя особое внимание проблемам философского содержания его творчества.</t>
  </si>
  <si>
    <t>16124</t>
  </si>
  <si>
    <t>Синицин И.Е</t>
  </si>
  <si>
    <t>Андропов вблизи. Воспоминания о временах оттепели и застоя</t>
  </si>
  <si>
    <t>978-5-227-05745-7</t>
  </si>
  <si>
    <t>5729</t>
  </si>
  <si>
    <t>СД+</t>
  </si>
  <si>
    <t>Волкова</t>
  </si>
  <si>
    <t>Анемия и другие болезни крови</t>
  </si>
  <si>
    <t>5-9524-1679-9</t>
  </si>
  <si>
    <t>21517</t>
  </si>
  <si>
    <t>Аничков дворец. Резиденция наследников престола. Вторая половина XVIII — начало XX в. Повседневная жизнь Российского императорского двора</t>
  </si>
  <si>
    <t>978-5-227-10993-4</t>
  </si>
  <si>
    <t>Доктор исторических наук, профессор Игорь Викторович Зимин представляет очередную книгу из серии «Повседневная жизнь Российского императорского двора». В ней речь пойдет об одном из красивейших дворцов Петербурга – Аничкове._x000D_
Аничков дворец является одной из архитектурных доминант Невского проспекта, к формированию облика которого приложили руку самые выдающиеся архитекторы. Но еще большее значение дворец имеет как любимая резиденция двух российских монархов – Николая I и Александра III. С этим домом связаны годы их молодости, начало семейной жизни, рождение детей. Этот дом они с любовью обустраивали и с радостью в него возвращались. Немаловажно и то, что оба монарха жили в Аничковом дворце в статусе цесаревичей, когда на них еще не обрушилась лавина монарших дел и забот. В этой резиденции монархи формировались не только как будущие государственные деятели, но и как личности, со всеми сильными и слабыми сторонами. Следы увлечений их молодости оставили заметный след в истории русской культуры._x000D_
Как это ни удивительно, история бытования Аничкова дворца имеет скудную историографию. Конечно, о нем упоминается во множестве книг, но именно упоминается… Этой работой автор восполняет досадные пробелы в истории архитектурного шедевра, описывая самые разные грани из жизни Аничкова дворца._x000D_
Книга не имеет аналогов на современном рынке и заслуживает внимания самого широкого круга читателей.</t>
  </si>
  <si>
    <t>16858</t>
  </si>
  <si>
    <t>Зобнин Ю.В</t>
  </si>
  <si>
    <t>Анна Ахматова. Юные годы царскосельской музы</t>
  </si>
  <si>
    <t>978-5-227-06893-4</t>
  </si>
  <si>
    <t>21552</t>
  </si>
  <si>
    <t>ЛИС НОВ</t>
  </si>
  <si>
    <t>Альджеранов Х.</t>
  </si>
  <si>
    <t>Анна Павлова. Десять лет из жизни звезды русского балета</t>
  </si>
  <si>
    <t>978-5-9524-6351-6</t>
  </si>
  <si>
    <t>Известный английский танцовщик Харкурт Альджеранов, выступавший с Анной Павловой на одной сцене, вспоминает о десяти последних годах жизни великой балерины, о шедеврах, на которые она вдохновляла композиторов и балетмейстеров, о том, какой божественная Анна была в жизни. Альджеранов рассказывает о ее труппе и совместных гастролях по странам Европы, Америки и Азии.</t>
  </si>
  <si>
    <t>18518</t>
  </si>
  <si>
    <t>Фей Д.</t>
  </si>
  <si>
    <t>Анонимная страсть</t>
  </si>
  <si>
    <t>978-5-227-08411-8</t>
  </si>
  <si>
    <t>20541</t>
  </si>
  <si>
    <t>Бут К.</t>
  </si>
  <si>
    <t>Анонимное искушение</t>
  </si>
  <si>
    <t>978-5-227-10181-5</t>
  </si>
  <si>
    <t>Паркер Салливан — сексуальный, успешный и богатый спортивный агент. Он без устали работает и развлекается от души. Хлоя — первая женщина, которая поняла, почему он избегает серьезных отношений. После многих неудачных браков ее матери, в том числе с отцом Паркера, она тоже разочаровалась в мужчинах. Пока они пытаются найти твердую почву в волнах бушующей страсти, анонимный шантажист под именем «Маленькая черная книга» угрожает их отношениям...</t>
  </si>
  <si>
    <t>16090</t>
  </si>
  <si>
    <t>ОИ ДИЕТА</t>
  </si>
  <si>
    <t>Хаят Д</t>
  </si>
  <si>
    <t>Антираковая диета. Продукты, которые мы должны есть, чтобы защититься от опасного недуга</t>
  </si>
  <si>
    <t>978-5-227-06101-0</t>
  </si>
  <si>
    <t>20105</t>
  </si>
  <si>
    <t>ОИ ИБ</t>
  </si>
  <si>
    <t>Кейт К.</t>
  </si>
  <si>
    <t>Антуан де Сент-Экзюпери. Небесная птица с земной судьбой</t>
  </si>
  <si>
    <t>978-5-9524-5680-8</t>
  </si>
  <si>
    <t>21678</t>
  </si>
  <si>
    <t>КИЭ НОВ</t>
  </si>
  <si>
    <t>Гурченко Л.М</t>
  </si>
  <si>
    <t>Аплодисменты</t>
  </si>
  <si>
    <t>978-5-227-11062-6</t>
  </si>
  <si>
    <t>Книга, которую вы держите в руках, — это не просто история девчонки, ставшей знаменитостью, это правдивая история уникальной женщины во всей сложности и противоречивости ее духовной жизни. Все было на тернистом пути актрисы: и любовь, и отчаяние, и разочарования, и надежды. Это был непростой путь, но кто знает, взошла бы такая яркая звезда и сформировались бы такой искрометный характер и неповторимая личность, как Людмила Гурченко, не будь этого трудного пути к настоящей славе._x000D_
Людмила Марковна рассказала о своей жизни прямо, честно, открыто и абсолютно безжалостно к себе. Книга правдива и полна таких ярких картин того времени, о котором идет повествование, что невольно чувствуешь себя участником событий и веришь автору до конца…</t>
  </si>
  <si>
    <t>17427</t>
  </si>
  <si>
    <t>Качан В.</t>
  </si>
  <si>
    <t>Аплодисменты после...</t>
  </si>
  <si>
    <t>978-5-227-07267-2</t>
  </si>
  <si>
    <t>2551</t>
  </si>
  <si>
    <t>КИЭ</t>
  </si>
  <si>
    <t>Лев Лещенко</t>
  </si>
  <si>
    <t>Апология памяти</t>
  </si>
  <si>
    <t>5-227-01267-9</t>
  </si>
  <si>
    <t>5597</t>
  </si>
  <si>
    <t>НМ</t>
  </si>
  <si>
    <t>Вилсон Ф. Пол</t>
  </si>
  <si>
    <t>Апостол зла</t>
  </si>
  <si>
    <t>5-9524-1501-6</t>
  </si>
  <si>
    <t>21903</t>
  </si>
  <si>
    <t>ОИ СЗП</t>
  </si>
  <si>
    <t>Хейер Дж.</t>
  </si>
  <si>
    <t>Арабелла</t>
  </si>
  <si>
    <t>978-5-9524-6568-8</t>
  </si>
  <si>
    <t>Старшая дочь бедного приходского священника в Йоркшире прекрасная Арабелла Тэллант по приглашению крестной отправляется на свой первый сезон в Лондон. Родители надеются, что она найдет там достойного жениха. Но случайная встреча по дороге в столицу толкает девушку на необдуманный поступок. Поддавшись минутному гневу, она выдает себя за богатую наследницу, вынужденную скрываться от бесчисленных охотников за приданым. Светский красавец и дамский угодник, возмущенный ее холодностью, решает проучить ее. Однако Арабелла приготовила ему совсем другую роль...</t>
  </si>
  <si>
    <t>21273</t>
  </si>
  <si>
    <t>Лейн Э.</t>
  </si>
  <si>
    <t>Арабский мир. Средневековые традиции и верования в странах Ближнего Востока</t>
  </si>
  <si>
    <t>978-5-9524-6174-1</t>
  </si>
  <si>
    <t>Эдвард Лейн создал широчайшую панораму жизни и нравов стран Ближнего Востока от Средних веков до начала ХIХ века. В книге рассказывается о религии, богатствах арабской литературы и искусства, особенностях повседневной жизни и праздников, магических обрядах мусульман. Отдельные главы посвящены арабским женщинам и вопросам воспитания в средневековом исламском обществе. Труд основан на личных воспоминаниях автора, редких рукописях средневековых арабских писателей и историков Ибн аль-Джаузи, аль-Казвини и ас-Суюти, а также сказках и народных поверьях арабов, персов и египтян времен «Тысячи и одной ночи».</t>
  </si>
  <si>
    <t>20957</t>
  </si>
  <si>
    <t>Велльхаузен Ю.</t>
  </si>
  <si>
    <t>Арабский халифат</t>
  </si>
  <si>
    <t>978-5-227-10349-9</t>
  </si>
  <si>
    <t>Известный немецкий ученый, автор многих работ по теологии, профессор Гёттингенского университета представил историю Арабского халифата - некогда огромной и могущественной империи. Отмечая неразрывную связь политической, религиозной и административной власти Арабского халифата, автор анализирует историю возникновения ислама, его развитие, особенности и общность с другими главными мировыми религиями. Рассказывает о том, как правители приходили к власти и умирали; когда вступали в должность и отправлялись в отставку наместники важнейших провинций; кого халифы назначали каждый год вести хадж и как проходили завоевательные кампании. В своем исследовании Велльхаузен опирался на оригинальные источники - образцы древнейшей арабской исторической литературы, куфийские и мединские предания. Среди цитируемых авторов такие авторитеты, как Абу Михнаф, Ат­Табари, Ибн Исхак, Абу Машар, аль­Вакиди.</t>
  </si>
  <si>
    <t>21811</t>
  </si>
  <si>
    <t>Льюис Б.</t>
  </si>
  <si>
    <t>Арабы в мировой истории. С доисламских времен до распада колониальной системы</t>
  </si>
  <si>
    <t>978-5-9524-6525-1</t>
  </si>
  <si>
    <t>В классическом исследовании Бернарда Льюиса, одного из ведущих историков-востоковедов мира, рассматривается само понятие «араб» и место арабского народа в мировой истории с доисламских времен до победы движения за независимость и суверенитет в середине ХХ столетия. Автор прослеживает зарождение ислама и сопровождавшие его политические, религиозные и общественные события, превратившие разрозненные арабские племена в исламскую империю, и анализирует внутренние и внешние факторы, сформировавшие современный арабский мир. Льюис показывает, как западные нововведения и институты разрушили старые структуры и традиционный образ жизни арабов, так и не удовлетворив их потребность в социальном, политическом и культурном обновлении.</t>
  </si>
  <si>
    <t>4649</t>
  </si>
  <si>
    <t>ИСТОРИЯ</t>
  </si>
  <si>
    <t>Дженкинс М</t>
  </si>
  <si>
    <t>Аракчеев Реформатор реакционер</t>
  </si>
  <si>
    <t>5-9524-0889-3</t>
  </si>
  <si>
    <t>20363</t>
  </si>
  <si>
    <t>Аракчеев. Реформатор­реакционер</t>
  </si>
  <si>
    <t>978-5-9524-5729-4</t>
  </si>
  <si>
    <t>В книге рассказывается о жизни и деятельности А.А. Аракчеева, государственного и военного деятеля, о котором еще при жизни ходили легенды. Имя этого сановника вошло в историю как символ самой мрачной реакции и жесточайшего гнета. Истинный поборник самодержавия, ревностный проводник политики Александра I, он всегда стоял особняком, вызывал неприязнь и страх у придворных министров, откровенно презирал условности светского общества. Расположение царя к Аракчееву и вера в него озадачивали современников и ставили в тупик историков. Автор использует богатый архивный материал, исторические документы, переписку и воспоминания современников.</t>
  </si>
  <si>
    <t>19399</t>
  </si>
  <si>
    <t>Чайлд Г.</t>
  </si>
  <si>
    <t>Арийцы. Основатели европейской цивилизации</t>
  </si>
  <si>
    <t>978-5-9524-5455-2</t>
  </si>
  <si>
    <t>19544</t>
  </si>
  <si>
    <t>Магкеев Ч.М</t>
  </si>
  <si>
    <t>Арина - дочь дракона</t>
  </si>
  <si>
    <t>978-5-227-09391-2</t>
  </si>
  <si>
    <t>18849</t>
  </si>
  <si>
    <t>Херрис Э.</t>
  </si>
  <si>
    <t>Аристократка перед выбором</t>
  </si>
  <si>
    <t>978-5-227-08738-6</t>
  </si>
  <si>
    <t>17606</t>
  </si>
  <si>
    <t>АНЮГ</t>
  </si>
  <si>
    <t>Аменицкий Н., Сахаров И., Тромгольт С.</t>
  </si>
  <si>
    <t>Арифметическая разминка. Учимся решать необычные задачки</t>
  </si>
  <si>
    <t>978-5-9524-5235-0</t>
  </si>
  <si>
    <t>4441</t>
  </si>
  <si>
    <t>ЗЛФ М</t>
  </si>
  <si>
    <t>Шофилд Б.</t>
  </si>
  <si>
    <t>Арктические конвои</t>
  </si>
  <si>
    <t>5-9524-0672-6</t>
  </si>
  <si>
    <t>76x90 1/32</t>
  </si>
  <si>
    <t>16798</t>
  </si>
  <si>
    <t>ИиВ</t>
  </si>
  <si>
    <t>Войтиков С.С.</t>
  </si>
  <si>
    <t>Армия и власть</t>
  </si>
  <si>
    <t>978-5-227-06574-2</t>
  </si>
  <si>
    <t>20428</t>
  </si>
  <si>
    <t>НЛФ</t>
  </si>
  <si>
    <t>Киселев И.В.</t>
  </si>
  <si>
    <t>Армия и флот в битве за Кавказ. Совместные операции на Черноморском побережье 1942–1943 гг.</t>
  </si>
  <si>
    <t>978-5-227-09923-5</t>
  </si>
  <si>
    <t>Битва за Кавказ 1942—1943 гг. стала одной из самых значимых и продолжительных в истории Великой Отечественной войны. В монографии кандидата исторических наук И.В. Киселева рассматриваются совместные действия советских войск и военно-морского флота в ходе этого сражения. Основное внимание уделено сражениям на берегах Черного и Азовского морей: борьбе за Новороссийск и Таманский полуостров, боям под Ейском, Темрюком и Туапсе. Книга написана на основе многочисленных советских и немецких документов, дневников и воспоминаний участников боев, исследований отечественных и зарубежных историков. Она посвящается защитникам Родины, советским солдатам и морякам, отстоявшим Кавказ и завоевавшим Победу в Великой Отечественной войне 1941—1945 гг.</t>
  </si>
  <si>
    <t>21505</t>
  </si>
  <si>
    <t>Уэбстер Г.</t>
  </si>
  <si>
    <t>Армия Римской империи в начале новой эры</t>
  </si>
  <si>
    <t>978-5-9524-6327-1</t>
  </si>
  <si>
    <t>Книга выдающегося археолога Грэма Уэбстера, руководившего раскопками легионерских крепостей и фортов периода римского завоевания Британии, посвящена истории вооруженных сил Империи в I—II вв. н. э. Автор знакомит читателей с организацией и составом армии, особенностями набора и обучения солдат, тактикой в сражениях и в походах. Буцдучи признанным специалистом по военному снаряжению, Уэбстер подробно описывает оружие легионеров, доспехи и амуницию, а также «невоенные» аспекты армейской жизни — жалованье, награды, питание и медицинское обслуживание, погребение и религиозные обряды. Также историк освещает вопросы приграничной политики, рассказывает о типах и устройстве военных лагерей, фортов и примыкающих к ним гражданских поселений.</t>
  </si>
  <si>
    <t>20285</t>
  </si>
  <si>
    <t>Лэнг Д.</t>
  </si>
  <si>
    <t>Армяне. Народ­созидатель</t>
  </si>
  <si>
    <t>978-5-9524-5764-5</t>
  </si>
  <si>
    <t>16233</t>
  </si>
  <si>
    <t>Эндрюс Э.</t>
  </si>
  <si>
    <t>Аромат желаний</t>
  </si>
  <si>
    <t>978-5-227-06162-1</t>
  </si>
  <si>
    <t>18640</t>
  </si>
  <si>
    <t>Чайлд М.</t>
  </si>
  <si>
    <t>Аромат нежданной любви</t>
  </si>
  <si>
    <t>978-5-227-08564-1</t>
  </si>
  <si>
    <t>15340</t>
  </si>
  <si>
    <t>М МАРТИН</t>
  </si>
  <si>
    <t>Мартин К.</t>
  </si>
  <si>
    <t>Аромат роз</t>
  </si>
  <si>
    <t>978-5-227-05275-9</t>
  </si>
  <si>
    <t>10417</t>
  </si>
  <si>
    <t>МДЕ</t>
  </si>
  <si>
    <t>Евдокименко П.</t>
  </si>
  <si>
    <t>Артрит. Свобода движений без операций</t>
  </si>
  <si>
    <t>978-5-9524-3468-4</t>
  </si>
  <si>
    <t>21278</t>
  </si>
  <si>
    <t>ОРУЖИЕ НОВ</t>
  </si>
  <si>
    <t>Окшотт Э.</t>
  </si>
  <si>
    <t>Археология оружия. От бронзового века до эпохи Ренессанса</t>
  </si>
  <si>
    <t>978-5-9524-6205-2</t>
  </si>
  <si>
    <t>Эварт Окшотт — признанный во всем мире ученый, специализирующийся по истории оружия. В этой книге автор подробно описывает многие виды мечей, копий и кинжалов, особое внимание уделяя периоду Средневековья. Издание снабжено большим количеством иллюстраций, выполненных рукой автора. Книга предназначена не только для специалистов, но и для тех, кто хотел бы ближе познакомиться с историей возникновения и совершенствования оружия и доспехов.</t>
  </si>
  <si>
    <t>16733</t>
  </si>
  <si>
    <t>Поселягин В.Г</t>
  </si>
  <si>
    <t>Архимаг</t>
  </si>
  <si>
    <t>978-5-227-06774-6</t>
  </si>
  <si>
    <t>21495</t>
  </si>
  <si>
    <t>Ассасины. Средневековый орден тайных убийц</t>
  </si>
  <si>
    <t>978-5-9524-6250-2</t>
  </si>
  <si>
    <t>Ученый с мировым именем, специалист по истории ислама, Ближнего Востока и взаимоотношений между исламом и Западом, профессор Принстонского университета Бернард Льюис в настоящей книге прослеживает историю радикальной исламской секты, ассасинов, явившейся первой группировкой людей, которые начали использовать убийство в качестве политического оружия. Упрочившись в Иране и Сирии в XI и XII веках, они поставили перед собой цель — свергнуть существовавший суннитский порядок в исламе и заменить его своим собственным, терроризируя своих врагов страшными убийствами лидеров ислама и некоторых крестоносцев, из-за чего в Европе и стали известны их название и репутация.</t>
  </si>
  <si>
    <t>19438</t>
  </si>
  <si>
    <t>Лессёэ Й.</t>
  </si>
  <si>
    <t>Ассирийцы. Покорители народов</t>
  </si>
  <si>
    <t>978-5-9524-5468-2</t>
  </si>
  <si>
    <t>1854</t>
  </si>
  <si>
    <t>МПП</t>
  </si>
  <si>
    <t>Омарр</t>
  </si>
  <si>
    <t>Астрология и кулинария</t>
  </si>
  <si>
    <t>5-227-00680-6</t>
  </si>
  <si>
    <t>21884</t>
  </si>
  <si>
    <t>МИ</t>
  </si>
  <si>
    <t>Ллевеллин Дж.</t>
  </si>
  <si>
    <t>Астрология от А до Я. Составление и толкование гороскопов</t>
  </si>
  <si>
    <t>978-5-9524--6550-3</t>
  </si>
  <si>
    <t>Книга Ллевеллина Джорджа (1876—1954), выдающегося американского астролога XX века, — первое общедоступное руководство, в котором изложены методы составления и чтения гороскопов, а также предложен простой и практичный способ вычисления карты рождения с учетом зодиакальных аспектов. В книге приведены таблицы полуденных отметок, образцы расчетов натальной карты и примеры толкования гороскопов, которые будут полезны не только начинающему астрологу, но и практикующим специалистам.</t>
  </si>
  <si>
    <t>2049</t>
  </si>
  <si>
    <t>ГОРОСКОП</t>
  </si>
  <si>
    <t>Величко</t>
  </si>
  <si>
    <t>Астрология повседневной жизни</t>
  </si>
  <si>
    <t>5-227-00857-4</t>
  </si>
  <si>
    <t>3847</t>
  </si>
  <si>
    <t>18566</t>
  </si>
  <si>
    <t>Данлоп Б.</t>
  </si>
  <si>
    <t>Атака искушением</t>
  </si>
  <si>
    <t>978-5-227-08444-6</t>
  </si>
  <si>
    <t>4400</t>
  </si>
  <si>
    <t>ПЛ</t>
  </si>
  <si>
    <t>Суворов</t>
  </si>
  <si>
    <t>Атеросклероз Диагностика профилактика и лечение</t>
  </si>
  <si>
    <t>5-9524-0609-2</t>
  </si>
  <si>
    <t>20502</t>
  </si>
  <si>
    <t>Спенс Л.</t>
  </si>
  <si>
    <t>Атлантида. История исчезнувшей цивилизации</t>
  </si>
  <si>
    <t>978-5-227-10191-4</t>
  </si>
  <si>
    <t>Книга Льюиса Спенса — это исследование тайн цивилизации, которая, как полагают, погрузилась в пучину океана более 11 тысяч лет назад. Ученый выдвигает основные версии и гипотезы существования Атлантиды как высокоразвитого государства с самобытной религией, традициями и культурой, простиравшего господство на все Средиземноморье.</t>
  </si>
  <si>
    <t>4053</t>
  </si>
  <si>
    <t>СПБ 300</t>
  </si>
  <si>
    <t>Цылов</t>
  </si>
  <si>
    <t>Атлас тринадцати частей Санкт Петербурга</t>
  </si>
  <si>
    <t>5-9524-0416-2</t>
  </si>
  <si>
    <t>18665</t>
  </si>
  <si>
    <t>Пилат О.</t>
  </si>
  <si>
    <t>Атомные шпионы. Охота за американскими ядерными секретами в годы холодной войны</t>
  </si>
  <si>
    <t>978-5-9524-5377-7</t>
  </si>
  <si>
    <t>21617</t>
  </si>
  <si>
    <t>Хаттон Э.</t>
  </si>
  <si>
    <t>Аттила. Предводитель гуннов</t>
  </si>
  <si>
    <t>978-5-9524-5985-4</t>
  </si>
  <si>
    <t>Аттила, предводитель гуннов, был великим полководцем. Армия гуннов никогда не имела обременительных обозов, поскольку все необходимое им на войне безжалостные завоеватели возили на лошадях, остальное добывалось в сражениях. Большинство древних историков считает Аттилу жестоким варваром, всю жизнь стремившимся сокрушить христианский мир. Однако умалять или умалчивать его полководческие заслуги никто из них не решается.</t>
  </si>
  <si>
    <t>16776</t>
  </si>
  <si>
    <t>Бейли Р.</t>
  </si>
  <si>
    <t>Аукцион страсти</t>
  </si>
  <si>
    <t>978-5-227-06750-0</t>
  </si>
  <si>
    <t>7936</t>
  </si>
  <si>
    <t>Профром</t>
  </si>
  <si>
    <t>Малюгин А.</t>
  </si>
  <si>
    <t>Аферисты BIGЛАЖАTOUR или Как развести клиента на бабло</t>
  </si>
  <si>
    <t>978-5-9524-2876-8</t>
  </si>
  <si>
    <t>10124</t>
  </si>
  <si>
    <t>М ПРОФРОМ</t>
  </si>
  <si>
    <t>978-5-9524-3225-3</t>
  </si>
  <si>
    <t>10267</t>
  </si>
  <si>
    <t>М ИД</t>
  </si>
  <si>
    <t>Мусина М.</t>
  </si>
  <si>
    <t>Афина дочь олигарха</t>
  </si>
  <si>
    <t>978-5-9524-3390-8</t>
  </si>
  <si>
    <t>18523</t>
  </si>
  <si>
    <t>Логан Н.</t>
  </si>
  <si>
    <t>Афродита из Корал-Бэй</t>
  </si>
  <si>
    <t>978-5-227-08414-9</t>
  </si>
  <si>
    <t>20294</t>
  </si>
  <si>
    <t>ВИМ</t>
  </si>
  <si>
    <t>Хаген В. фон</t>
  </si>
  <si>
    <t>Ацтеки, майя, инки. Великие царства древней Америки</t>
  </si>
  <si>
    <t>978-5-9524-5786-7</t>
  </si>
  <si>
    <t>19333</t>
  </si>
  <si>
    <t>Сустель Ж.</t>
  </si>
  <si>
    <t>Ацтеки. Воинственные подданные Монтесумы</t>
  </si>
  <si>
    <t>978-5-227-09218-2</t>
  </si>
  <si>
    <t>21233</t>
  </si>
  <si>
    <t>Фитцек С.</t>
  </si>
  <si>
    <t>Аэрофобия 7А</t>
  </si>
  <si>
    <t>978-5-227-10748-0</t>
  </si>
  <si>
    <t>Доктор Матс Крюгер не мог отказать дочери Неле в просьбе быть с ней, когда родится ее первенец, и скрепя сердце решился на длительный полет из Буэнос-Айреса в Берлин. Доктор панически боялся летать и не ждал ничего хорошего от этого путешествия, но и в самом страшном сне он не мог представить, каким кошмаром оно для него обернется. На высоте девять тысяч метров ему сообщили, что его беременная дочь похищена, а он должен отыскать в самолете свою бывшую пациентку и спровоцировать ее на безумные действия, иначе Неле умрет. В замкнутом пространстве самолета Матс решает задачу, как спасти дочь и не совершить преступление, а на земле ему пытается помочь женщина, которая когда-то его любила…</t>
  </si>
  <si>
    <t>21296</t>
  </si>
  <si>
    <t>978-5-227-10804-3</t>
  </si>
  <si>
    <t>20373</t>
  </si>
  <si>
    <t>АЮРВЕДА</t>
  </si>
  <si>
    <t>Раздобурдин Я.Н</t>
  </si>
  <si>
    <t>Аюрведа. Пособие по женскому здоровью</t>
  </si>
  <si>
    <t>978-5-227-09902-0</t>
  </si>
  <si>
    <t>Четвертая книга из серии «Инструкция по использованию жизни» рассказывает об аюрведических методах лечения женских болезней, ­затрагивает вопросы счастья, духовности, красоты внешней и внутренней. Описано применение индийских травяных составов и растений наших широт для лечения мастопатий, миом, поликистоза, бесплодия и прочих женских проблем. Книга написана максимально просто и легко, она будет интересна не только специалистам Аюрведы, но и самому широкому кругу читателей, неравнодушных к своему здоровью.</t>
  </si>
  <si>
    <t>21349</t>
  </si>
  <si>
    <t>Аюрведа. Пособие по мужскому здоровью</t>
  </si>
  <si>
    <t>978-5-227-10120-4</t>
  </si>
  <si>
    <t>Шестая книга серии рассказывает об аюрведических методах лечения мужских болезней, затрагивает вопросы счастья, духовности, достижения материальных благ. Описано применение индийских, китайских травяных составов и растений наших широт. Книги доктора Яна Раздобурдина — это блестящий синтез Аюрведы, славянской фитотерапии и современных медицинских исследований. _x000D_
Аюрведа целостна и универсальна, применение этой древней медицинской системы может дать фантастические результаты. Эта наука использовалась тысячи лет назад, всё чаще используется сейчас и будет использоваться в будущем. Сильные стороны Аюрведы — это очистительные программы, омоложение организма, лечение болезней желудочно-кишечного тракта, сосудов, суставов, кожи, репродуктивной сферы. Книга написана максимально просто и легко, она будет интересна не только специалистам Аюрведы, но и широкому кругу читателей.</t>
  </si>
  <si>
    <t>18702</t>
  </si>
  <si>
    <t>Аюрведа. Пособие по мужскому и женскому здоровью</t>
  </si>
  <si>
    <t>978-5-227-08621-1</t>
  </si>
  <si>
    <t>21722</t>
  </si>
  <si>
    <t>Аюрведа. Простые рецепты вечной молодости</t>
  </si>
  <si>
    <t>978-5-227-11080-0</t>
  </si>
  <si>
    <t>"Восьмая книга серии повествует о том, как продлить молодость во всех её смыслах: врач и путешественник Ян Раздобурдин рассказывает об укреплении иммунитета, правильной еде, омолаживающих практиках и травах, очищении, любви, счастье и вечной весне. Описано применение индийских, китайских травяных составов и растений наших широт. В этом труде даны конкретные советы, рецепты и способы, как быть счастливым, как повысить жизненные силы, продлить своё полноценное пребывание на этой планете и улучшить качество этого пребывания, и всё это с помощью Аюрведы. Применение этой древней медицинской системы может дать фантастические результаты. Аюрведа целостна, универсальна, всегда ищет духовные причины болезни, использует индивидуальный подход и делает акцент на образе жизни и питания. Эта наука использовалась тысячи лет назад, всё чаще используется сейчас и будет использоваться в будущем. Сильные стороны Аюрведы — это очистительные программы, омоложение организма, лечение болезней желудочно-кишечного тракта, сосудов, суставов, кожи, репродуктивной сферы.
Книга написана максимально просто и легко, она будет интересна не только врачам и специалистам Аюрведы, но и широкому кругу читателей."</t>
  </si>
  <si>
    <t>18250</t>
  </si>
  <si>
    <t>Аюрведа. Секреты здоровой кожи</t>
  </si>
  <si>
    <t>978-5-227-08269-5</t>
  </si>
  <si>
    <t>20165</t>
  </si>
  <si>
    <t>Аюрведа. Траволечение и ароматерапия</t>
  </si>
  <si>
    <t>978-5-227-09658-6</t>
  </si>
  <si>
    <t>21171</t>
  </si>
  <si>
    <t>Аюрведа. Философия и травы</t>
  </si>
  <si>
    <t>978-5-227-10716-9</t>
  </si>
  <si>
    <t>Если ты ищешь альтернативу западной медицине, обратись к Аюрведе: это наука не о болезнях — это наука о Жизни. Применение этой древней медицинской системы даёт фантастические результаты. Она не обходит вниманием повседневную жизнь, питание, психологические отношения, карьеру, состояние духа и, наконец, применение целебных растений. Очень важно то, что с точки зрения Аюрведы в книге описаны не только индийские растения, но и лекарственные травы средних широт, так что любой россиянин без «зелёного лекарства» не останется!_x000D_
Автор увлекательно, с юмором преподнёс своё видение древних текстов и добавил в них современности. Удивительно просто и ёмко даны самые сложнейшие для понимания истины. Эта книга — действительно инструкция для долгой и здоровой жизни. Читайте, ибо кто познал Тайну, тот обретёт Мудрость!</t>
  </si>
  <si>
    <t>20724</t>
  </si>
  <si>
    <t>Аюрведа. Философия, диагностика, астрология и лечение</t>
  </si>
  <si>
    <t>978-5-227-10228-7</t>
  </si>
  <si>
    <t>Если ты ищешь альтернативу западной медицине, обратись к Аюрведе: это наука не о болезнях — это наука о Жизни. Применение этой древней медицинской системы даёт фантастические результаты. Она не обходит вниманием повседневную жизнь, питание, психологию, карьеру, состояние духа и применение целебных растений. Важно то, что в книге описаны не только индийские растения, но и лекарственные травы средних широт, так что любой россиянин без «зелёного лекарства» не останется! Мы рассмотрим траволечение и ароматерапию с точки зрения Аюрведы, ознакомимся с индивидуальными талантами растений. Автор предлагает всмотреться в растения глубже, пристальнее, с более открытым сознанием, чем мы делали это прежде. Также мы затронем философские основы Аюрведы и займёмся диагностикой болезней, познаем основы Ведической астрологии, научимся слушать мелодию болезни по пульсу, выявлять недуги по знакам тела, а также по другим признакам, которые могут быть применимы для самодиагностики. Автор увлекательно, с юмором преподнёс своё видение древних текстов и добавил в них современности. Удивительно просто и ёмко даны самые сложнейшие для понимания истины. Эта книга — действительно инструкция для долгой и здоровой жизни. Читайте, ибо кто познал Тайну, тот обретёт Мудрость!</t>
  </si>
  <si>
    <t>20291</t>
  </si>
  <si>
    <t>Аюрведа. Философия, диагностика, Ведическая астрология</t>
  </si>
  <si>
    <t>978-5-227-10052-8</t>
  </si>
  <si>
    <t>21266</t>
  </si>
  <si>
    <t>Лэмб Г.</t>
  </si>
  <si>
    <t>Бабур. Основатель империи Великих Моголов</t>
  </si>
  <si>
    <t>978-5-9524-6048-5</t>
  </si>
  <si>
    <t>Эта книга — беллетризованное жизнеописание потомка Тимура и Чингисхана, основателя династии Великих Моголов, в которой ярко повествуется обо всех значительных событиях эпохи его правления. В ней оригинально сочетаются авторская интерпретация исторических фактов и фрагменты из «Бабур-наме» — автобиографического произведения самого Бабура, что позволяет читателю зримо ощутить атмосферу ушедшей эпохи.</t>
  </si>
  <si>
    <t>7654</t>
  </si>
  <si>
    <t>Токмакова</t>
  </si>
  <si>
    <t>Баиньки</t>
  </si>
  <si>
    <t>5-9524-2404-X</t>
  </si>
  <si>
    <t>21406</t>
  </si>
  <si>
    <t>Калиничев Б.А.,Николаева Т.И</t>
  </si>
  <si>
    <t>Балконы Санкт-Петербурга. Металлические кружева художественного декора XVIII—XX веков. 370 авторских фотографий с топографическим указателем</t>
  </si>
  <si>
    <t>978-5-227-10884-5</t>
  </si>
  <si>
    <t>К сожалению, мы все время спешим опустив глаза и редко обращаем внимание на оформление зданий, лепнину, колонны, витражи, удивительное кружево старинных балконных решеток, а ведь именно эти детали делают каждое историческое строение уникальным._x000D_
Вы держите в руках прекрасно иллюстрированное издание, которое станет настоящим подарком для широкого круга читателей: любителей истории Северной столицы, эстетов и всех, кому интересна история русской архитектуры и художественный декор XVIII—XX вв. В нем речь пойдет о неповторимых питерских балконах._x000D_
Балконы, как и архитектура здания, претерпевают стилисти­че­ские изменения, преодолевая путь развития от изящно-причудливых форм барокко к строгим формам классицизма, от торжественно-помпезного ампира к насыщенным формам эклектики и изощренной необычности модерна. Вас ждет более 370 авторских иллюстраций, которые для удобства поиска информации отображены в топографическом указателе.</t>
  </si>
  <si>
    <t>19459</t>
  </si>
  <si>
    <t>Гимбутас М.</t>
  </si>
  <si>
    <t>Балты. Люди янтарного моря</t>
  </si>
  <si>
    <t>978-5-9524-5482-8</t>
  </si>
  <si>
    <t>16819</t>
  </si>
  <si>
    <t>Банка с червями</t>
  </si>
  <si>
    <t>978-5-227-06810-1</t>
  </si>
  <si>
    <t>21509</t>
  </si>
  <si>
    <t>Блум Д.</t>
  </si>
  <si>
    <t>Барин и крестьянин в России IX–XIX веков. Влияние исторических событий на земельные отношения во времена Киевской Руси, в монгольский период и последние 150 лет крепостного права</t>
  </si>
  <si>
    <t>978-5-9524-6098-0</t>
  </si>
  <si>
    <t>Джером Блум, профессор Принстонского университета, прослеживает историю взаимоотношений русских землевладельцев и крестьянской общины с времен варяжского вторжения до отмены крепостного права. В своем монументальном и вместе с тем новаторском труде Блум описывает типы земледелия и особенности ведения хозяйственной деятельности на обширных территориях страны, виды и устройство сельских поселений и господских усадеб, систему взимания налоговых сборов и податей. Автор освещает не только аграрные вопросы, но и жизнь народа — и дворян, и землепашцев, рассматривает причины возникновения крепостного права и делает вывод, что закрепощение крестьян определило экономическое и социальное развитие государства и сформировало его политическое устройство.</t>
  </si>
  <si>
    <t>4658</t>
  </si>
  <si>
    <t>САД</t>
  </si>
  <si>
    <t>Тавлинова</t>
  </si>
  <si>
    <t>Бархатцы сорта выращивание и уход</t>
  </si>
  <si>
    <t>5-9524-0883-4</t>
  </si>
  <si>
    <t>14506</t>
  </si>
  <si>
    <t>Смит И.</t>
  </si>
  <si>
    <t>Бастион Одесса</t>
  </si>
  <si>
    <t>978-5-227-04509-6</t>
  </si>
  <si>
    <t>6489</t>
  </si>
  <si>
    <t>СТ+</t>
  </si>
  <si>
    <t>Борисова В.</t>
  </si>
  <si>
    <t>Бегство короля</t>
  </si>
  <si>
    <t>978-5-9524-2183-0</t>
  </si>
  <si>
    <t>10829</t>
  </si>
  <si>
    <t>М СТ+</t>
  </si>
  <si>
    <t>978-5-9524-3975-7</t>
  </si>
  <si>
    <t>12585</t>
  </si>
  <si>
    <t>МОР</t>
  </si>
  <si>
    <t>Сток Джон</t>
  </si>
  <si>
    <t>Бегство мертвого шпиона</t>
  </si>
  <si>
    <t>978-5-227-02726-9</t>
  </si>
  <si>
    <t>14806</t>
  </si>
  <si>
    <t>Милберн М.</t>
  </si>
  <si>
    <t>Бедная богатая девочка</t>
  </si>
  <si>
    <t>978-5-227-04717-5</t>
  </si>
  <si>
    <t>0112</t>
  </si>
  <si>
    <t>Без денег ты мертв</t>
  </si>
  <si>
    <t>978-5-227-06943-6</t>
  </si>
  <si>
    <t>15343</t>
  </si>
  <si>
    <t>М МБ DETECTIVE</t>
  </si>
  <si>
    <t>Шрайбер Д.</t>
  </si>
  <si>
    <t>Без окон, без дверей</t>
  </si>
  <si>
    <t>978-5-227-05382-4</t>
  </si>
  <si>
    <t>12358</t>
  </si>
  <si>
    <t>978-5-227-02513-5</t>
  </si>
  <si>
    <t>11510</t>
  </si>
  <si>
    <t>М КТ</t>
  </si>
  <si>
    <t>Берзина Н.</t>
  </si>
  <si>
    <t>Без права на защиту</t>
  </si>
  <si>
    <t>978-5-9524-4592-5</t>
  </si>
  <si>
    <t>21391</t>
  </si>
  <si>
    <t>Фалин В.М.</t>
  </si>
  <si>
    <t>Без скидок на обстоятельства. Политические воспоминания</t>
  </si>
  <si>
    <t>978-5-227-10837-1</t>
  </si>
  <si>
    <t>Центральное место в воспоминаниях В.М. Фалина отводится острейшей борьбе, которая шла вокруг одной из самых сложных послевоенных проблем — германского вопроса. Автор рассказывает также о принятии руководителями Советского государства решений по таким затрагивающим судьбы всеобщего мира вопросам, как войны в Корее и в Афганистане, урегулирование кубинского и ближневосточных кризисов, события в Чехословакии в 1968 г., и многим другим, впервые открывая завесу секретных маневров ведущих советских и зарубежных деятелей.</t>
  </si>
  <si>
    <t>19896</t>
  </si>
  <si>
    <t>Махавкин А.А</t>
  </si>
  <si>
    <t>Бездна</t>
  </si>
  <si>
    <t>978-5-227-09686-9</t>
  </si>
  <si>
    <t>19499</t>
  </si>
  <si>
    <t>Пэмми Т.</t>
  </si>
  <si>
    <t>Безрассудная страсть</t>
  </si>
  <si>
    <t>978-5-227-09152-9</t>
  </si>
  <si>
    <t>10132</t>
  </si>
  <si>
    <t>РА</t>
  </si>
  <si>
    <t>Туринская Т.</t>
  </si>
  <si>
    <t>Безумное пари</t>
  </si>
  <si>
    <t>978-5-9524-3283-3</t>
  </si>
  <si>
    <t>10685</t>
  </si>
  <si>
    <t>КЛ</t>
  </si>
  <si>
    <t>Новикова О.</t>
  </si>
  <si>
    <t>Безумствуя любя</t>
  </si>
  <si>
    <t>978-5-9524-3854-5</t>
  </si>
  <si>
    <t>20299</t>
  </si>
  <si>
    <t>УМНАЯ УСАДЬБА</t>
  </si>
  <si>
    <t>Зорина А.И.</t>
  </si>
  <si>
    <t>Безупречный газон своими руками. Виды газонов, подготовка почвы, удобрения, уход</t>
  </si>
  <si>
    <t>978-5-227-09781-1</t>
  </si>
  <si>
    <t>12919</t>
  </si>
  <si>
    <t>Шмат А.С.</t>
  </si>
  <si>
    <t>Бейссел</t>
  </si>
  <si>
    <t>978-5-227-03116-7</t>
  </si>
  <si>
    <t>20808</t>
  </si>
  <si>
    <t>Белая борьба на Северо-Западе России</t>
  </si>
  <si>
    <t>978-5-227-10016-0</t>
  </si>
  <si>
    <t>Книга представляет собой десятый том серии, посвященной истории Белого движения в России и событиям на Северо-Западном фронте с осени 1918-го по начало 1920 года по воспоминаниям ее участников. Подробно освещается боевая деятельность таких известных в свое время военачальников, как Н.Н. Юденич, светлейший князь А.П. Ливен, А.П. Родзянко, А.Е. Вандам, граф А.П. Пален, П.В. Глазенап, К.И. Дыдоров, Б.С. Пермикин, С.Н. Булак-Булахович, П.Р. Бермондт-Авалов и др. Большое внимание уделено сложным военно-политическим аспектам взаимоотношений белых армий с бывшими союзниками (англичанами и французами) и бывшими противниками (немцами), а также со стремившимися к самостоятельности странами Балтии. Показан трагизм положения русских армий в Эстонии, вынужденных после неудачного похода на Петроград расформироваться, превратиться в массу беженцев и угодить в эстонские лагеря принудительных лесных работ для «лиц без определенных занятий»._x000D_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</si>
  <si>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21342</t>
  </si>
  <si>
    <t>НОпоИРт</t>
  </si>
  <si>
    <t>Посадский А.В.</t>
  </si>
  <si>
    <t>Белая власть, казаки и крестьяне на Юге России. Противостояние и сотрудничество. 1918—1919</t>
  </si>
  <si>
    <t>978-5-227-10805-0</t>
  </si>
  <si>
    <t>Книга посвящена одной из ключевых тем Гражданской войны в России – взаимодействию политической власти и крестьянского большинства населения страны. События 1917—1922 гг. породили множество вариантов такого взаимодействия как на красной, так и на белой стороне. Все стороны противостояния вовлекали деревню в вооруженную борьбу, иначе невозможно было рассчитывать на военную победу. При этом коммуникация с «мужиком» являлась общепризнанной ахиллесовой пятой Белого движения. Неспособность создать уверенность в приходе твердой власти, развеять старые социальные фобии, массово поднять деревню под национальные знамена стала одной из очевидных причин неудачи белой борьбы. Тем важнее подробный анализ опыта успешного сотрудничества белых военных и политических инстанций с сельским населением. Один из таких сюжетов разворачивался на границе Области войска Донского и Саратовской губернии, на фоне знаменитой битвы за Царицын. Энергичный офицер В.К. Манакин при поддержке донского атамана П.Н. Краснова смог создать боеспособное формирование из крестьян юга Саратовской губернии — Саратовский корпус. История этого воинского формирования рассматривается в контекстах Гражданской войны на Юге, крестьянско-казачьих взаимоотношений, особенностей военного строительства Войска Донского, Добровольческой, Южной, Астраханской армий. Настроение и поведение саратовских крестьян сравнивается с таковыми крестьян Ставропольской, Астраханской, Воронежской губерний.</t>
  </si>
  <si>
    <t>21223</t>
  </si>
  <si>
    <t>КРАСНЫЕ И БЕЛЫЕ</t>
  </si>
  <si>
    <t>Сахаров К.В.</t>
  </si>
  <si>
    <t>Белая Сибирь. Внутренняя война 1918—1920 гг.</t>
  </si>
  <si>
    <t>978-5-227-10734-3</t>
  </si>
  <si>
    <t>Генерал К. Сахаров закончил Оренбургский кадетский корпус, Николаевское инженерное училище и академию Генерального штаба. Георгиевский кавалер, участвовал в Русско-японской и Первой мировой войнах. Дважды был арестован: первый раз за участие в корниловском мятеже; второй раз за попытку пробраться в Добровольческую армию. После второго ареста бежал. В Белом движении сделал блистательную карьеру, пиком которой стало звание генерал-лейтенанта и должность командующего Восточным фронтом. Однако отношение генералов Белой Сибири к Сахарову было довольно критическое. Его даже считали одним из главных виновников поражений на фронте. _x000D_
К. Сахаров описал события на востоке России с осени 1918 года до весны 1920 года. Все им изложенное является результатом лично пережитого.</t>
  </si>
  <si>
    <t>21199</t>
  </si>
  <si>
    <t>Белая эмиграция в Китае и Монголии</t>
  </si>
  <si>
    <t>978-5-227-10137-2</t>
  </si>
  <si>
    <t>Книга представляет собой 25-й том из серии, посвященной Белому движению в России, и описывает белые воинские части, которые после завершения боевых действий на территории исторической России были вынуждены отступить в Монголию и Китай. Большое внимание уделено трагическим судьбам таких героев Белого движения, как генералы А.С. Бакич, А.И. Дутов, Р.Ф. Унгерн-Штернберг и Б.В. Анненков. Подробно описана почти 20-летняя история Шанхайского русского полка и его офицерского состава._x000D_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</si>
  <si>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18257</t>
  </si>
  <si>
    <t>Белладонна</t>
  </si>
  <si>
    <t>978-5-227-08343-2</t>
  </si>
  <si>
    <t>14044</t>
  </si>
  <si>
    <t>EROTIC</t>
  </si>
  <si>
    <t>Бакарр Д.</t>
  </si>
  <si>
    <t>Белокурая гейша</t>
  </si>
  <si>
    <t>978-5-227-04014-5</t>
  </si>
  <si>
    <t>Американец Эдвард Мэллори, вынужденный укрыть свою юную дочь  от мести японского принца Кира среди жриц любви, никак не ожидал, что она пожелает стать гейшей. Несколько последних лет Кэлрин, обучалась исскуству обольщения и удовлетворения желаний мужчин, с нетерпением готовиться к церемонии потери целомудрия. Сорвать цветок любви соблазнительной кандидатки в гейши готов барон Тонда, которому нельзя противостоять, иначе можно навлечь смертельную опасность на Чайный дом Оглядывающегося дерева. Но может ли девушка, с грациозной утонченностью уже умеющая пробудить страсть и жаждущая любви, все же рассчитывать на обретение собственного счастья?</t>
  </si>
  <si>
    <t>20857</t>
  </si>
  <si>
    <t>Филимонов Б.Б.</t>
  </si>
  <si>
    <t>Белоповстанцы. Кн. 1: Освобождение Приморья войсками Временного Приамурского правительства</t>
  </si>
  <si>
    <t>978-5-9524-6030-0</t>
  </si>
  <si>
    <t>Труд поручика Б. Филимонова, основанный на большом документальном материале, посвящен событиям Гражданской войны, происходившим в Приморье и Амурской области. В первой книге рассказывается о начальном периоде Хабаровского похода зимой 1921/22 г., явившегося последним наступлением остатков белых армий Восточного фронта. В книге даны общие сведения о состоянии вооруженных сил белых и красных на Дальнем Востоке.</t>
  </si>
  <si>
    <t>20858</t>
  </si>
  <si>
    <t>Белоповстанцы. Кн. 2: Борьба белых повстанческих отрядов на амурской границе</t>
  </si>
  <si>
    <t>978-5-9524-6031-7</t>
  </si>
  <si>
    <t>Вторая книга Бориса Филимонова рассматривает борьбу белоповстанческой армии с частями Народно-революционной армии на восточной границе Амурской области. Автор дает представление о силах сторон, старается беспристрастно дать правдивую картину упорного противостояния большевиков и Приамурского Временного правительства Белого движения в Гражданской войне.</t>
  </si>
  <si>
    <t>18899</t>
  </si>
  <si>
    <t>НОпоИР</t>
  </si>
  <si>
    <t>Короткова Д.А.</t>
  </si>
  <si>
    <t>Белорусские земли в советско­польских отношениях. Разменная карта в противостоянии двух держав. 1918</t>
  </si>
  <si>
    <t>978-5-227-08891-8</t>
  </si>
  <si>
    <t>21001</t>
  </si>
  <si>
    <t>Уоллес Л.</t>
  </si>
  <si>
    <t>Бен­Гур</t>
  </si>
  <si>
    <t>978-5-227-10571-4</t>
  </si>
  <si>
    <t>Бен-Гур — потомок знатного иудейского рода — был предан другом-римлянином. Пройдя через горнило испытаний, юноша превратился в закаленного мужа, но сердце его осталось любящим и нежным. Бен-Гур уверовал в Христа и собрал легион, чтобы защищать Спасителя от Рима, но не ожидал князь, что сами иудеи будут кричать «Распни Его!».</t>
  </si>
  <si>
    <t>19265</t>
  </si>
  <si>
    <t>Лейн­Пул С.</t>
  </si>
  <si>
    <t>Берберские пираты. История жестоких повелителей Средиземного моря ХV—ХIХ вв.</t>
  </si>
  <si>
    <t>978-5-9524-5445-3</t>
  </si>
  <si>
    <t>21601</t>
  </si>
  <si>
    <t>ДЕЙТОН</t>
  </si>
  <si>
    <t>Дейтон Л.</t>
  </si>
  <si>
    <t>Берлинский гейм</t>
  </si>
  <si>
    <t>978-5-9524-6367-7</t>
  </si>
  <si>
    <t>Осведомитель британской разведки за железным занавесом под кодовым именем Брамс Четвертый требует срочной переправки на Запад. В ходе операции Брамс предупреждает о кроте в недрах МИ-6, и агент Сэмсон вступает в игру, полную опасностей и неожиданных разоблачений… Роман о берлинской операции открывает шпионскую трилогию о сотруднике британской секретной службы Бернарде Сэмсоне «Гейм, сет и матч».</t>
  </si>
  <si>
    <t>21889</t>
  </si>
  <si>
    <t>Ширер У.</t>
  </si>
  <si>
    <t>Берлинский дневник. Европа накануне Второй мировой войны глазами американского корреспондента</t>
  </si>
  <si>
    <t>978-5-9524-6557-2</t>
  </si>
  <si>
    <t>Личный дневник, запечатлевший поворотный момент в жизни Европы ХХ века — канун Второй мировой войны, воспринимается сегодня как уникальный документ. Его страницы сохранили атмосферу предвоенной Германии, одурманенной реваншистскими настроениями, истерически обожавшей фюрера; на них подробно рассказано о планомерной милитаризации страны, о приемах работы гитлеровской пропагандистской машины, о мобилизации всех резервов нации ради тотальной войны за мировое господство. Среди упоминаемых лиц не только Адольф Гитлер и его ближайшие сподвижники Гесс, Геринг, Гиммлер, Лей, Риббентроп, но и лидеры мировых держав Рузвельт, Черчилль, Сталин, Франко, Муссолини, Петэн, Бенеш, де Голль и др., главы правящих королевских династий, министры, послы, высший генералитет. Автор приводит, кроме того, множество выразительных подробностей, собственных оригинальных наблюдений над немцами и жителями европейских государств.</t>
  </si>
  <si>
    <t>17645</t>
  </si>
  <si>
    <t>Берсерк</t>
  </si>
  <si>
    <t>978-5-227-07697-7</t>
  </si>
  <si>
    <t>21210</t>
  </si>
  <si>
    <t>Хазанов А.И.</t>
  </si>
  <si>
    <t>Беседы с Г.К. Жуковым. 16 встреч дома у маршала</t>
  </si>
  <si>
    <t>978-5-227-10689-6</t>
  </si>
  <si>
    <t>Уникальная книга доктора медицинских наук, одного из ведущих специалистов в области гастроэнтерологии А.И. Хазанова (1922—2009) посвящена не вопросам медицинской науки. Большая часть профессиональной карьеры автора была связана с работой в Главном военном клиническом госпитале им. акад. Н.Н. Бурденко, где он многие годы был начальником гастроэнтерологического отделения. Будучи сам фронтовиком, московским ополченцем, принявшим свой первый бой тяжелой зимой 41-го года, автор никогда не забывал о войне. В период с 1945 по 1990 год во время работы в госпитале он собирал воспоминания полководцев и других участников Великой Отечественной войны. В этом деле ему помогала профессия военного врача: большинство собеседников были его пациентами, лишь иногда — коллегами по работе. Среди его собеседников были А.М. Василевский, К.К. Рокоссовский, И.С. Конев, К.А. Мерецков, С.М. Буденный, В.Д. Соколовский, А.И. Антонов, А.А. Гречко, М.В. Захаров, С.М. Штеменко и другие. Одним из частых собеседников А.И. Хазанова был Маршал Советского Союза Г.К. Жуков. Супруга маршала Галина Александровна работала с автором книги в одном отделении. Откровенные размышления Жукова о войне, о руководстве страны, о сослуживцах, а также воспоминания о самом маршале приводятся здесь в изложении автора, записывавшего рассказы собеседников по памяти.</t>
  </si>
  <si>
    <t>21556</t>
  </si>
  <si>
    <t>Джилас М</t>
  </si>
  <si>
    <t>Беседы со Сталиным</t>
  </si>
  <si>
    <t>978-5-9524-6363-9</t>
  </si>
  <si>
    <t>Воспоминания известного политолога и публициста, бывшего вице-президента Югославии М. Джиласа - это непредвзятый взгляд опытного политика на события времен Второй мировой, на отношения России и Югославии. Автор, который неоднократно встречался и беседовал с Иосифом Сталиным, пытается пролить свет на прошлые события и воссоздает всесторонний портрет личности Сталина как знаковой фигуры мировой истории и крайне противоречивого человека._x000D_
В книге множество малоизвестных фактов из жизни Сталина и его окружения, портреты известных исторических деятелей.</t>
  </si>
  <si>
    <t>18824</t>
  </si>
  <si>
    <t>Шушеньков А.</t>
  </si>
  <si>
    <t>Бесконечная жизнь майора Кафкина</t>
  </si>
  <si>
    <t>978-5-227-08822-2</t>
  </si>
  <si>
    <t>13002</t>
  </si>
  <si>
    <t>Роллз Э.</t>
  </si>
  <si>
    <t>Бесприданница для лорда</t>
  </si>
  <si>
    <t>978-5-227-03144-0</t>
  </si>
  <si>
    <t>18632</t>
  </si>
  <si>
    <t>Марклунд Л.</t>
  </si>
  <si>
    <t>Бесследно исчезнувшая</t>
  </si>
  <si>
    <t>978-5-227-08559-7</t>
  </si>
  <si>
    <t>17129</t>
  </si>
  <si>
    <t>978-5-227-07157-6</t>
  </si>
  <si>
    <t>16095</t>
  </si>
  <si>
    <t>РАМКА НОВАЯ</t>
  </si>
  <si>
    <t>Ромов А.С</t>
  </si>
  <si>
    <t>Бесспорной версии нет</t>
  </si>
  <si>
    <t>978-5-227-05741-9</t>
  </si>
  <si>
    <t>14383</t>
  </si>
  <si>
    <t>Грейди Р.</t>
  </si>
  <si>
    <t>Бесстрашная</t>
  </si>
  <si>
    <t>978-5-227-04438-9</t>
  </si>
  <si>
    <t>12620</t>
  </si>
  <si>
    <t>Райн Ю.</t>
  </si>
  <si>
    <t>Бестиарий спального района</t>
  </si>
  <si>
    <t>978-5-227-02783-2</t>
  </si>
  <si>
    <t>16240</t>
  </si>
  <si>
    <t>Милн Н.</t>
  </si>
  <si>
    <t>Бесценный приз</t>
  </si>
  <si>
    <t>978-5-227-06171-3</t>
  </si>
  <si>
    <t>16491</t>
  </si>
  <si>
    <t>Бешеный куш</t>
  </si>
  <si>
    <t>978-5-227-05775-4</t>
  </si>
  <si>
    <t>17721</t>
  </si>
  <si>
    <t>Мокиенко В.М</t>
  </si>
  <si>
    <t>Библеизмы в современной русской речи</t>
  </si>
  <si>
    <t>978-5-227-07554-3</t>
  </si>
  <si>
    <t>21524</t>
  </si>
  <si>
    <t>Эрман Б.</t>
  </si>
  <si>
    <t>Библия. Историческое и литературное введение в Священное Писание</t>
  </si>
  <si>
    <t>978-5-9524-6287-8</t>
  </si>
  <si>
    <t>Барт Эрман, профессор религиоведения Университета Северной Каролины в Чапел-Хилл, доктор богословия, автор более двадцати научных и научно-популярных книг о Библии, жизни Иисуса и истории раннего христианства, свою настоящую книгу посвятил исследованию еврейских и христианских писаний, составивших Библию, которые рассказывают о Древнем Израиле и раннем христианстве. Автор рассматривает Писание с исторической и литературной точек зрения: пытается объяснить, почему оно сложно для восприятия, рассказывает о ранних израильских пророках и пророках времен Вавилонского плена, о поэтах и сказителях Древнего Израиля и Посланиях Павла… Таким образом подводит к пониманию, что Библия играет ключевую роль в истории европейской цивилизации.</t>
  </si>
  <si>
    <t>19967</t>
  </si>
  <si>
    <t>Пауэр Э.</t>
  </si>
  <si>
    <t>Битва двух сердец</t>
  </si>
  <si>
    <t>978-5-227-09520-6</t>
  </si>
  <si>
    <t>16890</t>
  </si>
  <si>
    <t>Троицкий С.</t>
  </si>
  <si>
    <t>Битва за водку</t>
  </si>
  <si>
    <t>978-5-227-06581-0</t>
  </si>
  <si>
    <t>20782</t>
  </si>
  <si>
    <t>Хаупт В.</t>
  </si>
  <si>
    <t>Битва за Москву. Первое решающее сражение Второй мировой войны. 1941—1942</t>
  </si>
  <si>
    <t>978-5-9524-6007-2</t>
  </si>
  <si>
    <t>Книга Вернера Хаупта повествует об операции «Тайфун» — штурме столицы Советского Союза. Это впечатляющий, захватывающий рассказ о месяце, когда весь мир затаив дыхание ждал исхода сражения: сможет ли Гитлер взять Москву? Драматизм первых дней войны, трудные решения, которые приходилось принимать командирам и военачальникам, три месяца беспощадных боев, с точки зрения простого солдата, — все нашло отражение в книге...</t>
  </si>
  <si>
    <t>16092</t>
  </si>
  <si>
    <t>СВМ</t>
  </si>
  <si>
    <t>Куровски Ф.</t>
  </si>
  <si>
    <t>Битва за рейх. Последние бастионы Гитлера 1944-1945</t>
  </si>
  <si>
    <t>978-5-227-05939-0</t>
  </si>
  <si>
    <t>12150</t>
  </si>
  <si>
    <t>Чужин И.А.</t>
  </si>
  <si>
    <t>Битва за Танол</t>
  </si>
  <si>
    <t>978-5-227-02284-4</t>
  </si>
  <si>
    <t>20089</t>
  </si>
  <si>
    <t>Битва на арене любви</t>
  </si>
  <si>
    <t>978-5-227-09618-0</t>
  </si>
  <si>
    <t>20731</t>
  </si>
  <si>
    <t>Аверьянов К.А.</t>
  </si>
  <si>
    <t>Битва на Калке. 1223 г. Русские княжества накануне монголо-татарского нашествия</t>
  </si>
  <si>
    <t>978-5-227-10445-8</t>
  </si>
  <si>
    <t>84x100 1/32</t>
  </si>
  <si>
    <t>Хотя битва на Калке, ставшая первым столкновением Руси с монголо-татарами, входит в обязательную программу всех школьных и вузовских учебников, она остается во многом загадочной для историков. Споры идут о месте сражения, поскольку на современных картах реки с таким названием нет. Дискуссии разворачиваются не только о дне, но даже о годе битвы. Нет единства мнений о численности сражавшихся, маршруте движения противников. Каким образом с битвой связаны знаменитая комета Галлея и Карл Маркс, участвовал ли в битве русский богатырь Алеша Попович, какую роль сыграла река Калка в судьбе ордынского темника Мамая? Можно ли сейчас, по прошествии 800 лет, восстановить события прошлого? На основе анализа всей совокупности исторических источников автор отвечает на эти и другие вопросы.</t>
  </si>
  <si>
    <t>4369</t>
  </si>
  <si>
    <t>Карвер М.</t>
  </si>
  <si>
    <t>Битва под Эль Аламейном</t>
  </si>
  <si>
    <t>5-9524-0628-9</t>
  </si>
  <si>
    <t>20246</t>
  </si>
  <si>
    <t>Бёрн А.</t>
  </si>
  <si>
    <t>Битва при Азенкуре. Победа английских рыцарей над превосходящими силами французов. 1369—1453 гг.</t>
  </si>
  <si>
    <t>978-5-9524-5792-8</t>
  </si>
  <si>
    <t>20354</t>
  </si>
  <si>
    <t>Битва при Креси. Одно из решающих сражений Столетней войны. 1337—1360 гг.</t>
  </si>
  <si>
    <t>978-5-9524-5852-9</t>
  </si>
  <si>
    <t>В книге описывается первый период Столетней войны — война Креси, начавшаяся вторжением Эдуарда III во Францию и закончившаяся заключением мира в Бретиньи. Альфред Бёрн оценивает ее как самый успешный вооруженный конфликт, в котором Англия когда-либо принимала участие. Он обосновывает утверждение о том, что военное искусство в то время сделало существенный шаг вперед, и рассказывает, как появился третий род войск — артиллерия.</t>
  </si>
  <si>
    <t>21268</t>
  </si>
  <si>
    <t>Аллен  У., Муратов П.</t>
  </si>
  <si>
    <t>Битвы за Кавказ. История войн на турецко-кавказском фронте. 1828—1921</t>
  </si>
  <si>
    <t>978-5-9524-6160-4</t>
  </si>
  <si>
    <t>Уильям Аллен — британский ученый, политик, дипломат и путешественник — в соавторстве с русским военным историком П. Муратовым создал внушительный обзор крупнейших военных конфликтов XIX—XX вв. на Кавказе, который всегда имел огромное стратегическое значение, являясь естественной границей между Азией и Европой. В книге подробно описываются сражения и битвы, проблемы снабжения войск в труднодоступных местностях, а также расклад политических интересов противоборствующих сторон. Этот труд содержит богатейшую информацию и может служить чрезвычайно авторитетным источником как для военных историков, так и просто любителей отечественной и мировой истории.</t>
  </si>
  <si>
    <t>14961</t>
  </si>
  <si>
    <t>Джастис Дж.</t>
  </si>
  <si>
    <t>Благородный повеса</t>
  </si>
  <si>
    <t>978-5-227-04957-5</t>
  </si>
  <si>
    <t>15998</t>
  </si>
  <si>
    <t>Макфи М.</t>
  </si>
  <si>
    <t>Благородный разбойник</t>
  </si>
  <si>
    <t>978-5-227-05933-8</t>
  </si>
  <si>
    <t>16471</t>
  </si>
  <si>
    <t>Гордон Л.</t>
  </si>
  <si>
    <t>Благословение вечной любви</t>
  </si>
  <si>
    <t>978-5-227-06368-7</t>
  </si>
  <si>
    <t>16209</t>
  </si>
  <si>
    <t>Зимин И.В, Соколов А.Р</t>
  </si>
  <si>
    <t>Благотворительность семьи Романовых. XIX- начало XX в. Повседневная жизнь Российского императорского двора</t>
  </si>
  <si>
    <t>978-5-227-06025-9</t>
  </si>
  <si>
    <t>Перед вами продолжение серии о жизни правителей России. В книге изложены результаты глубокого и всестороннего ис­следования существования и деятельности благотворительных учреждений, находившихся под покро­вительством членов Импе­раторской фамилии в период XIX — начала ХХ в. Бла­го­творительные ведомства, комитеты, общества и входив­шие в их состав попечительские учреждения осуществляли широ­кую поддержку различным категориям нуждавшихся, оказывали достаточно совершенную по тем временам социальную помощь. Рассказ об этом представляет собой не только «академиче­ский» интерес, потому что и для современной России проблема привлечения общественных сил и средств к решению социальных задач остается чрезвычайно актуальной. Многое из опыта работы ведомств и комитетов под покрови­тельством Дома Романовых может быть востребовано и в наше время.</t>
  </si>
  <si>
    <t>1885</t>
  </si>
  <si>
    <t>БАКС</t>
  </si>
  <si>
    <t>Кэтрин Бри</t>
  </si>
  <si>
    <t>Бладхаунд</t>
  </si>
  <si>
    <t>5-227-00685-7</t>
  </si>
  <si>
    <t>21759</t>
  </si>
  <si>
    <t>Дёмин М.</t>
  </si>
  <si>
    <t>Блатной</t>
  </si>
  <si>
    <t>978-5-227-11112-8</t>
  </si>
  <si>
    <t>Михаил Дёмин — псевдоним Георгия Евгеньевича Трифонова — уголовника, блатного по кличке Чума. Он отмотал несколько сроков, а после освобождения начал печататься сначала в сибирской, затем в центральной прессе, выпустил четыре сборника стихов и книгу прозы. Освобождение из лагеря в Советском Союзе не означало восстановления в правах… Бывшему блатному не так легко было стать советским писателем, и он обратился за поддержкой к своему кузену Юрию Трифонову, которого считал баловнем судьбы… В 1968 году уехал в Париж и стал писателем-невозвращенцем. Уже на Западе опубликовал автобиографическую трилогию «Блатной», «Таежный бродяга», «Рыжий дьявол». Ее мы и представляем нашему читателю.</t>
  </si>
  <si>
    <t>21256</t>
  </si>
  <si>
    <t>НПБ АЗИМОВ</t>
  </si>
  <si>
    <t>Азимов А.</t>
  </si>
  <si>
    <t>Ближний Восток. История десяти тысячелетий</t>
  </si>
  <si>
    <t>978-5-9524-6211-3</t>
  </si>
  <si>
    <t>В этой книге собраны ценнейшие научные данные об истории, политике, религии, науках, искусстве, сельском хозяйстве и ремеслах народов, живших на территории Среднего Востока (обозначение стран Ближнего Востока вместе с Ираном и Афганистаном). Вы получите полное и подробное представление о зарождении, развитии, расцвете и гибели могущественных цивилизаций шумеров, аккадян, амореев, халдеев, персов, македонян, парфян, арабов, тюрок, иудеев.</t>
  </si>
  <si>
    <t>20765</t>
  </si>
  <si>
    <t>Первушина Е.В.</t>
  </si>
  <si>
    <t>Ближний круг российских императоров. Дружба и служба</t>
  </si>
  <si>
    <t>978-5-227-10416-8</t>
  </si>
  <si>
    <t>Никто не может жить без друзей. Но очень непросто завести их, если ты принадлежишь к правящей семье и все жители страны являются твоими верноподданными. Да и сама атмосфера дворца не способствует искренности и откровенности. Удалось ли российским императорам и императрицам завязать настоящие, крепкие дружеские отношения? И как эти отношения повлияли на историю России? Об этом расскажет книга. Разумеется, в ней упомянуты не все люди, которые оказывались рядом с царями и императорами династии Романовых на протяжении 300 лет ее правления. Для того чтобы перечислить всех и выявить то влияние, которое они оказали на императоров и на ход русской истории, потребовалась бы целая библиотека… И тем не менее история озвученного периода оставила нам множество интересных биографий людей, которые далеко не всегда являлись образцами нравственности и ума, но жили ярко и яростно, пытаясь воплотить в реальность свои мечты, и даже их ошибки могут многому нас научить.</t>
  </si>
  <si>
    <t>16194</t>
  </si>
  <si>
    <t>Ходанович В.</t>
  </si>
  <si>
    <t>Блокадные будни одного района Ленинграда.</t>
  </si>
  <si>
    <t>978-5-227-06039-6</t>
  </si>
  <si>
    <t>10711</t>
  </si>
  <si>
    <t>КРИМИНАЛ</t>
  </si>
  <si>
    <t>Браун К.</t>
  </si>
  <si>
    <t>Блондинка в беде</t>
  </si>
  <si>
    <t>978-5-9524-3872-9</t>
  </si>
  <si>
    <t>0113</t>
  </si>
  <si>
    <t>Блондинка из Пекина</t>
  </si>
  <si>
    <t>978-5-227-06944-3</t>
  </si>
  <si>
    <t>16412</t>
  </si>
  <si>
    <t>ЧЕЙЗ ЧД</t>
  </si>
  <si>
    <t>Блондинка из Пекина / Предоставьте это мне</t>
  </si>
  <si>
    <t>978-5-227-06259-8</t>
  </si>
  <si>
    <t>3230</t>
  </si>
  <si>
    <t>Успенская С.</t>
  </si>
  <si>
    <t>Блондинки начинают и выигрывают</t>
  </si>
  <si>
    <t>5-227-01781-6</t>
  </si>
  <si>
    <t>19048</t>
  </si>
  <si>
    <t>ИСТ Д</t>
  </si>
  <si>
    <t>Лавров В.В</t>
  </si>
  <si>
    <t>Блуд на крови</t>
  </si>
  <si>
    <t>978-5-227-07913-8</t>
  </si>
  <si>
    <t>6181</t>
  </si>
  <si>
    <t>М ПК</t>
  </si>
  <si>
    <t>Алькаев</t>
  </si>
  <si>
    <t>Блюда из птицы</t>
  </si>
  <si>
    <t>5-9524-1978-X</t>
  </si>
  <si>
    <t>16100</t>
  </si>
  <si>
    <t>СБА</t>
  </si>
  <si>
    <t>Звонарева А.Т.</t>
  </si>
  <si>
    <t>Блюда из сухофруктов</t>
  </si>
  <si>
    <t>978-5-227-05576-7</t>
  </si>
  <si>
    <t>4165</t>
  </si>
  <si>
    <t>СКП</t>
  </si>
  <si>
    <t>Лазерсон Синельников</t>
  </si>
  <si>
    <t>Блюда на мангале</t>
  </si>
  <si>
    <t>5-9524-0567-3</t>
  </si>
  <si>
    <t>18434</t>
  </si>
  <si>
    <t>Крапивко К.</t>
  </si>
  <si>
    <t>Бог пива</t>
  </si>
  <si>
    <t>978-5-227-08432-3</t>
  </si>
  <si>
    <t>10762</t>
  </si>
  <si>
    <t>Шойерман С.</t>
  </si>
  <si>
    <t>Богатые девушки</t>
  </si>
  <si>
    <t>978-5-9524-3883-5</t>
  </si>
  <si>
    <t>13767</t>
  </si>
  <si>
    <t>МИХАЛЫЧ</t>
  </si>
  <si>
    <t>Звонарев Н.М.</t>
  </si>
  <si>
    <t>Богатый урожай из теплиц и парников</t>
  </si>
  <si>
    <t>978-5-227-03387-1</t>
  </si>
  <si>
    <t>13345</t>
  </si>
  <si>
    <t>21737</t>
  </si>
  <si>
    <t>ТСФ</t>
  </si>
  <si>
    <t>Бадж У.</t>
  </si>
  <si>
    <t>Боги египтян. Царство света, или Тайны загробного мира</t>
  </si>
  <si>
    <t>978-5-227-11093-0</t>
  </si>
  <si>
    <t>"Известный английский востоковед и археолог Уоллис Бадж всю свою жизнь посвятил изучению Древнего Египта и написал о нем свыше ста двадцати исследовательских работ. Его книга «Боги египтян» посвящена, быть может, самой интересной стороне культурной жизни обитателей долины Нила — религии и мифологии. Необыкновенно ярко и увлекательно пересказывая мифы, автор показывает многообразный мир богов и божеств, почитаемых древними египтянами, раскрывает особенности их представлений о загробном мире, описывает обряды и таинства, тщательно соблюдаемые этим на редкость богобоязненным народом. Особое внимание автор уделяет иероглифическому письму, сопровождая оригинальные тексты транслитерацией и переводом.
Книга снабжена иллюстрациями, взятыми из папирусов, древних книг и с поверхностей саркофагов."</t>
  </si>
  <si>
    <t>20202</t>
  </si>
  <si>
    <t>Уайт Д.М.</t>
  </si>
  <si>
    <t>Боги и люди Древнего Египта</t>
  </si>
  <si>
    <t>978-5-9524-5759-1</t>
  </si>
  <si>
    <t>18032</t>
  </si>
  <si>
    <t>М КАСТ</t>
  </si>
  <si>
    <t>Каст Ф.К.</t>
  </si>
  <si>
    <t>Богиня по выбору</t>
  </si>
  <si>
    <t>978-5-227-08098-1</t>
  </si>
  <si>
    <t>18060</t>
  </si>
  <si>
    <t>Богиня по крови</t>
  </si>
  <si>
    <t>978-5-227-08118-6</t>
  </si>
  <si>
    <t>18011</t>
  </si>
  <si>
    <t>Богиня по ошибке</t>
  </si>
  <si>
    <t>978-5-227-08013-4</t>
  </si>
  <si>
    <t>17560</t>
  </si>
  <si>
    <t>Линдсей И.</t>
  </si>
  <si>
    <t>Богиня чувственных наслаждений</t>
  </si>
  <si>
    <t>978-5-227-07587-1</t>
  </si>
  <si>
    <t>20920</t>
  </si>
  <si>
    <t>Роммель Э.</t>
  </si>
  <si>
    <t>Боевые операции в Северной Африке и на Западном фронте в Европе. 1940—1944</t>
  </si>
  <si>
    <t>978-5-9524-5950-2</t>
  </si>
  <si>
    <t>После смерти Роммеля в 1944 г. остались архивы, в которых немецкий полководец записал историю своей драматической карьеры и подробности совершенных им военных кампаний.  Каждый вечер Лис Пустыни, как прозвали его англичане, диктовал беглый рассказ о событиях дня, а после каждой битвы — подводил итоги ее хода и уроков, которые следует из нее извлечь. Почти ежедневно он писал жене откровенные письма, в которых выражал личное отношение к происходящему на фронтах, а затем и свои печальные предчувствия. Кроме того, он продемонстрировал свой взгляд на союз оси и на внутренний механизм работы высшего командования фюрера. Сын Роммеля Манфред добавил к запискам отца рассказ о последних неделях жизни фельдмаршала вплоть до момента, когда ему по приказу Гитлера был предоставлен выбор: почетное самоубийство или позорный суд за измену.</t>
  </si>
  <si>
    <t>21402</t>
  </si>
  <si>
    <t>ОИ ЗН</t>
  </si>
  <si>
    <t>Бэгготт Д.</t>
  </si>
  <si>
    <t>Бозон Хиггса. От научной идеи до открытия «частицы Бога»</t>
  </si>
  <si>
    <t>978-5-9524-6279-3</t>
  </si>
  <si>
    <t>Джим Бэгготт, ученый, писатель, популяризатор науки, в своей книге подробно рассматривает процесс предсказания и открытия новой частицы — бозона Хиггса, попутно освещая такие вопросы фундаментальной физики, как строение материи, происхождение массы и энергии. Автор объясняет, что важность открытия частицы заключается еще и в том, что оно доказывает существование поля Хиггса, благодаря которому безмассовые частицы приобретают массу, что является необходимым условием для возникновения материи. Из книги вы узнаете о развитии физических теорий, начиная с античного понятия об атоме, и техническом прогрессе, позволившем их осуществить, а также историю обнаружения элементарных частиц.</t>
  </si>
  <si>
    <t>21698</t>
  </si>
  <si>
    <t>Бои за Ленинград. Операции группы армий «Север». 1941—1944</t>
  </si>
  <si>
    <t>978-5-9524-6450-6</t>
  </si>
  <si>
    <t>На основе архивных документов и воспоминаний очевидцев автор книги, офицер вермахта в годы Второй мировой войны, воссоздает картину боевых действий группы армий «Север»._x000D_
Давая объективную, профессиональную оценку военного потенциала немецких и русских войск на этом участке фронта, с хронологической точностью Хаупт описывает боевые действия обеих сторон на Даугаве и Нарве, весь путь захвата Прибалтики, блокаду Ленинграда, жестокие бои за Демянск и Старую Руссу и снова битву за Прибалтику, отступление и конец группы армий «Север».</t>
  </si>
  <si>
    <t>10996</t>
  </si>
  <si>
    <t>ИТ</t>
  </si>
  <si>
    <t>Парей И.</t>
  </si>
  <si>
    <t>Бой с тенью</t>
  </si>
  <si>
    <t>978-5-9524-4118-7</t>
  </si>
  <si>
    <t>13783</t>
  </si>
  <si>
    <t>Боль, все, что вы не знали</t>
  </si>
  <si>
    <t>978-5-227-03884-5</t>
  </si>
  <si>
    <t>19498</t>
  </si>
  <si>
    <t>Солнцев Г.</t>
  </si>
  <si>
    <t>Боль. Изгнание, или Вниз по лестнице, ведущей вверх</t>
  </si>
  <si>
    <t>978-5-227-09365-3</t>
  </si>
  <si>
    <t>18957</t>
  </si>
  <si>
    <t>РД НОВ</t>
  </si>
  <si>
    <t>Горский А.В</t>
  </si>
  <si>
    <t>Большая игра</t>
  </si>
  <si>
    <t>978-5-227-08765-2</t>
  </si>
  <si>
    <t>21094</t>
  </si>
  <si>
    <t>ПРОГУЛКИ ПО МОСКВЕ</t>
  </si>
  <si>
    <t>Дроздов Д.П.</t>
  </si>
  <si>
    <t>Большая Ордынка. Прогулки по центру Москвы</t>
  </si>
  <si>
    <t>978-5-227-10554-7</t>
  </si>
  <si>
    <t>Сложно найти в Москве улицу, которая пережила столько событий, сколько Большая Ордынка, у которой одно название — целая история на сотни лет. Эта улица как живой учебник истории Замоскворечья и Москвы. Ордынка сохранила редкие памятники архитектуры разных эпох… Вместе с автором книги вы совершите увлекательное путешествие во времени. Вас ждет рассказ почти о каждом доме на этой старинной улице.</t>
  </si>
  <si>
    <t>21656</t>
  </si>
  <si>
    <t>Большая Полянка. Прогулка по Замоскворечью от Малого Каменного моста до Серпуховской площади</t>
  </si>
  <si>
    <t>978-5-227-10775-6</t>
  </si>
  <si>
    <t>Замоскворечье — особое, заповедное место, в котором сохранился дух старой Москвы. Безусловно, не обошлось и без новых построек, особенно в советские годы, когда по Генеральному плану реконструкции Москвы облик города должен был измениться до неузнаваемости. Утрата старинных строений куда больше затронула Большую Полянку, чем Большую Ордынку, но, к счастью, перепланировка остановилась до того, как все историческое наследие этой улицы исчезло с лица земли. И даже те здания, которые были возведены советскими архитекторами, заслуживают отдельного внимания, и их история ничуть не менее увлекательна, чем их старинных собратьев. Сейчас, увы, невозможно увидеть на улицах Первопрестольной давно утраченные церкви и дома, но благодаря включенным в эту книгу старинным фотографиям можно окунуться в прошлое и увидеть эти здания глазами их современников. На страницах этого труда оживает не только история домов, но и история их жителей — от обывателей до знаменитейших людей эпохи. Богато иллюстрированное издание сделает прогулку по Большой Полянке по-настоящему незабываемой._x000D_
Эта книга будет интересна всем любителям истории и конечно же жителям Замоскворечья.</t>
  </si>
  <si>
    <t>8677</t>
  </si>
  <si>
    <t>ЖД</t>
  </si>
  <si>
    <t>Гончаренко С.</t>
  </si>
  <si>
    <t>Больше не приходи</t>
  </si>
  <si>
    <t>978-5-9524-2933-8</t>
  </si>
  <si>
    <t>17083</t>
  </si>
  <si>
    <t>Кондер М.</t>
  </si>
  <si>
    <t>Больше ни слова лжи</t>
  </si>
  <si>
    <t>978-5-227-07072-2</t>
  </si>
  <si>
    <t>16949</t>
  </si>
  <si>
    <t>Лукас Д.</t>
  </si>
  <si>
    <t>Больше никаких измен</t>
  </si>
  <si>
    <t>978-5-227-06856-9</t>
  </si>
  <si>
    <t>21130</t>
  </si>
  <si>
    <t>Эрвин С.</t>
  </si>
  <si>
    <t>Больше чем страсть</t>
  </si>
  <si>
    <t>978-5-227-10626-1</t>
  </si>
  <si>
    <t>Новые родственники красавицы Анны Стратфорд оказываются состоятельными бизнесменами из могущественного клана Лохлиннов. Ей предстоит выполнить поручение семьи, чтобы претендовать на завещание своего богатого деда. Совершенно не сведущей в подобных делах девушке предстоит продать парк аттракционов компании-конкуренту. Кажется, при этом ее пытаются обмануть все вокруг, в том числе и харизматичный Иэн Блэкберн, глава той самой компании-конкурента...</t>
  </si>
  <si>
    <t>15279</t>
  </si>
  <si>
    <t>Мортимер К.</t>
  </si>
  <si>
    <t>Больше, чем гувернантка</t>
  </si>
  <si>
    <t>978-5-227-05281-0</t>
  </si>
  <si>
    <t>18301</t>
  </si>
  <si>
    <t>Большие тайны маленького отеля</t>
  </si>
  <si>
    <t>978-5-227-08146-9</t>
  </si>
  <si>
    <t>21506</t>
  </si>
  <si>
    <t>ЗАДОРНОВ</t>
  </si>
  <si>
    <t>Задорнов М.Н.</t>
  </si>
  <si>
    <t>Большой концерт</t>
  </si>
  <si>
    <t>978-5-227-10894-4</t>
  </si>
  <si>
    <t>Не всем в этой жизни посчастливилось попасть на концерт Задорнова. Почувствовать на себе, как действует магия смеха, которой он мгновенно, начиная со вступительных слов, окутывает зал. Поэтому мы предлагаем вам книгу, составленную из НИКОГДА НЕ ПУБЛИКОВАВШИХСЯ частей архива концертов Михаила Николаевича. Взяв в руки это издание, вы побываете на Одном Большом Концерте замечательного и любимого всеми писателя и сатирика._x000D_
Книга выстроена по тому же принципу, что и многие концерты автора. Здесь впервые вы прочтёте наиболее полное собрание шуток, входящих в разделы концертов «Только наши» и «Знаете ли вы, что…», вспомните шутки «лихих девяностых», над которыми и теперь смеются дети, рождённые уже в иную эпоху. Но самое главное — в этой книге мы надеемся сохранить тот заряд энергии и творческого отношения к жизни, который каждый зритель может получить, только побывав на концерте Михаила Задорнова.</t>
  </si>
  <si>
    <t>16975</t>
  </si>
  <si>
    <t>Сахаров В.И.</t>
  </si>
  <si>
    <t>Большой погром</t>
  </si>
  <si>
    <t>978-5-227-07059-3</t>
  </si>
  <si>
    <t>2804</t>
  </si>
  <si>
    <t>ПРОЗА</t>
  </si>
  <si>
    <t>Чулаки М.</t>
  </si>
  <si>
    <t>Большой футбол Господень</t>
  </si>
  <si>
    <t>5-227-01490-6</t>
  </si>
  <si>
    <t>80x100 1/32</t>
  </si>
  <si>
    <t>21572</t>
  </si>
  <si>
    <t>Кастело А.</t>
  </si>
  <si>
    <t>Бонапарт</t>
  </si>
  <si>
    <t>978-5-9524-6386-8</t>
  </si>
  <si>
    <t>В первой книге дилогии французского историка Андре Кастело рассказывается о пути Наполеона Бонапарта к императорской короне. Автор разворачивает перед читателем объективную картину истории Франции на переломе эпох, знакомит с феноменом личности честолюбивого корсиканца, одержимого мечтой о великой империи.</t>
  </si>
  <si>
    <t>16338</t>
  </si>
  <si>
    <t>Боремся с анемией народными методами</t>
  </si>
  <si>
    <t>978-5-227-06008-2</t>
  </si>
  <si>
    <t>17541</t>
  </si>
  <si>
    <t>Борис Немцов. Слишком неизвестный человек. Отповедь бунтарю.</t>
  </si>
  <si>
    <t>978-5-227-07588-8</t>
  </si>
  <si>
    <t>18236</t>
  </si>
  <si>
    <t>ОИ МЕД</t>
  </si>
  <si>
    <t>Гроссвит М.</t>
  </si>
  <si>
    <t>Борода. Искусство мужского шика</t>
  </si>
  <si>
    <t>978-5-9524-5326-5</t>
  </si>
  <si>
    <t>15949</t>
  </si>
  <si>
    <t>АФГАН</t>
  </si>
  <si>
    <t>Фролов И.А.</t>
  </si>
  <si>
    <t>Бортжурнал 57-22-10. Хроники вертолетной эскадрильи</t>
  </si>
  <si>
    <t>978-5-227-05571-2</t>
  </si>
  <si>
    <t>21696</t>
  </si>
  <si>
    <t>Брэдфорд Э.</t>
  </si>
  <si>
    <t>Борьба великих государств Средиземноморья за мировое господство. История противостояния Рима и Карфагена, Византии и Османской империи, экспансии Франции и Великобритании</t>
  </si>
  <si>
    <t>978-5-9524-6438-4</t>
  </si>
  <si>
    <t>Книга видного британского историка — яркий и невероятно увлекательный рассказ обо всех сторонах жизни Средиземноморья, включая климатические условия, географию, флору и фауну. Однако главное внимание Брэдфорд уделяет богатой и многогранной истории этого региона. Он пишет об этрусках, финикийцах, греках и персах; рассказывает о кораблях, на которых они плавали, о войнах, которые они вели. Он представляет Пелопонесскую войну, анализирует отношения греков с Востоком, борьбу между Римом и Карфагеном. Показывает, как Рим стал Вечным городом, затем маятник качнулся на восток, и произошло возвышение Константинополя. Автор уделяет большое внимание взаимоотношениям Западной и Восточной Римских империй, арабским завоеваниям, Крестовым походам, падению Византии, приходу турок, последствиям кампаний Наполеона и двух мировых войн. Он описывает великие морские сражения и людей, которые в них участвовали.</t>
  </si>
  <si>
    <t>21829</t>
  </si>
  <si>
    <t>Лиск Д.</t>
  </si>
  <si>
    <t>Борьба за господство на Балтике. Северные войны XVII—XVIII веков. Соперничество Дании, Швеции, России и Польши</t>
  </si>
  <si>
    <t>978-5-9524-6360-8</t>
  </si>
  <si>
    <t>"Борьба северных государств за власть и влияние на Балтике ­достигла своего апогея в XVII в. В первые годы этого столетия Дания-Норвегия, обладавшая большим флотом и господствовавшая в проливе Зунд, была сильнейшей державой на западе, в то время как Польша доминировала на востоке. Однако с течением времени Швеция быстро расширила свой контроль не только над Балтикой, но и над большей частью Северной Европы. Активное участие в борьбе за Балтику принимала Россия, и эта борьба увенчалась успехом — в 1721 г. Петр I прорубил «окно в Европу». Автор обращает внимание на экономическое значение Балтики для Европы и в связи с этим на политику европейских держав. Но центральной темой исследования Дж. Лиск стала история подъема и драматического упадка Швеции.
Повествование сопровождают карты, поясняющие ход событий."</t>
  </si>
  <si>
    <t>4509</t>
  </si>
  <si>
    <t>ТАЙНЫ МВ</t>
  </si>
  <si>
    <t>Мурхед А.</t>
  </si>
  <si>
    <t>Борьба за Дарданеллы</t>
  </si>
  <si>
    <t>5-9524-0729-3</t>
  </si>
  <si>
    <t>19912</t>
  </si>
  <si>
    <t>Борьба за Дарданеллы. Решающее сражение между Турцией и Антантой</t>
  </si>
  <si>
    <t>978-5-9524-5627-3</t>
  </si>
  <si>
    <t>21828</t>
  </si>
  <si>
    <t>Кросби П.</t>
  </si>
  <si>
    <t>Борьба Финляндии, Германии и Советского Союза за стратегический регион Петсамо. 1940—1941</t>
  </si>
  <si>
    <t>978-5-9524-6435-3</t>
  </si>
  <si>
    <t>Вопрос о Петсамо, и все связанные с ним актуальные политические, экономические и военные факторы, занимает центральное место среди множества важных проблем, с которыми столкнулось финское правительство в 1940–1941 гг. В период между началом лета 1940 г. и весной 1941 г. этот вопрос постоянно стоял на дипломатической повестке дня и, по сути, стал неким измерителем финско-немецких отношений, большое влияние на которые оказала советская сторона. В настоящей книге автор рассматривает советскую внешнюю политику в советско-финских отношениях, объясняя ее с точки зрения представлений о ней финнов и немцев, а германо-финские отношения показаны как раз через ситуацию в Петсамо.</t>
  </si>
  <si>
    <t>16749</t>
  </si>
  <si>
    <t>Биварли Э.</t>
  </si>
  <si>
    <t>Босс в подарочной упаковке</t>
  </si>
  <si>
    <t>978-5-227-06744-9</t>
  </si>
  <si>
    <t>17268</t>
  </si>
  <si>
    <t>Эйтс М.</t>
  </si>
  <si>
    <t>Брак поневоле</t>
  </si>
  <si>
    <t>978-5-227-07282-5</t>
  </si>
  <si>
    <t>19597</t>
  </si>
  <si>
    <t>Сен­Джон Я.</t>
  </si>
  <si>
    <t>Брак ради мести</t>
  </si>
  <si>
    <t>978-5-227-09273-1</t>
  </si>
  <si>
    <t>16359</t>
  </si>
  <si>
    <t>Вуд Джосс</t>
  </si>
  <si>
    <t>Брат лучшей подруги</t>
  </si>
  <si>
    <t>978-5-227-06208-6</t>
  </si>
  <si>
    <t>17792</t>
  </si>
  <si>
    <t>Братишка</t>
  </si>
  <si>
    <t>978-5-227-07775-2</t>
  </si>
  <si>
    <t>21546</t>
  </si>
  <si>
    <t>ИП НОВ</t>
  </si>
  <si>
    <t>Делдерфилд Р.Ф.</t>
  </si>
  <si>
    <t>Братья и сестры Наполеона: Исторические портреты</t>
  </si>
  <si>
    <t>978-5-9524-5805-5</t>
  </si>
  <si>
    <t>Книга Р.Ф. Делдерфилда — это увлекательные жизнеописания родственников Наполеона, которые сумели подняться к вершинам власти, стали коронованными особами и породнились со многими королевскими домами Европы. Автор подробно рассказывает об их талантах, недостатках, деяниях, а также о судьбе их семей после роковой битвы при Ватерлоо, краха империи и возвращения на французский престол династии Бурбонов.</t>
  </si>
  <si>
    <t>21202</t>
  </si>
  <si>
    <t>КУЛ ВИ</t>
  </si>
  <si>
    <t>Лазерсон И.И</t>
  </si>
  <si>
    <t>Братьям по сахару. Рецепты для диабетиков от шеф-повара</t>
  </si>
  <si>
    <t>978-5-227-10727-5</t>
  </si>
  <si>
    <t>Я знаком с диабетом не понаслышке и абсолютно уверен, что современный человек, даже при условии, что у него нет этого недуга, обязан питаться так, как будто бы он у него есть. И в этом утверждении нет никакого пессимизма. Здоровая еда — залог вашей долгой, счастливой и активной жизни. Любите себя, питайтесь правильно!_x000D_
Мой посыл — ограничить в рационе быстрые углеводы и разумно применять продукты, содержащие углеводы медленные. Рецепты, как обычно, просты и не требуют особой квалификации, иными словами — не нужно иметь опыт бабушки, чтобы приготовить блюда, приводимые в этой книге. Упомянутая простота не означает, что в книге рассматривается только обыденная, ежедневная еда, — большинство блюд подходит и для праздничного стола, они вкусны, красивы, а главное, полезны. Будьте здоровы и жизнерадостны, и быть такими вам поможет эта книга.</t>
  </si>
  <si>
    <t>17565</t>
  </si>
  <si>
    <t>Лоренс К.</t>
  </si>
  <si>
    <t>Брачная ночь перед разводом</t>
  </si>
  <si>
    <t>978-5-227-07610-6</t>
  </si>
  <si>
    <t>16382</t>
  </si>
  <si>
    <t>Брачная сделка</t>
  </si>
  <si>
    <t>978-5-227-06267-3</t>
  </si>
  <si>
    <t>16464</t>
  </si>
  <si>
    <t>Маринелли К.</t>
  </si>
  <si>
    <t>Брачное уравнение</t>
  </si>
  <si>
    <t>978-5-227-06388-5</t>
  </si>
  <si>
    <t>19959</t>
  </si>
  <si>
    <t>Аренс К.</t>
  </si>
  <si>
    <t>Брачные планы барона Хейверсмира</t>
  </si>
  <si>
    <t>978-5-227-09575-6</t>
  </si>
  <si>
    <t>20865</t>
  </si>
  <si>
    <t>Адамс М.</t>
  </si>
  <si>
    <t>Брачный договор с герцогом</t>
  </si>
  <si>
    <t>978-5-227-10251-5</t>
  </si>
  <si>
    <t>В детстве Беатрис была болезненным ребенком, теперь она взрослая, но брат, герцог Кендальский, по-прежнему оберегает ее от дуновения ветра, балов и выездов в свет, под запретом и замужество – доктор считает, что деторождение убьет слабый организм. Беатрис уверена, что давно выздоровела, и решает, лучше умереть, чем до конца дней жить взаперти. Девушка подстраивает сцену, после которой родные вынуждены выдать ее замуж. Правда, в темноте она обняла не того мужчину, но, пожалуй, и к лучшему: герцог Бригамский – отличная партия. Вопрос только в том, будет ли этот брак счастливым…</t>
  </si>
  <si>
    <t>18452</t>
  </si>
  <si>
    <t>Хантер К.</t>
  </si>
  <si>
    <t>Брачный капкан для повесы</t>
  </si>
  <si>
    <t>978-5-227-08387-6</t>
  </si>
  <si>
    <t>7496</t>
  </si>
  <si>
    <t>Огородникова Т.</t>
  </si>
  <si>
    <t>Брачный контракт или ступени к доверию</t>
  </si>
  <si>
    <t>5-9524-2281-0</t>
  </si>
  <si>
    <t>7396</t>
  </si>
  <si>
    <t>7211</t>
  </si>
  <si>
    <t>7264</t>
  </si>
  <si>
    <t>17058</t>
  </si>
  <si>
    <t>Брачный контракт с сюрпризом</t>
  </si>
  <si>
    <t>978-5-227-07067-8</t>
  </si>
  <si>
    <t>10122</t>
  </si>
  <si>
    <t>Брачный экстрим или школа "Челси"</t>
  </si>
  <si>
    <t>978-5-9524-3313-7</t>
  </si>
  <si>
    <t>16592</t>
  </si>
  <si>
    <t>Максимов А.</t>
  </si>
  <si>
    <t>Бредятинки. Без лишних слов</t>
  </si>
  <si>
    <t>978-5-227-05798-3</t>
  </si>
  <si>
    <t>7165</t>
  </si>
  <si>
    <t>Братья Гримм</t>
  </si>
  <si>
    <t>Бременские музыканты</t>
  </si>
  <si>
    <t>5-9524-2223-3</t>
  </si>
  <si>
    <t>21089</t>
  </si>
  <si>
    <t>Гуденкауф Х.</t>
  </si>
  <si>
    <t>Бремя молчания</t>
  </si>
  <si>
    <t>978-5-227-10217-1</t>
  </si>
  <si>
    <t>В Уиллоу-Крик, маленьком городке штата Айова, пропали две семилетние девочки — Калли Кларк и ее лучшая подруга Петра Грегори. Отец Калли — алкоголик, который, напившись, избивает жену и старшего сына Бена. Несколько лет назад после особенно безобразной сцены Калли перестает говорить, и ее «голосом» становится Петра._x000D_
Поиском подруг занимается помощник шерифа Лорас Луис. Он боится, что девочек похитил опасный маньяк, который год назад при сходных обстоятельствах изнасиловал и убил десятилетнюю девочку. Тогда преступника найти не удалось...</t>
  </si>
  <si>
    <t>20256</t>
  </si>
  <si>
    <t>Уилер-Беннет Дж.</t>
  </si>
  <si>
    <t>Брестский мир. Победы и поражения советской дипломатии</t>
  </si>
  <si>
    <t>978-5-9524-5774-4</t>
  </si>
  <si>
    <t>16712</t>
  </si>
  <si>
    <t>Акцынов А.</t>
  </si>
  <si>
    <t>Бретер</t>
  </si>
  <si>
    <t>978-5-227-05797-6</t>
  </si>
  <si>
    <t>19626</t>
  </si>
  <si>
    <t>Жио П.­Р.</t>
  </si>
  <si>
    <t>Бретонцы. Романтики моря</t>
  </si>
  <si>
    <t>978-5-9524-5479-8</t>
  </si>
  <si>
    <t>17788</t>
  </si>
  <si>
    <t>ГАРЕМ</t>
  </si>
  <si>
    <t>Бриллиант для самой желанной</t>
  </si>
  <si>
    <t>978-5-227-07740-0</t>
  </si>
  <si>
    <t>15839</t>
  </si>
  <si>
    <t>Стивенс С.</t>
  </si>
  <si>
    <t>Бриллиант твоей души</t>
  </si>
  <si>
    <t>978-5-227-05719-8</t>
  </si>
  <si>
    <t>10438</t>
  </si>
  <si>
    <t>Бриллианты в шампанском</t>
  </si>
  <si>
    <t>978-5-9524-3596-4</t>
  </si>
  <si>
    <t>11780</t>
  </si>
  <si>
    <t>ТРЕНИНГ</t>
  </si>
  <si>
    <t>Свияш Ю.В.</t>
  </si>
  <si>
    <t>Бриллианты и шелк: 10 заповедей для настоящей женщины</t>
  </si>
  <si>
    <t>978-5-9524-4909-1</t>
  </si>
  <si>
    <t>20032</t>
  </si>
  <si>
    <t>Уорд Д.</t>
  </si>
  <si>
    <t>Британская военная экспедиция в Сибирь. Воспоминания командира батальона «Несгибаемых», отправленного в поддержку Колчака. 1918-1919</t>
  </si>
  <si>
    <t>978-5-9524-5670-9</t>
  </si>
  <si>
    <t>19352</t>
  </si>
  <si>
    <t>Данстервилль Л.</t>
  </si>
  <si>
    <t>Британская интервенция в Закавказье. Группа «Данстерфорс» в борьбе за бакинскую нефть</t>
  </si>
  <si>
    <t>978-5-9524-5450-7</t>
  </si>
  <si>
    <t>21413</t>
  </si>
  <si>
    <t>РАЗВЕДКА</t>
  </si>
  <si>
    <t>Уолтон К.</t>
  </si>
  <si>
    <t>Британская разведка во времена холодной войны. Секретные операции МИ-5 и МИ-6</t>
  </si>
  <si>
    <t>978-5-9524-6285-4</t>
  </si>
  <si>
    <t>Известный ученый К. Уолтон представляет тайную историю конца Британской империи и участие в этом процессе британской разведки. Автор дает панорамный обзор секретных действий правительства: от шпионажа времен войны в пустынях Северной Африки до сомнительных закулисных контактов с африканскими диктаторами, от карательных акций против повстанческого движения в джунглях Малайи, Кении и горах Кипра до военных действий в Палестине и на Аравийском полуострове. Уолтон раскрывает заговоры ЦРУ и тайную деятельность в британских колониях, убийства от рук агентов КГБ и неудавшиеся перевороты, спонсируемые правительствами Великобритании и США на Ближнем Востоке, главной целью которых было овладеть нефтью и другими природными ресурсами. Книга основана на недавно рассекреченных документах разведки и частных собраниях из целого ряда архивов.</t>
  </si>
  <si>
    <t>19883</t>
  </si>
  <si>
    <t>Дьюкс П.</t>
  </si>
  <si>
    <t>Британская шпионская сеть в Советской России. Воспоминания тайного агента МИ­6</t>
  </si>
  <si>
    <t>978-5-9524-5598-6</t>
  </si>
  <si>
    <t>18231</t>
  </si>
  <si>
    <t>Бродяга</t>
  </si>
  <si>
    <t>978-5-227-08321-0</t>
  </si>
  <si>
    <t>17783</t>
  </si>
  <si>
    <t>Дроканов И.Е.</t>
  </si>
  <si>
    <t>Броня Балтики</t>
  </si>
  <si>
    <t>978-5-9524-5242-8</t>
  </si>
  <si>
    <t>16521</t>
  </si>
  <si>
    <t>Бросить вызов своему счастью</t>
  </si>
  <si>
    <t>978-5-227-06394-6</t>
  </si>
  <si>
    <t>10163</t>
  </si>
  <si>
    <t>Берсеньева</t>
  </si>
  <si>
    <t>Бросить курить раз и навсегда</t>
  </si>
  <si>
    <t>978-5-9524-3339-7</t>
  </si>
  <si>
    <t>15595</t>
  </si>
  <si>
    <t>Грэхам П.</t>
  </si>
  <si>
    <t>Брошенный вызов</t>
  </si>
  <si>
    <t>978-5-227-05051-9</t>
  </si>
  <si>
    <t>21478</t>
  </si>
  <si>
    <t>Бахтиаров А.А.</t>
  </si>
  <si>
    <t>Брюхо Петербурга. Очерки столичной жизни</t>
  </si>
  <si>
    <t>978-5-227-10982-8</t>
  </si>
  <si>
    <t>Известный российский публицист, писатель, краевед и педагог Анатолий Александрович Бахтиаров подробнейшим образом рассказал, как работал огромный хозяйственный механизм, снабжавший Петербург конца XIX века продовольствием, рабочей силой и материалами. Перед читателем пройдет длинная вереница ярко прописанных портретов работников боен, поденщиков, золотарей, факельщиков, тряпичников, крючников, рассыльных, перекупщиков и множество других обитателей Северной столицы, которые совместными усилиями вращали маховик городского хозяйства. Автор книги рассказал о Воспитательном доме, ночлежках, скотобойне, большинстве столичных рынков, пристанях, балаганах, городских гуляньях… Издание читается живо и содержит множество бытовых подробностей, от которых порой захватывает дух… Но автор спокоен и бесстрастен, он не дает волю эмоциям и не ставит оценок… Книга написана прекрасным литературным языком, хорошо иллюстрирована и рассчитана на широкий круг любознательных читателей.</t>
  </si>
  <si>
    <t>17169</t>
  </si>
  <si>
    <t>Ольденбург С.Ф.</t>
  </si>
  <si>
    <t>Будда. Жизнь, деяния и мысли великого учителя</t>
  </si>
  <si>
    <t>978-5-227-06602-2</t>
  </si>
  <si>
    <t>20126</t>
  </si>
  <si>
    <t>Томас Э.</t>
  </si>
  <si>
    <t>Будда. История и легенды</t>
  </si>
  <si>
    <t>978-5-9524-5664-8</t>
  </si>
  <si>
    <t>17885</t>
  </si>
  <si>
    <t>Лоренс А.</t>
  </si>
  <si>
    <t>Будет жарко до утра</t>
  </si>
  <si>
    <t>978-5-227-07791-2</t>
  </si>
  <si>
    <t>16580</t>
  </si>
  <si>
    <t>Будни советского тыла</t>
  </si>
  <si>
    <t>978-5-227-06519-3</t>
  </si>
  <si>
    <t>17100</t>
  </si>
  <si>
    <t>Будь моей королевой</t>
  </si>
  <si>
    <t>978-5-227-07102-6</t>
  </si>
  <si>
    <t>19503</t>
  </si>
  <si>
    <t>Будь моим мужем!</t>
  </si>
  <si>
    <t>978-5-227-09156-7</t>
  </si>
  <si>
    <t>18839</t>
  </si>
  <si>
    <t>М ЖИ НОВ</t>
  </si>
  <si>
    <t>Наумова Э.</t>
  </si>
  <si>
    <t>Будь моим отцом</t>
  </si>
  <si>
    <t>978-5-227-08763-8</t>
  </si>
  <si>
    <t>18711</t>
  </si>
  <si>
    <t>Смарт М.</t>
  </si>
  <si>
    <t>Бунт страсти на острове</t>
  </si>
  <si>
    <t>978-5-227-08575-7</t>
  </si>
  <si>
    <t>20295</t>
  </si>
  <si>
    <t>Джордан П.</t>
  </si>
  <si>
    <t>Буря страсти</t>
  </si>
  <si>
    <t>978-5-227-09827-6</t>
  </si>
  <si>
    <t>20389</t>
  </si>
  <si>
    <t>Бусидо. Путь воина</t>
  </si>
  <si>
    <t>978-5-227-09912-9</t>
  </si>
  <si>
    <t>«Бусидо» — так называли в древней Японии свод правил и установлений, регламентирующих поведение и повседневную жизнь самураев — профессиональных воинов, определявших историю своей страны на протяжении веков.</t>
  </si>
  <si>
    <t>20247</t>
  </si>
  <si>
    <t>ОИ КУЛ</t>
  </si>
  <si>
    <t>Доктор Гамм</t>
  </si>
  <si>
    <t>Буфет всевозможных водок. Более 540 старинных рецептов водок, ликеров, ароматических вод, сиропов и уксусов</t>
  </si>
  <si>
    <t>978-5-227-09792-7</t>
  </si>
  <si>
    <t>16930</t>
  </si>
  <si>
    <t>Фрай Р.Н</t>
  </si>
  <si>
    <t>Бухара в средние века</t>
  </si>
  <si>
    <t>978-5-9524-5207-7</t>
  </si>
  <si>
    <t>16160</t>
  </si>
  <si>
    <t>Бывшая любовница</t>
  </si>
  <si>
    <t>978-5-227-06139-3</t>
  </si>
  <si>
    <t>19385</t>
  </si>
  <si>
    <t>ЖД ОУ НОВ</t>
  </si>
  <si>
    <t>Комарова И.М.</t>
  </si>
  <si>
    <t>Бывший муж и другие неприятности</t>
  </si>
  <si>
    <t>978-5-227-09104-8</t>
  </si>
  <si>
    <t>16921</t>
  </si>
  <si>
    <t>Беннет Д.</t>
  </si>
  <si>
    <t>Бывших плейбоев не бывает</t>
  </si>
  <si>
    <t>978-5-227-06922-1</t>
  </si>
  <si>
    <t>19633</t>
  </si>
  <si>
    <t>Быстрое похудение в домашних условиях. Самые эффективные средства</t>
  </si>
  <si>
    <t>978-5-227-09466-7</t>
  </si>
  <si>
    <t>16761</t>
  </si>
  <si>
    <t>Быть патриотом</t>
  </si>
  <si>
    <t>978-5-227-06566-7</t>
  </si>
  <si>
    <t>17117</t>
  </si>
  <si>
    <t>Мейер С.</t>
  </si>
  <si>
    <t>Быть только твоей</t>
  </si>
  <si>
    <t>978-5-227-07117-0</t>
  </si>
  <si>
    <t>19400</t>
  </si>
  <si>
    <t>Грачев М.К</t>
  </si>
  <si>
    <t>В батальоне правительственной связи. Воспоминания семнадцатилетнего солдата. 1943—1945</t>
  </si>
  <si>
    <t>978-5-227-09222-9</t>
  </si>
  <si>
    <t>21307</t>
  </si>
  <si>
    <t>Бермондт­Авало Павел Михайлович</t>
  </si>
  <si>
    <t>В борьбе с большевизмом. Воспоминания о Гражданской войне в Прибалтике и на северо-западе России</t>
  </si>
  <si>
    <t>978-5-9524-6207-6</t>
  </si>
  <si>
    <t>60х100 1/16</t>
  </si>
  <si>
    <t>Русский офицер, генерал-майор, представитель прогерманского течения в Белом движении в Прибалтике князь П.М. Бермондт-Авалов в своих воспоминаниях о Гражданской войне подробно рассматривает историю взаимоотношений России и Германии, причины начала Первой мировой войны, этапы формирования Русской добровольческой армии, а также описывает политическое положение в Прибалтике, дает яркие характеристики участникам событий.</t>
  </si>
  <si>
    <t>18749</t>
  </si>
  <si>
    <t>Кенан Л.</t>
  </si>
  <si>
    <t>В вихре искушений</t>
  </si>
  <si>
    <t>978-5-227-08658-7</t>
  </si>
  <si>
    <t>17649</t>
  </si>
  <si>
    <t>Андерсон С.</t>
  </si>
  <si>
    <t>В водовороте сладострастия</t>
  </si>
  <si>
    <t>978-5-227-07687-8</t>
  </si>
  <si>
    <t>17120</t>
  </si>
  <si>
    <t>Фэй Д.</t>
  </si>
  <si>
    <t>В водовороте чувств</t>
  </si>
  <si>
    <t>978-5-227-07103-3</t>
  </si>
  <si>
    <t>6415</t>
  </si>
  <si>
    <t>Грэм К.</t>
  </si>
  <si>
    <t>В гостях у Барсука</t>
  </si>
  <si>
    <t>5-9524-2079-6</t>
  </si>
  <si>
    <t>21515</t>
  </si>
  <si>
    <t>НАШИ</t>
  </si>
  <si>
    <t>Лейкин Н.А.</t>
  </si>
  <si>
    <t>В гостях у турок. Юмористическое описание путешествия супругов Николая Ивановича и Глафиры Семеновны Ивановых через славянские земли в Константинополь</t>
  </si>
  <si>
    <t>978-5-227-10983-5</t>
  </si>
  <si>
    <t>Глафира Семеновна и Николай Иванович Ивановы уже в статусе бывалых путешественников отправились в Константинополь. В пути им было уже не так сложно. После цыганского царства — Венгрии — маршрут пролегал через славянские земли, и общие братские корни облегчали понимание. Однако наши соотечественники смогли отличиться — чуть не попали в криминальные новости. Глафира Семеновна метнула в сербского таможенного офицера кусок ветчины, а Николай Иванович выступил самозванцем, раздавая интервью об отсутствии самоваров в Софии и их влиянии на российско-болгарские отношения.</t>
  </si>
  <si>
    <t>20206</t>
  </si>
  <si>
    <t>Гессен И.В.</t>
  </si>
  <si>
    <t>В двух веках. Жизненный отчет российского государственного и политического деятеля, члена Второй Государственной думы</t>
  </si>
  <si>
    <t>978-5-227-09863-4</t>
  </si>
  <si>
    <t>17465</t>
  </si>
  <si>
    <t>В добровольном плену соблазна</t>
  </si>
  <si>
    <t>978-5-227-07478-2</t>
  </si>
  <si>
    <t>18687</t>
  </si>
  <si>
    <t>Райан Р.</t>
  </si>
  <si>
    <t>В доме нашей любви</t>
  </si>
  <si>
    <t>978-5-227-08550-4</t>
  </si>
  <si>
    <t>17443</t>
  </si>
  <si>
    <t>М ГРЭНДЖЕР</t>
  </si>
  <si>
    <t>Грэнджер Э.</t>
  </si>
  <si>
    <t>В дурном обществе</t>
  </si>
  <si>
    <t>978-5-227-07437-9</t>
  </si>
  <si>
    <t>16262</t>
  </si>
  <si>
    <t>Лонг Б.</t>
  </si>
  <si>
    <t>В западне</t>
  </si>
  <si>
    <t>978-5-227-06174-4</t>
  </si>
  <si>
    <t>12872</t>
  </si>
  <si>
    <t>Волчок Ирина</t>
  </si>
  <si>
    <t>В Калифорнии морозов не бывает</t>
  </si>
  <si>
    <t>978-5-227-03112-9</t>
  </si>
  <si>
    <t>18674</t>
  </si>
  <si>
    <t>Мейнард Д.</t>
  </si>
  <si>
    <t>В капкане искушений с шотландцем</t>
  </si>
  <si>
    <t>978-5-227-08547-4</t>
  </si>
  <si>
    <t>18891</t>
  </si>
  <si>
    <t>В капкане случайной страсти</t>
  </si>
  <si>
    <t>978-5-227-08776-8</t>
  </si>
  <si>
    <t>15877</t>
  </si>
  <si>
    <t>Фэй Дж.</t>
  </si>
  <si>
    <t>В крепких объятиях</t>
  </si>
  <si>
    <t>978-5-227-05834-8</t>
  </si>
  <si>
    <t>15089</t>
  </si>
  <si>
    <t>Летбридж Э.</t>
  </si>
  <si>
    <t>В крепких руках графа</t>
  </si>
  <si>
    <t>978-5-227-05035-9</t>
  </si>
  <si>
    <t>17724</t>
  </si>
  <si>
    <t>Мэтер Э.</t>
  </si>
  <si>
    <t>В лавине тропической страсти</t>
  </si>
  <si>
    <t>978-5-227-07718-9</t>
  </si>
  <si>
    <t>18027</t>
  </si>
  <si>
    <t>Кувайкова А.А.</t>
  </si>
  <si>
    <t>В ловушке сна: Маранта</t>
  </si>
  <si>
    <t>978-5-227-08116-2</t>
  </si>
  <si>
    <t>5977</t>
  </si>
  <si>
    <t>ГШ</t>
  </si>
  <si>
    <t>Котляр</t>
  </si>
  <si>
    <t>В моем саду</t>
  </si>
  <si>
    <t>5-9524-1558-X</t>
  </si>
  <si>
    <t>60x70 1/16</t>
  </si>
  <si>
    <t>картон</t>
  </si>
  <si>
    <t>18907</t>
  </si>
  <si>
    <t>Болтер А.</t>
  </si>
  <si>
    <t>В неге жарких ощущений</t>
  </si>
  <si>
    <t>978-5-227-08772-0</t>
  </si>
  <si>
    <t>16792</t>
  </si>
  <si>
    <t>В неге объятий</t>
  </si>
  <si>
    <t>978-5-227-06783-8</t>
  </si>
  <si>
    <t>19572</t>
  </si>
  <si>
    <t>В неге светлых чувств</t>
  </si>
  <si>
    <t>978-5-227-09203-8</t>
  </si>
  <si>
    <t>18818</t>
  </si>
  <si>
    <t>В неге чувственного тумана</t>
  </si>
  <si>
    <t>978-5-227-08693-8</t>
  </si>
  <si>
    <t>21319</t>
  </si>
  <si>
    <t>Гонсалес Н.</t>
  </si>
  <si>
    <t>В нежных объятиях дикарки</t>
  </si>
  <si>
    <t>978-5-227-10564-6</t>
  </si>
  <si>
    <t>Бизнесмен Ник Уильямс не предполагал, что на рейсе до Ройяла, куда он летит на свадьбу своего клиента, ему встретится красавица Саша Рамос. Она настолько увлекает его, что он начинает мечтать об их семейном будущем. Но Саша всячески избегает серьезных отношений...</t>
  </si>
  <si>
    <t>16065</t>
  </si>
  <si>
    <t>Робертс А.</t>
  </si>
  <si>
    <t>В объятиях врага</t>
  </si>
  <si>
    <t>978-5-227-05980-2</t>
  </si>
  <si>
    <t>17523</t>
  </si>
  <si>
    <t>Биссел А.</t>
  </si>
  <si>
    <t>В объятиях мстительного мачо</t>
  </si>
  <si>
    <t>978-5-227-07584-0</t>
  </si>
  <si>
    <t>18789</t>
  </si>
  <si>
    <t>Андерсон Н.</t>
  </si>
  <si>
    <t>В объятиях нежного искусителя</t>
  </si>
  <si>
    <t>978-5-227-08664-8</t>
  </si>
  <si>
    <t>15522</t>
  </si>
  <si>
    <t>Уэст Э.</t>
  </si>
  <si>
    <t>В объятиях незнакомца</t>
  </si>
  <si>
    <t>978-5-227-05486-9</t>
  </si>
  <si>
    <t>16524</t>
  </si>
  <si>
    <t>В объятиях снежной леди</t>
  </si>
  <si>
    <t>978-5-227-06485-1</t>
  </si>
  <si>
    <t>18226</t>
  </si>
  <si>
    <t>В объятиях страстного сицилианца</t>
  </si>
  <si>
    <t>978-5-227-08217-6</t>
  </si>
  <si>
    <t>20085</t>
  </si>
  <si>
    <t>В ожидании наследства. Страница из жизни Кости Бережкова</t>
  </si>
  <si>
    <t>978-5-227-09779-8</t>
  </si>
  <si>
    <t>16354</t>
  </si>
  <si>
    <t>В окопах. 1916 год. Хроника одного полка</t>
  </si>
  <si>
    <t>978-5-227-05776-1</t>
  </si>
  <si>
    <t>18990</t>
  </si>
  <si>
    <t>Вейд Д.</t>
  </si>
  <si>
    <t>В омуте запретных чувств</t>
  </si>
  <si>
    <t>978-5-227-08886-4</t>
  </si>
  <si>
    <t>17740</t>
  </si>
  <si>
    <t>В омуте колдовских глаз</t>
  </si>
  <si>
    <t>978-5-227-07730-1</t>
  </si>
  <si>
    <t>19756</t>
  </si>
  <si>
    <t>ЗЛФ</t>
  </si>
  <si>
    <t>Хартлауб Ф.</t>
  </si>
  <si>
    <t>В особо охраняемой зоне. Дневник солдата ставки Гитлера. 1939-1945</t>
  </si>
  <si>
    <t>978-5-9524-5569-6</t>
  </si>
  <si>
    <t>21385</t>
  </si>
  <si>
    <t>Васькин А.А</t>
  </si>
  <si>
    <t>В переулках Арбата. Прогулки по центру Москвы</t>
  </si>
  <si>
    <t>978-5-227-10765-7</t>
  </si>
  <si>
    <t>Новая книга известного писателя и историка, автора просветительских программ на радио «Орфей» Александра Васькина продолжает «арбатскую тему», избранную им в прошлой книге «Старый Арбат». На этот раз читатели совершат увлекательную прогулку по Сивцеву Вражку и Кривоарбатскому переулку, завернут в Большой Афанасьевский и Спасопесковский переулки, пройдутся по Малой и Большой Молчановкам, остановятся в Денежном и Малом Николопесковском переулках. Среди героев этой интереснейшей книги — художник Михаил Нестеров и архитектор Константин Мельников, семья литераторов Аксаковых, писатели Лев Толстой и Михаил Шолохов, муза Владимира Маяковского Лиля Брик, советский нарком Анатолий Луначарский и композитор Сергей Прокофьев, богатейший человек царской России Николай Второв и многие-многие другие. Мы также побываем на балу у Воланда и в родильном доме Грауэрмана, заглянем на званый вечер, где послушаем самого Николая Гоголя, а еще узнаем — какой арбатский переулок хотели переименовать в «переулок Независимого Афганистана»…</t>
  </si>
  <si>
    <t>20017</t>
  </si>
  <si>
    <t>В плену безудержных желаний</t>
  </si>
  <si>
    <t>978-5-227-09358-5</t>
  </si>
  <si>
    <t>17086</t>
  </si>
  <si>
    <t>Монро Л.</t>
  </si>
  <si>
    <t>В плену запретной страсти</t>
  </si>
  <si>
    <t>978-5-227-07078-4</t>
  </si>
  <si>
    <t>18038</t>
  </si>
  <si>
    <t>В плену равнодушного сердца</t>
  </si>
  <si>
    <t>978-5-227-08085-1</t>
  </si>
  <si>
    <t>18282</t>
  </si>
  <si>
    <t>Уильямс К.</t>
  </si>
  <si>
    <t>В плену соблазна</t>
  </si>
  <si>
    <t>978-5-227-08242-8</t>
  </si>
  <si>
    <t>19795</t>
  </si>
  <si>
    <t>Уоллис Бадж</t>
  </si>
  <si>
    <t>В плену чужой страсти</t>
  </si>
  <si>
    <t>978-5-227-09404-9</t>
  </si>
  <si>
    <t>15800</t>
  </si>
  <si>
    <t>Комаров А.</t>
  </si>
  <si>
    <t>В поисках истины</t>
  </si>
  <si>
    <t>978-5-227-05706-8</t>
  </si>
  <si>
    <t>19833</t>
  </si>
  <si>
    <t>ТП К</t>
  </si>
  <si>
    <t>Синельников В.В.</t>
  </si>
  <si>
    <t>В поисках источников личной силы</t>
  </si>
  <si>
    <t>978-5-227-09656-2</t>
  </si>
  <si>
    <t>20163</t>
  </si>
  <si>
    <t>ТП</t>
  </si>
  <si>
    <t>В поисках источников личной силы. Мужской разговор</t>
  </si>
  <si>
    <t>978-5-227-09899-3</t>
  </si>
  <si>
    <t>14355</t>
  </si>
  <si>
    <t>Н ТП</t>
  </si>
  <si>
    <t>978-5-227-04390-0</t>
  </si>
  <si>
    <t>20884</t>
  </si>
  <si>
    <t>Литтлпейдж Д.</t>
  </si>
  <si>
    <t>В поисках советского золота. Генеральное сражение на золотом фронте Сталина</t>
  </si>
  <si>
    <t>978-5-9524-5983-0</t>
  </si>
  <si>
    <t>Золото!.. Кто и в какие времена не искал его? Вот и в начале образования Советского государства возник вопрос о развертывании разведывательно-изыскательных партий золотоносных месторождений. По указанию Сталина были привлечены специалисты из других стран, в частности, горный инженер Джон Литтлпейдж, работавший на Аляске. Великолепный рассказчик, он в частных беседах говорил о своей работе в тресте «Главзолото», о советских приисках, об организации золотодобывающей промышленности, контролировавшейся НКВД, о положении рабочих и женском труде на шахтах, а также о плавильных производствах на Южном Урале, Казахстане, Башкирии, Якутии, Западной Сибири, где ему пришлось работать… Беседы с ним, которые записал журналист Демари Бесс, легли в основу этой книги.</t>
  </si>
  <si>
    <t>4672</t>
  </si>
  <si>
    <t>ИД</t>
  </si>
  <si>
    <t>Рощина М.</t>
  </si>
  <si>
    <t>В постели с диджеем</t>
  </si>
  <si>
    <t>5-9524-0887-7</t>
  </si>
  <si>
    <t>19478</t>
  </si>
  <si>
    <t>Захаров Д.А</t>
  </si>
  <si>
    <t>В пяти шагах от Рая</t>
  </si>
  <si>
    <t>978-5-227-08920-5</t>
  </si>
  <si>
    <t>18827</t>
  </si>
  <si>
    <t>В ритме смелых желаний</t>
  </si>
  <si>
    <t>978-5-227-08701-0</t>
  </si>
  <si>
    <t>19006</t>
  </si>
  <si>
    <t>Шилд К.</t>
  </si>
  <si>
    <t>В сетях жаркой мести</t>
  </si>
  <si>
    <t>978-5-227-08888-8</t>
  </si>
  <si>
    <t>18847</t>
  </si>
  <si>
    <t>Рок Джоанна</t>
  </si>
  <si>
    <t>В сетях жгучего влечения</t>
  </si>
  <si>
    <t>978-5-227-08732-4</t>
  </si>
  <si>
    <t>19013</t>
  </si>
  <si>
    <t>Райс Х.</t>
  </si>
  <si>
    <t>В сетях искушения</t>
  </si>
  <si>
    <t>978-5-227-08909-0</t>
  </si>
  <si>
    <t>21602</t>
  </si>
  <si>
    <t>Бидерман Г.</t>
  </si>
  <si>
    <t>В смертельном бою. Воспоминания командира противотанкового расчета. 1941—1945</t>
  </si>
  <si>
    <t>978-5-9524-5876-5</t>
  </si>
  <si>
    <t>Это книга очевидца и участника кровопролитных боев на Восточном фронте. Командир противотанкового расчета Готтлоб Бидерман участвовал в боях под Киевом, осаде Севастополя, блокаде Ленинграда, отступлении через Латвию и в последнем сражении за Курляндию. Четыре года на передовой и три года в русском плену... На долю этого человека выпала вся тяжесть войны и горечь поражения Германии.</t>
  </si>
  <si>
    <t>21000</t>
  </si>
  <si>
    <t>Бубнов А.Д.</t>
  </si>
  <si>
    <t>В Ставке Верховного главнокомандующего. Воспоминания адмирала. 1914—1918</t>
  </si>
  <si>
    <t>978-5-227-10429-8</t>
  </si>
  <si>
    <t>Контр-адмирал Александр Дмитриевич Бубнов посвятил книгу своих воспоминаний событиям Первой мировой войны. С начала войны он находился в Ставке Верховного главнокомандующего и служил там до Октябрьских событий 1917 года. В июле 1916 года Бубнов получил чин капитана 1-го ранга «за отличие по службе». Контр-адмиралом он стал через год, в июле 1917 года, уже при Временном правительстве. Свою службу в Ставке адмирал делит на три периода — при великом князе Николае Николаевиче, возглавлявшем русскую армию до августа 1915 года, при императоре Николае II, принявшем обязанности Верховного главнокомандующего на себя, и при власти Временного правительства, после февраля 1917 года сменившего за несколько месяцев ряд главнокомандующих. А.Д. Бубнов анализирует ход военных действий в этот период и делает ряд интересных, хоть и не бесспорных выводов. Как человек, лично причастный ко многим событиям, он хорошо знает факты, остававшиеся неизвестными людям со стороны. Например, эпопея с подготовкой Босфорской операции, увы, несостоявшейся, знакома ему в мелких деталях, так как он сам занимался разработкой этих планов в Ставке. В 1918 году ему удалось добраться до Одессы и примкнуть к Белому движению. Адмирал Колчак, хорошо знавший Бубнова, включил его в состав делегации, которая должна была представлять интересы России на Версальской мирной конференции после завершения Первой мировой войны. Но русская белая делегация на конференцию допущена не была — для союзников Россия стала отыгранной картой. Вернувшись в Россию, А.Д. Бубнов был в 1919 году назначен на должность начальника штаба командующего Черноморским флотом адмирала А.В. Ненюкова. А в 1920 году отправился вместе с семьей в эмиграцию, чтобы уже никогда не вернуться на русские берега…</t>
  </si>
  <si>
    <t>16270</t>
  </si>
  <si>
    <t>В твоей власти</t>
  </si>
  <si>
    <t>978-5-227-06165-2</t>
  </si>
  <si>
    <t>19451</t>
  </si>
  <si>
    <t>Никитин Е.С</t>
  </si>
  <si>
    <t>В тени экватора</t>
  </si>
  <si>
    <t>978-5-227-09342-4</t>
  </si>
  <si>
    <t>18688</t>
  </si>
  <si>
    <t>В шаге от соблазна</t>
  </si>
  <si>
    <t>978-5-227-08554-2</t>
  </si>
  <si>
    <t>16763</t>
  </si>
  <si>
    <t>В этом нет сомнения</t>
  </si>
  <si>
    <t>978-5-227-06728-9</t>
  </si>
  <si>
    <t>16367</t>
  </si>
  <si>
    <t>MEMO</t>
  </si>
  <si>
    <t>Кривачек П</t>
  </si>
  <si>
    <t>Вавилон</t>
  </si>
  <si>
    <t>978-5-227-06261-1</t>
  </si>
  <si>
    <t>19458</t>
  </si>
  <si>
    <t>Веллард Д</t>
  </si>
  <si>
    <t>Вавилоняне. Жители города Чудес</t>
  </si>
  <si>
    <t>978-5-9524-5481-1</t>
  </si>
  <si>
    <t>19475</t>
  </si>
  <si>
    <t>Валентин Фалин - уникальная фигура советской дипломатии</t>
  </si>
  <si>
    <t>978-5-227-09363-9</t>
  </si>
  <si>
    <t>18508</t>
  </si>
  <si>
    <t>Фалина Н.А</t>
  </si>
  <si>
    <t>Валентин Фалин глазами жены и друзей. Подлинная история жизни и любви</t>
  </si>
  <si>
    <t>978-5-227-07875-9</t>
  </si>
  <si>
    <t>21618</t>
  </si>
  <si>
    <t>Саммерс Монтегю</t>
  </si>
  <si>
    <t>Вампиры в верованиях и легендах</t>
  </si>
  <si>
    <t>978-5-9524-6001-0</t>
  </si>
  <si>
    <t>Преподобный Монтегю Саммерс, английский писатель и знаток готического романа, католический клирик и исследователь оккультизма, автор работ по истории ведьмовства и демонологии, по географии ведовства, оборотничества и вампиризма, в своей книге прослеживает мрачные предания о вампирах до истоков их возникновения. В поисках внятного толкования характерных черт и действий вампиров, попытке сформулировать гипотезу, которая могла бы объяснить эти жуткие явления, Саммерс приводит множество примеров и случаев вампиризма. На основе свидетельств очевидцев он рассказывает о привычках, особенностях, внешнем виде и отличительных признаках вампиров и способах защиты от них.</t>
  </si>
  <si>
    <t>18377</t>
  </si>
  <si>
    <t>Прасолов В.Г.</t>
  </si>
  <si>
    <t>Вангол</t>
  </si>
  <si>
    <t>978-5-227-08293-0</t>
  </si>
  <si>
    <t>18310</t>
  </si>
  <si>
    <t>Вангол-4. Ледовый материк</t>
  </si>
  <si>
    <t>978-5-9524-5347-0</t>
  </si>
  <si>
    <t>19839</t>
  </si>
  <si>
    <t>Вангол­5. Чеченский этап</t>
  </si>
  <si>
    <t>978-5-9524-5502-3</t>
  </si>
  <si>
    <t>20251</t>
  </si>
  <si>
    <t>Яковлева А.Я</t>
  </si>
  <si>
    <t>Варенье с косточкой</t>
  </si>
  <si>
    <t>978-5-227-09513-8</t>
  </si>
  <si>
    <t>17534</t>
  </si>
  <si>
    <t>Варяг</t>
  </si>
  <si>
    <t>978-5-227-07606-9</t>
  </si>
  <si>
    <t>20399</t>
  </si>
  <si>
    <t>Нижинская Р.</t>
  </si>
  <si>
    <t>Вацлав Нижинский. Воспоминания</t>
  </si>
  <si>
    <t>978-5-9524-5850-5</t>
  </si>
  <si>
    <t>Книга Ромолы Нижинской посвящена последним двадцати годам жизни великого танцовщика Вацлава Нижинского, вдохновлявшего композиторов, балетмейстеров, художников и продюсеров на создание новых ритмов, неожиданной пластики и совершенно фантастических образов нового искусства. Особое место уделяется в мемуарах роли Дягилева — темного гения Вацлава. Воспоминаниям Ромолы, возможно, не хватает холодной объективности исследователя, но это искреннее свидетельство любящего сердца.</t>
  </si>
  <si>
    <t>19318</t>
  </si>
  <si>
    <t>МП</t>
  </si>
  <si>
    <t>Некрасов А.А.</t>
  </si>
  <si>
    <t>Ваш билет на экзамене жизни. 102 ответа на жизненно важные вопросы</t>
  </si>
  <si>
    <t>978-5-227-09257-1</t>
  </si>
  <si>
    <t>20983</t>
  </si>
  <si>
    <t>Н ХАМОН</t>
  </si>
  <si>
    <t>Хамон Л.</t>
  </si>
  <si>
    <t>Ваш гороскоп и ваши звёзды. Узнайте всё о себе и других по дате рождения</t>
  </si>
  <si>
    <t>978-5-227-10559-2</t>
  </si>
  <si>
    <t>Знаменитый британский хиромант Луис Хамон, известный всему миру под псевдонимом Кайро, представляет созданную им оригинальную систему составления гороскопа, основанную на общепринятых законах астрологии, но с учетом нумерологии и в зависимости от даты рождения. Рекомендации по коррекции характера, здоровья, взаимоотношений между мужчиной и женщиной и настрой на успех в бизнесе и любви, по мнению автора, помогут в решении каждодневных проблем.</t>
  </si>
  <si>
    <t>17501</t>
  </si>
  <si>
    <t>Ваш знак зодиака в легендах и мифах</t>
  </si>
  <si>
    <t>978-5-227-07523-9</t>
  </si>
  <si>
    <t>7676</t>
  </si>
  <si>
    <t>БЕССОННИЦА</t>
  </si>
  <si>
    <t>Соломенко Е.</t>
  </si>
  <si>
    <t>Ваш номер - тринадцатый</t>
  </si>
  <si>
    <t>978-5-9524-2556-9</t>
  </si>
  <si>
    <t>82x108 1/32</t>
  </si>
  <si>
    <t>10812</t>
  </si>
  <si>
    <t>М БЕСС</t>
  </si>
  <si>
    <t>978-5-9524-3910-8</t>
  </si>
  <si>
    <t>14517</t>
  </si>
  <si>
    <t>Скоттолини Л.</t>
  </si>
  <si>
    <t>Вглядись в его лицо</t>
  </si>
  <si>
    <t>978-5-227-04507-2</t>
  </si>
  <si>
    <t>16911</t>
  </si>
  <si>
    <t>Ведун</t>
  </si>
  <si>
    <t>978-5-227-06279-6</t>
  </si>
  <si>
    <t>17182</t>
  </si>
  <si>
    <t>Аакен В.фон</t>
  </si>
  <si>
    <t>Ведьмин котел на восточном фронте . Решающие сражение Второй мировой войны. 1941-1945</t>
  </si>
  <si>
    <t>978-5-9524-5214-5</t>
  </si>
  <si>
    <t>7281</t>
  </si>
  <si>
    <t>Вадченко Н.</t>
  </si>
  <si>
    <t>Ведьмино время</t>
  </si>
  <si>
    <t>5-9524-2367-1</t>
  </si>
  <si>
    <t>20093</t>
  </si>
  <si>
    <t>Буркхард Я.</t>
  </si>
  <si>
    <t>Век Константина Великого</t>
  </si>
  <si>
    <t>978-5-9524-5688-4</t>
  </si>
  <si>
    <t>18401</t>
  </si>
  <si>
    <t>Неклюдов В.</t>
  </si>
  <si>
    <t>Вектор силы</t>
  </si>
  <si>
    <t>978-5-227-08405-7</t>
  </si>
  <si>
    <t>21858</t>
  </si>
  <si>
    <t>Спиридович А.И.</t>
  </si>
  <si>
    <t>Великая война и Февральская революция 1914–1917 гг. Воспоминания генерал-майора Отдельного корпуса жандармов, начальника императорской дворцовой охраны Николая II</t>
  </si>
  <si>
    <t>978-5-227-10877-7</t>
  </si>
  <si>
    <t>Генерал­майор Отдельного корпуса жандармов Александр Иванович Спиридович был человеком, преданным императору Николаю II и самой идее монархической власти. С началом Первой мировой войны А.И. Спиридович сопровождал государя в поездках на фронт, обеспечивая его охрану, в Ставке и во фронтовых частях. В 1915 году за служебные успехи А.И. Спиридович был произведен в генерал-майоры. Летом 1916 года Николай II назначил Спиридовича градоначальником в Ялту. Война, по общему убеждению, шла к победному концу, и Ялту, любимый крымский уголок императора, следовало превратить в «русскую Ниццу», а для этого нужен был инициативный, честный человек, слуга закона. Генерал энергично взялся за дело, но… история приготовила для Российской империи иной сценарий… В феврале 1917 г., в разгар революционных событий, генерал Спиридович оказался в Петрограде, в деловой поездке, и мог наблюдать все происходящее своими глазами. Крушение Российской империи, свержение монарха и последующие события он воспринимал как большую трагедию._x000D__x000D_
Личные воспоминания А.И. Спиридович дополняет множеством официальных документов, что делает повествование особенно достоверным.</t>
  </si>
  <si>
    <t>20863</t>
  </si>
  <si>
    <t>Террейн Д.</t>
  </si>
  <si>
    <t>Великая война. 1914—1918. Первая мировая — предпосылки и развитие</t>
  </si>
  <si>
    <t>978-5-9524-6039-3</t>
  </si>
  <si>
    <t>В книге Джона Террейна охвачены огромные пласты исторического материала. Раскрывается роль каждого государства в Первой мировой войне. Пользуясь большим количеством источников — дипломатических отчетов, сводок с театра военных действий и рапортов высших должностных лиц, — автор убедительно аргументирует ряд обобщений и выводов. Расположенный в строго хронологическом порядке тщательно скомпонованный материал выявляет тайные и явные мотивы политики ведущих держав мира и механизмы, при помощи или вопреки которым свершается неумолимый ход истории.</t>
  </si>
  <si>
    <t>12746</t>
  </si>
  <si>
    <t>Великая звезда мироздания</t>
  </si>
  <si>
    <t>978-5-227-02814-3</t>
  </si>
  <si>
    <t>19334</t>
  </si>
  <si>
    <t>Великая княгиня Владимирская Мария. Загадка погребения в Княгинином монастыре</t>
  </si>
  <si>
    <t>978-5-227-09168-0</t>
  </si>
  <si>
    <t>21288</t>
  </si>
  <si>
    <t>Романова М.П.</t>
  </si>
  <si>
    <t>Великая княжна в изгнании. Рассказ о пережитом кузины Николая II</t>
  </si>
  <si>
    <t>978-5-9524-6206-9</t>
  </si>
  <si>
    <t>Великой княжне Марии Павловне и ее близким удалось спастись от гибели бегством из революционной России. Но жизнь на чужбине оказалась нелегкой, и княжна с благодарностью вспоминает тех немногих, кто помог ее семье, среди них короля и королеву Румынии. Княжна рассказывает о дружбе с королем Испании Альфонсо XIII, о встречах с королевой Англии, императрицей Марией Федоровной и королем Густавом V, о превратностях жизни в Лондоне и Париже. В поисках средств к существованию княжна пыталась зарабатывать шитьем, вязанием, вышивкой. Знакомство с Коко Шанель подтолкнуло Марию Павловну к организации своего дела — вышивальной мастерской. Наконец она действительно стала зарабатывать. Стремясь помогать бедствующим соотечественникам, княжна активно занималась благотворительностью. Ее рассказ — это взгляд на жизнь в эмиграции без прикрас, жалоб и ненависти.</t>
  </si>
  <si>
    <t>20019</t>
  </si>
  <si>
    <t>Бонвик Д.</t>
  </si>
  <si>
    <t>Великая пирамида Гизы. Факты, гипотезы, открытия</t>
  </si>
  <si>
    <t>978-5-9524-5665-5</t>
  </si>
  <si>
    <t>21701</t>
  </si>
  <si>
    <t>СЭ НОВ</t>
  </si>
  <si>
    <t>Долгоруков П.Д.</t>
  </si>
  <si>
    <t>Великая разруха. Воспоминания основателя партии кадетов. 1916—1926</t>
  </si>
  <si>
    <t>978-5-227-10292-8</t>
  </si>
  <si>
    <t>Павел Дмитриевич Долгоруков — деятель земского либерального движения, один из основателей Союза Освобождения, кадетской партии. Выступал против применения насилия в революции и против самой революции. Летом 1917-го пришел к выводу о необходимости установления военной диктатуры. После Октябрьской революции участвовал в Белом движении, член «Национального центра». С 1920-го в эмиграции. В 1926-м для выяснения ситуации в СССР нелегально перешел границу, был арестован и через год расстрелян. В книгу включены воспоминания Петра Дмитриевича, его брата и многих замечательных людей того времени...</t>
  </si>
  <si>
    <t>20325</t>
  </si>
  <si>
    <t>Чернов В.М.</t>
  </si>
  <si>
    <t>Великая русская революция. Воспоминания председателя Учредительного собрания. 1905—1920</t>
  </si>
  <si>
    <t>978-5-9524-5829-1</t>
  </si>
  <si>
    <t>Виктор Михайлович Чернов (1873—1952) — автор трудов по социологии и аграрному вопросу, один из основателей и главный теоретик партии эсеров, министр Временного правительства. В 1918 году избран председателем Учредительного собрания. В своей книге он вспоминает революционные дни потрясенной России, те события, в формировании которых он принимал непосредственное участие. Резко обвиняет царскую власть, а затем и «демократию» за болтливость и разрушительство, упрекает во властибоязни, а блок с кадетами, которые диктуют свои условия, называет нереальным и вредным. Высказывается об Октябрьской революции 1917 года, которую категорически не принял.</t>
  </si>
  <si>
    <t>18425</t>
  </si>
  <si>
    <t>Великая сила жизни</t>
  </si>
  <si>
    <t>978-5-227-08296-1</t>
  </si>
  <si>
    <t>70х100 1/16</t>
  </si>
  <si>
    <t>3004</t>
  </si>
  <si>
    <t>Пушкина</t>
  </si>
  <si>
    <t>Великая сила любви</t>
  </si>
  <si>
    <t>5-227-01624-0</t>
  </si>
  <si>
    <t>21141</t>
  </si>
  <si>
    <t>Кризи Эдвард</t>
  </si>
  <si>
    <t>Великие битвы XI—XIX веков. От Гастингса до Ватерлоо</t>
  </si>
  <si>
    <t>978-5-9524-6014-0</t>
  </si>
  <si>
    <t>Исследуя вооруженные конфликты Средневековья и Нового времени, Эдвард Кризи выбирает восемь наиболее важных сражений этого периода истории, позволяющих во всех деталях рассмотреть масштабную картину эволюции вооружения и ведения войн. Автор анализирует расстановку политических сил к моменту сражения, дает характеристику действиям военачальников, полководцев и флотоводцев, подробно освещает сам ход сражения и, наконец, делает вывод о его значении для дальнейшего хода истории._x000D_
В этой книге вы познакомитесь с драматическими коллизиями битвы при Гастингсе и сражения у Вальми, узнаете о победах Жанны д’Арк над англичанами под Орлеаном и американцев над генералом Бургойном при Саратоге, рассмотрите все аспекты поражения испанской Армады и битвы Наполеона при Ватерлоо, а также сможете оценить нестандартный взгляд зарубежного историка на Полтавскую битву.</t>
  </si>
  <si>
    <t>19032</t>
  </si>
  <si>
    <t>Великие государственные деятели Российской империи. Судьбы эпохи</t>
  </si>
  <si>
    <t>978-5-227-08867-3</t>
  </si>
  <si>
    <t>21172</t>
  </si>
  <si>
    <t>Великие княгини и князья семьи Романовых. Судьбы, тайны, интриги, любовь и ненависть…</t>
  </si>
  <si>
    <t>978-5-227-10646-9</t>
  </si>
  <si>
    <t>Предлагаемая читателю книга, пожалуй, первая, в которой подробно в популярном изложении прослеживаются все родовые связи между членами императорской фамилии Романовых начиная от основателя династии до последнего российского императора. Рассматриваются все ветви разросшейся к началу ХХ века семьи, куда входили не только Великие князья — дети и внуки последовательно правивших императоров, но и князья императорской крови — как правило, дети детей Великих князей. Книга предназначена широкому кругу читателей, всем тем, кому интересна история России.</t>
  </si>
  <si>
    <t>18936</t>
  </si>
  <si>
    <t>Экземплярский А.В</t>
  </si>
  <si>
    <t>Великие князья Владимирские и Владимиро­Московские. Великие и удельные князья Северной Руси в татарский период с 1238 по 1505 г. Биографические очерки по первоисточникам и главнейшим пособиям.</t>
  </si>
  <si>
    <t>978-5-227-07879-7</t>
  </si>
  <si>
    <t>14975</t>
  </si>
  <si>
    <t>ВЕЛИКИЕ</t>
  </si>
  <si>
    <t>Великие матери знаменитых людей. 100 потрясающих историй и судеб</t>
  </si>
  <si>
    <t>978-5-227-04415-0</t>
  </si>
  <si>
    <t>21660</t>
  </si>
  <si>
    <t>Корбетт Д.С.</t>
  </si>
  <si>
    <t>Великие морские сражения XVI—XIX веков. Стратегия и тактика британских адмиралов</t>
  </si>
  <si>
    <t>978-5-9524-6051-5</t>
  </si>
  <si>
    <t>Известный исследователь Джулиан Корбетт в своей работе, посвященной британскому военно-морскому флоту XVI–XIX веков, рассказывает об особенностях профессиональной подготовки военных и политических событий, позволивших Великобритании надолго занять лидирующую позицию в военных столкновениях на море. В книге представлены тактические и стратегические принципы знаменитых адмиралов — Нельсона, Роднея, Хока и других выдающихся личностей Соединенного Королевства._x000D_
Это фундаментальное историческое исследование дает исчерпывающие ответы на спорные вопросы в отношении военной интервенции, методов осуществления господства, а также основных различий в ведении войны на суше и на море.</t>
  </si>
  <si>
    <t>21894</t>
  </si>
  <si>
    <t>Шпулер Б.</t>
  </si>
  <si>
    <t>Великие мусульманские империи. История исламских государств Ближнего Востока, Центральной Азии и Африки</t>
  </si>
  <si>
    <t>978-5-9524-6556-5</t>
  </si>
  <si>
    <t>В книге отражены научные взгляды ведущих европейских ученых-востоковедов на историю мусульманских империй в ХV—ХIХ вв. Наряду с исследованиями, посвященными взлету и падению великих держав и правящих династий Ближнего и Среднего Востока, рассмотрены процессы, происходившие на периферии исламского мира. Так, профессор Бертольд Шпулер описывает продвижение ислама на север, анализирует положение дел в Бухарском ханстве, Коканде и Хиве при поздних Тимуридах. В книгу также включены материалы, посвященные становлению государств Северо-Западной и Экваториальной Африки, истории Ирана в период правления династии Сефевидов и последним трем векам независимости Индии при Великих Моголах.</t>
  </si>
  <si>
    <t>21372</t>
  </si>
  <si>
    <t>Вейгалл А.</t>
  </si>
  <si>
    <t>Великие правители Древнего Египта. История царских династий от Аменемхета I до Тутмоса III</t>
  </si>
  <si>
    <t>978-5-9524-6269-4</t>
  </si>
  <si>
    <t>Артур Вейгалл, известный английский египтолог, в своей книге прослеживает историю Древнего Египта в эпоху правления фараонов XII—XVIII династий. Опираясь на данные, полученные в ходе реконструкции надписи на Палермском камне и расшифровке Туринского папируса, Вейгалл выстраивает новую хронологию событий описываемого периода. На основе предметов материальной культуры и сохранившихся текстов Вейгалл дает представление об образе жизни, культуре и традициях египтян. Особый интерес представляет включенное в данный труд древнейшее литературное произведение — «Странствия Синухета», действие которого происходит во времена правления фараонов XII династии Аменемхета I и Сенусерта I.</t>
  </si>
  <si>
    <t>12407</t>
  </si>
  <si>
    <t>Великие пророчества. 100 предсказаний, изменивших ход истории</t>
  </si>
  <si>
    <t>978-5-227-02473-2</t>
  </si>
  <si>
    <t>21142</t>
  </si>
  <si>
    <t>Великие сражения Античного мира. От битвы при Марафоне до Шалонского боя</t>
  </si>
  <si>
    <t>978-5-9524-6018-8</t>
  </si>
  <si>
    <t>Эдвард Кризи, исследуя вооруженные конфликты Античности, определяет свой выбор самых важных сражений этого периода истории тем, что они позволяют во всех деталях рассмотреть масштабную картину развития человечества. Автор анализирует расстановку политических сил к моменту сражения, рассказывает о военачальниках, полководцах и флотоводцах, о вооружении и тактике противников, подробно освещает сам ход сражения и, наконец, делает вывод о значении этой войны для дальнейшего течения истории. В этой книге вы познакомитесь с драматическими коллизиями битв при Марафоне и Метавре, поражения Афин при Сиракузах, сражения при Арбелах (Гавгамелах), узнаете о победе Арминия над римскими легионами Вара в Тевтобургском лесу. Также рассматриваются Шалонское сражение (451 г.) и битва при Туре (732 г.), так как в эпоху раннего Средневековья, наряду с новыми элементами, еще господствуют принципы ведения войн, вооружение и тактика, принятые в Античности.</t>
  </si>
  <si>
    <t>12432</t>
  </si>
  <si>
    <t>Мансурова Т.А.</t>
  </si>
  <si>
    <t>Великие тайны цивилизаций.100 историй о загадках цивилизации</t>
  </si>
  <si>
    <t>978-5-227-02477-0</t>
  </si>
  <si>
    <t>20587</t>
  </si>
  <si>
    <t>ВМВ НОВ</t>
  </si>
  <si>
    <t>Айкс Р.</t>
  </si>
  <si>
    <t>Великие танковые сражения. Стратегия и тактика. 1939—1945</t>
  </si>
  <si>
    <t>978-5-9524-5918-2</t>
  </si>
  <si>
    <t>Книга посвящена главной ударной мощи сухопутных сил — танковым войскам. Автор реконструировал основные танковые сражения Второй мировой войны, подробно рассказал о предыстории создания и послевоенном развитии бронетанковой техники, дал характеристику различных видов и типов танков, уделяя большое внимание броневой защите и параметрам танковых орудий, их маневренности в конкретных ландшафтах. Издание снабжено картами, схемами и фотографиями.</t>
  </si>
  <si>
    <t>21855</t>
  </si>
  <si>
    <t>Гамов Г.</t>
  </si>
  <si>
    <t>Великие физики от Галилео до Эйнштейна. Как были сделаны самые значимые научные открытия</t>
  </si>
  <si>
    <t>978-5-9524-5761-4</t>
  </si>
  <si>
    <t>Георгий Гамов — физик с мировым именем, блестящий популяризатор науки, на страницах своей книги освещает эволюцию научных представлений от Античности до середины ХХ века. Автор знакомит читателя с открытиями Архимеда, Кеплера, Галилея и других великих ученых прошлого, наглядно воспроизводит эксперименты Исаака Ньютона и Майкла Фарадея, живым и доступным языком объясняет явления квантовой механики, принципы атомной и ядерной физики, теорию элементарных частиц. Освещая научные открытия ХХ века, Георгий Гамов делится личными воспоминаниями об Эрнесте Резерфорде, Альберте Эйнштейне, Нильсе Боре и других гениальных физиках, с которыми ему довелось работать и совершать научные открытия._x000D_
Книга проиллюстрирована чертежами и рисунками автора.</t>
  </si>
  <si>
    <t>21757</t>
  </si>
  <si>
    <t>Ру Жорж</t>
  </si>
  <si>
    <t>Великие цивилизации Междуречья. Древняя Месопотамия: царства Шумер, Аккад, Вавилония и Ассирия. 2700–100 гг. до н. э.</t>
  </si>
  <si>
    <t>978-5-9524-6511-4</t>
  </si>
  <si>
    <t>Книга ассириолога Жоржа Ру охватывает политическую, культурную и экономическую историю трехтысячелетнего периода процветания региона, расположенного между Тигром и Евфратом и некогда называвшегося Месопотамией. Интерес к Древнему Ближнему Востоку и исследовательская работа автора позволили ему описать династии и религии каждой эпохи: искусство, науку и литературу шумеров, аккадцев, вавилонян и ассирийцев, погружая читателя в неизбежное очарование прошлого.</t>
  </si>
  <si>
    <t>21657</t>
  </si>
  <si>
    <t>Торп Н.</t>
  </si>
  <si>
    <t>Великий Дунай на исторической карте Европы. Важная жизненная артерия и стратегическая цель крупных военных конфликтов от нашего времени до глубины веков</t>
  </si>
  <si>
    <t>978-5-9524-6427-8</t>
  </si>
  <si>
    <t>Британский журналист Ник Торп отправился в путешествие от Черного моря до Черного леса, чтобы пройти от устья до истока и своими глазами увидеть легендарный Дунай, на берегах которого зарождались древние цивилизации и формировались современные государства. Двигаясь вверх по течению, автор посетил города, монастыри, заповедники и знаковые места «дунайских держав»: ущелье Железные Ворота, перекрытое одноименной плотиной; родное село скульптора К. Бранкузи; равнину близ Мохача в Венгрии, где происходили сражения за «сердце Европы». Из путевых заметок, бесед с людьми, чья жизнь неразрывно связана с Дунаем, ярких эпизодов из летописей, житий святых и биографий видных уроженцев ¬Подунавья, сказаний и песен склады¬вается живописное полотно, отражающее красоту и переменчивый нрав великой реки, ставшей колыбелью народов и главной водной магистралью Центральной Европы.</t>
  </si>
  <si>
    <t>21798</t>
  </si>
  <si>
    <t>Данилов Ю.Н.</t>
  </si>
  <si>
    <t>Великий князь Николай Николаевич. Жизнь на службе Отечеству. История главкома</t>
  </si>
  <si>
    <t>978-5-227-11141-8</t>
  </si>
  <si>
    <t>Юрий Никифорович Данилов — военный деятель, генерал от инфантерии, один из главных разработчиков стратегических операций русской армии в 1914—1915 гг. Автор военно-исторических трудов, посвященных участию русской армии в Первой мировой войне. Его книга посвящена великому князю Николаю Николаевичу Младшему, первому русскому Верховному главнокомандующему, который сыграл свою роль в событиях последнего царствования. Лицу, стоявшему во главе огромной пятимиллионной армии, человеку, имевшему по своей ответственности задачу защиты огромного государства. Через ряды этой армии, за время командования ею великим князем, прошли миллионы людей, собранных со всех концов России. Многие представители современности считали Николая Николаевича возможным вождем русской государственности, но он не стал таковым. Тем не менее вошел в историю нашего государства как видный деятель трагической эпохи._x000D_
В издании озвучены цели и причины войны, описаны события на полях сражений, отражена роль Верховного главнокомандующего, рассказано о событиях фронта и тыла и проанализированы взаимоотношения конфликтующих сторон.</t>
  </si>
  <si>
    <t>21133</t>
  </si>
  <si>
    <t>Великий Сибирский Ледяной поход</t>
  </si>
  <si>
    <t>978-5-227-10134-1</t>
  </si>
  <si>
    <t>Книга представляет собой 22-й том из серии, посвященной Белому движению в России, и рассматривает боевые действия белых войск во время Великого Сибирского Ледяного похода, являющегося одной из наиболее трагических страниц истории Гражданской войны в Сибири. Хронологически поход охватывает период с середины ноября 1919 г. (оставление Омска) до середины февраля 1920 г. (расстрел А.В. Колчака и прибытие белых в район Читы). Затронуты также более поздние события: вытеснение белых из Забайкалья к осени 1920 г., судьбы Оренбургского, Уральского и Алтайского казачества, события во Владивостоке. Среди авторов тома известные мемуаристы — Петров, Сахаров, Мейбом, Ефимов. Большое внимание в книге уделено истории гибели генерала В.О. Каппеля._x000D_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</si>
  <si>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18613</t>
  </si>
  <si>
    <t>Фауст К.</t>
  </si>
  <si>
    <t>Великий торговый путь от Петербурга до Пекина. История российско­китайских отношений в XVIII—XIX век</t>
  </si>
  <si>
    <t>978-5-9524-5372-2</t>
  </si>
  <si>
    <t>10269</t>
  </si>
  <si>
    <t>Левитина Н.</t>
  </si>
  <si>
    <t>Великолепная корпоративная вечеринка</t>
  </si>
  <si>
    <t>978-5-9524-3444-8</t>
  </si>
  <si>
    <t>15833</t>
  </si>
  <si>
    <t>Харрингтон Н.</t>
  </si>
  <si>
    <t>Великолепная пара</t>
  </si>
  <si>
    <t>978-5-227-05810-2</t>
  </si>
  <si>
    <t>21882</t>
  </si>
  <si>
    <t>Великолепная Софи</t>
  </si>
  <si>
    <t>978-5-9524-6543-5</t>
  </si>
  <si>
    <t>Чопорная старая Англия эпохи регентства, Лондон: в дом своей тетушки леди Омберсли София Стэнтон-Лэйси, известная в обществе как Софи, ворвалась словно свежий ветер. Отличаясь независимым и решительным характером, девушка с завидной энергией принялась устраивать благополучие своих невеселых родственников. Несмотря на осуждение ее вызывающего, по мнению некоторых особ, поведения, она очень скоро достигла несомненных успехов на этом поприще. И неудивительно, что среди всей организованной Софи суматохи начинает вырисовываться и ее собственное счастливое будущее...</t>
  </si>
  <si>
    <t>8748</t>
  </si>
  <si>
    <t>Риба</t>
  </si>
  <si>
    <t>Великолепной женщине</t>
  </si>
  <si>
    <t>978-5-9524-2991-8</t>
  </si>
  <si>
    <t>16376</t>
  </si>
  <si>
    <t>Кендрик Ш.</t>
  </si>
  <si>
    <t>Великолепный соблазнитель</t>
  </si>
  <si>
    <t>978-5-227-06251-2</t>
  </si>
  <si>
    <t>15712</t>
  </si>
  <si>
    <t>М ЛОУРЕНС</t>
  </si>
  <si>
    <t>Лоуренс С.</t>
  </si>
  <si>
    <t>Великосветская дама</t>
  </si>
  <si>
    <t>978-5-227-05629-0</t>
  </si>
  <si>
    <t>20834</t>
  </si>
  <si>
    <t>Саггс Г.У.Ф</t>
  </si>
  <si>
    <t>Величие Вавилона. История древней цивилизации Междуречья</t>
  </si>
  <si>
    <t>978-5-9524-6021-8</t>
  </si>
  <si>
    <t>В своей книге английский востоковед Генри Саггс наиболее полно на сегодняшний день представляет историю Вавилона и Ассирии конца 4-го — начала 3-го тысячелетия до нашей эры. Он разбирает политическую структуру Месопотамии, рассказывает о социальной и культурной жизни общества, особенно подробно затрагивая такие ее аспекты (как экономика или управление), о которых мало упоминается в другой исторической литературе. Большое внимание уделено религии, игравшей огромную роль в древние времена, и литературе как отражению миропорядка. В книге представлена месопотамская хронология в систематизации известных мировых ученых.</t>
  </si>
  <si>
    <t>5698</t>
  </si>
  <si>
    <t>КНМ</t>
  </si>
  <si>
    <t>Венгерская кухня</t>
  </si>
  <si>
    <t>5-9524-1631-4</t>
  </si>
  <si>
    <t>21429</t>
  </si>
  <si>
    <t>М СМОЛЛ</t>
  </si>
  <si>
    <t>Смолл Б.</t>
  </si>
  <si>
    <t>Венец судьбы</t>
  </si>
  <si>
    <t>978-5-227-10906-4</t>
  </si>
  <si>
    <t>Прошло сто лет с тех пор, как фея Лара последний раз спасла мир Хетара от Тьмы. Ее молодость и красота вечны. Однако прошедшие годы унесли много ее друзей и родных. Ее влияние ослабевает. Тех, кто помнит ее подвиги, остается все меньше. Уже и ее правнук Кадарн, доминус Теры, отрицает магию. И все это время сын Лары, очаровательный, но гнусный Повелитель Сумерек Колгрим, терпеливо ждет своего часа. Но он не повторит ошибку своего отца, который развязал войну. Его путь более коварный и зловещий. Несмотря на свои могущественные силы, Лара боится, что мало что может сделать. Но пока не все потеряно, она будет пытаться выполнить древнее пророчество своей дочери Ануш и объединить весь мир Хетара. По мере того как Тьма наступает, Лара все больше и больше понимает, что нуждается в мудрости, любви и поддержке великого принца-тени Калига. И в главном испытании Лара и Калиг вместе на конец встретят предсказанную ей судьбу.</t>
  </si>
  <si>
    <t>18732</t>
  </si>
  <si>
    <t>Кроули Р.</t>
  </si>
  <si>
    <t>Венецианская республика. Расцвет и упадок великой морской империи. 1000—1503</t>
  </si>
  <si>
    <t>978-5-227-08713-3</t>
  </si>
  <si>
    <t>0120</t>
  </si>
  <si>
    <t>Венок из лотоса</t>
  </si>
  <si>
    <t>978-5-227-06945-0</t>
  </si>
  <si>
    <t>19004</t>
  </si>
  <si>
    <t>Шеперд К.</t>
  </si>
  <si>
    <t>Венчание без невесты</t>
  </si>
  <si>
    <t>978-5-227-08883-3</t>
  </si>
  <si>
    <t>19335</t>
  </si>
  <si>
    <t>Френсис Б.</t>
  </si>
  <si>
    <t>Верни мое счастье</t>
  </si>
  <si>
    <t>978-5-227-09076-8</t>
  </si>
  <si>
    <t>16465</t>
  </si>
  <si>
    <t>Вернуть его кольцо</t>
  </si>
  <si>
    <t>978-5-227-06389-2</t>
  </si>
  <si>
    <t>19170</t>
  </si>
  <si>
    <t>Соловей Д.</t>
  </si>
  <si>
    <t>Вернуть или вернуться?</t>
  </si>
  <si>
    <t>978-5-227-09098-0</t>
  </si>
  <si>
    <t>6055</t>
  </si>
  <si>
    <t>Козлов</t>
  </si>
  <si>
    <t>Весенняя сказка</t>
  </si>
  <si>
    <t>5-9524-1870-8</t>
  </si>
  <si>
    <t>19575</t>
  </si>
  <si>
    <t>Джеймс Э.</t>
  </si>
  <si>
    <t>Веский повод влюбиться</t>
  </si>
  <si>
    <t>978-5-227-09385-1</t>
  </si>
  <si>
    <t>16112</t>
  </si>
  <si>
    <t>Весна любви</t>
  </si>
  <si>
    <t>978-5-227-06125-6</t>
  </si>
  <si>
    <t>0114</t>
  </si>
  <si>
    <t>Весь мир в кармане</t>
  </si>
  <si>
    <t>978-5-227-06947-4</t>
  </si>
  <si>
    <t>10426</t>
  </si>
  <si>
    <t>Узун С.</t>
  </si>
  <si>
    <t>Ветер в подстаканниках</t>
  </si>
  <si>
    <t>978-5-9524-3588-9</t>
  </si>
  <si>
    <t>16490</t>
  </si>
  <si>
    <t>Чайлдс Л</t>
  </si>
  <si>
    <t>Вечер быстрых свиданий</t>
  </si>
  <si>
    <t>978-5-227-06407-3</t>
  </si>
  <si>
    <t>16381</t>
  </si>
  <si>
    <t>Вечер полный сюрпризов</t>
  </si>
  <si>
    <t>978-5-227-06266-6</t>
  </si>
  <si>
    <t>16166</t>
  </si>
  <si>
    <t>Хейворд Дженнифер</t>
  </si>
  <si>
    <t>Вечеринка в честь развода</t>
  </si>
  <si>
    <t>978-5-227-06141-6</t>
  </si>
  <si>
    <t>18487</t>
  </si>
  <si>
    <t>Евтушенко А.</t>
  </si>
  <si>
    <t>Вечная кровь</t>
  </si>
  <si>
    <t>978-5-227-08505-4</t>
  </si>
  <si>
    <t>21677</t>
  </si>
  <si>
    <t>АФОРИЗМЫ</t>
  </si>
  <si>
    <t>Барсов С.Б.</t>
  </si>
  <si>
    <t>Вечные истины на вечной латыни. De verbo in verbum: Латинские изречения</t>
  </si>
  <si>
    <t>978-5-227-11068-8</t>
  </si>
  <si>
    <t>В этой книге собрано свыше 2000 крылатых латинских выражений и служебных оборотов, часто встречающихся в современном языковом обиходе. Для удобства читателей приводится алфавитный указатель русских лингвистических эквивалентов._x000D_
Книга предназначается для широкого круга читателей.</t>
  </si>
  <si>
    <t>20678</t>
  </si>
  <si>
    <t>Монте П.</t>
  </si>
  <si>
    <t>Вечный Египет. Цивилизация долины Нила с древних времен до завоевания Александром Македонским</t>
  </si>
  <si>
    <t>978-5-9524-5869-7</t>
  </si>
  <si>
    <t>Известный египтолог, профессор Пьер Монте своим исследованием внес неоценимый вклад в изучение одной из величайших и самой продолжительной древней цивилизации в мире. На основе многочисленных археологических изысканий и открытий он в своей книге обсуждает естественные и политические условия египетской жизни от начала истории государства до его завоевания Александром Македонским, описывает развитие Египта, отношение к нему соседей, взгляды египтян на своих богов и загробную жизнь, рассказывает об их вкладе в литературу, науку и искусство.</t>
  </si>
  <si>
    <t>19517</t>
  </si>
  <si>
    <t>Вёшенки. Сажаем, выращиваем, заготавливаем. Уникальные лечебные свойства и кулинарные рецепты</t>
  </si>
  <si>
    <t>978-5-227-09366-0</t>
  </si>
  <si>
    <t>20951</t>
  </si>
  <si>
    <t>Взломай код своей судьбы, или Матрица исполнения желаний</t>
  </si>
  <si>
    <t>978-5-227-10550-9</t>
  </si>
  <si>
    <t>Новая книга Елены Коровиной о магической нумерологии — уникальное практическое руководство, которое поможет понять самого себя и окружающих, изменить жизнь к лучшему, достичь успеха и богатства, жить в радости и комфорте. Вы найдете свои личные счастливые числа, которые помогут вам в любой ситуации, вы поймете, как можно, просто работая с числами, стать управителем своей жизни, а самое главное — вы научитесь расшифровывать и вскрывать коды своей судьбы, а затем перепрограммировать их, тем самым перепрограммируя свою старую судьбу на новую — ту, которая вам необходима. Заманчиво? Тогда читайте и не откладывайте счастье на потом!</t>
  </si>
  <si>
    <t>21647</t>
  </si>
  <si>
    <t>Взрослый мир императорских резиденций. Вторая четверть XIX — начало XX в. Повседневная жизнь Российского императорского двора</t>
  </si>
  <si>
    <t>978-5-227-11065-7</t>
  </si>
  <si>
    <t>Из книги вы узнаете много нового и интересного о членах императорской фамилии. Поймете, что их жизнь совсем не была бесконечной чередой праздников и торжественных церемоний. Помазанники Божии — живые люди со своими характерами, вкусами, причудами, странностями, увлечениями. Каковы они были в быту? Чем увлекались на досуге? Как ладили между собой великие князья? Об этом и о многом другом рассказано в обстоятельном исследовании доктора исторических наук, профессора Игоря Викторовича Зимина.</t>
  </si>
  <si>
    <t>17960</t>
  </si>
  <si>
    <t>Взрывные чувства</t>
  </si>
  <si>
    <t>978-5-227-08040-0</t>
  </si>
  <si>
    <t>19460</t>
  </si>
  <si>
    <t>Райс Д.Т.</t>
  </si>
  <si>
    <t>Византийцы. Наследники Рима</t>
  </si>
  <si>
    <t>978-5-9524-5480-4</t>
  </si>
  <si>
    <t>21630</t>
  </si>
  <si>
    <t>Херрин Д.</t>
  </si>
  <si>
    <t>Византия. Удивительная жизнь средневековой империи</t>
  </si>
  <si>
    <t>978-5-9524-6391-2</t>
  </si>
  <si>
    <t>Уникальная книга профессора лондонского Королевского колледжа Джудит Херрин посвящена тысячелетней истории Восточной Римской империи — от основания Константинополя до его захвата турками­османами в 1453 году. Авторитетный исследователь предлагает новый взгляд на противостояние Византийской империи и Западного мира, раскол христианской церкви и причины падения империи. Яркими ­красками автор рисует портреты императоров и императриц, военных узурпаторов и духовных лидеров, талантливых ученых и знаменитых куртизанок. Отдельная глава посвящена евнухам — особой влиятельной касте, вершившей большую политику. Тонкий знаток ­эпохи, Джудит Херрин воссоздает картины повседневной жизни императорского двора: блеск золота, роскошь одеяний, сложные обряды, изысканные развлечения «рожденных в пурпуре». С особым вниманием автор освещает духовную сторону жизни империи, объясняет причины возвращения от иконоборчества к иконопочитанию и в очередной раз доказывает, что именно Византия — первая христианская империя, принявшая за основу духовный подвиг, — смогла сдержать исламскую экспансию и предотвратить завоевание Европы.</t>
  </si>
  <si>
    <t>20267</t>
  </si>
  <si>
    <t>Джонс Г.</t>
  </si>
  <si>
    <t>Викинги. Потомки Одина и Тора</t>
  </si>
  <si>
    <t>978-5-9524-5613-6</t>
  </si>
  <si>
    <t>21823</t>
  </si>
  <si>
    <t>ХОЗЯЙКА</t>
  </si>
  <si>
    <t>Винодельня на вашей кухне. Десертные, креплёные, лечебные вина, самогон, сидр, старинные рецепты</t>
  </si>
  <si>
    <t>978-5-227-11066-4</t>
  </si>
  <si>
    <t>Хотите удивить друзей своей сноровкой и умением вести хозяйство? Любите весёлое застолье с доброй выпивкой и хорошей закуской? Тогда вам наверняка пригодится наша книга. Автор откроет вам секреты изготовления домашнего алкоголя. Вы найдёте здесь рецепты самогона из самого разнообразного сырья: картофеля, яблок, свёклы, пшеницы, рябины, варенья и даже моркови… Узнаете всё о перегонке, очистке, ароматизации и придании цвета готовому продукту и то, как приготовить на основе домашней водки наливки, настойки, ликёры, домашний коньяк, кальвадос и даже абсент. Получите рецепты: пива, кваса, медовых напитков, игристых вин, сидров, крюшонов и даже лекарственных вин!</t>
  </si>
  <si>
    <t>17422</t>
  </si>
  <si>
    <t>ДНЕВНИЧОК +</t>
  </si>
  <si>
    <t>Вислоухий с клубком Дневничок</t>
  </si>
  <si>
    <t>978-5-227-07417-1</t>
  </si>
  <si>
    <t>60x84 1/16</t>
  </si>
  <si>
    <t>8747</t>
  </si>
  <si>
    <t>М ДХ</t>
  </si>
  <si>
    <t>Колочкова В. А.</t>
  </si>
  <si>
    <t>Витамины для черта</t>
  </si>
  <si>
    <t>978-5-9524-2997-0</t>
  </si>
  <si>
    <t>16596</t>
  </si>
  <si>
    <t>Колесник Л., Нестерова Н.</t>
  </si>
  <si>
    <t>Витязь. Содружество невозможных</t>
  </si>
  <si>
    <t>978-5-227-06480-6</t>
  </si>
  <si>
    <t>17672</t>
  </si>
  <si>
    <t>Витязь. Тенета тьмы</t>
  </si>
  <si>
    <t>978-5-227-07647-2</t>
  </si>
  <si>
    <t>17471</t>
  </si>
  <si>
    <t>Вихрь желаний</t>
  </si>
  <si>
    <t>978-5-227-07473-7</t>
  </si>
  <si>
    <t>11792</t>
  </si>
  <si>
    <t>Вишня, черешня. Сажаем, выращиваем, заготавливаем</t>
  </si>
  <si>
    <t>978-5-9524-4752-3</t>
  </si>
  <si>
    <t>12606</t>
  </si>
  <si>
    <t>978-5-227-02707-8</t>
  </si>
  <si>
    <t>16630</t>
  </si>
  <si>
    <t>Кокс М.</t>
  </si>
  <si>
    <t>Вкус греха</t>
  </si>
  <si>
    <t>978-5-227-06536-0</t>
  </si>
  <si>
    <t>15591</t>
  </si>
  <si>
    <t>Робинсон Д.</t>
  </si>
  <si>
    <t>Вкус и цвет здоровья. Недостоющее звено оптимального рациона</t>
  </si>
  <si>
    <t>978-5-227-05492-0</t>
  </si>
  <si>
    <t>16118</t>
  </si>
  <si>
    <t>Вкус соблазна</t>
  </si>
  <si>
    <t>978-5-227-06107-2</t>
  </si>
  <si>
    <t>15508</t>
  </si>
  <si>
    <t>Вкусные напитки для взрослых и малышей</t>
  </si>
  <si>
    <t>978-5-227-05358-9</t>
  </si>
  <si>
    <t>19027</t>
  </si>
  <si>
    <t>Герцовский Г.А</t>
  </si>
  <si>
    <t>Владей миром!</t>
  </si>
  <si>
    <t>978-5-227-08957-1</t>
  </si>
  <si>
    <t>18937</t>
  </si>
  <si>
    <t>Владетельные князья Владимирских и Московских уделов и великие и удельные владетельные князья Суздальско­Нижегородские, Тверские и Рязанские. Великие и удельные князья Северной Руси в татарский период с 1238 по 1505 г. Биографические очерки по первои</t>
  </si>
  <si>
    <t>978-5-227-07880-3</t>
  </si>
  <si>
    <t>15352</t>
  </si>
  <si>
    <t>Богданова Л.</t>
  </si>
  <si>
    <t>Владимир Басов. В режиссуре, в жизни и любви</t>
  </si>
  <si>
    <t>978-5-227-05104-2</t>
  </si>
  <si>
    <t>19762</t>
  </si>
  <si>
    <t>Боровков Д.А.</t>
  </si>
  <si>
    <t>Владимир Мономах. Между историей и легендой</t>
  </si>
  <si>
    <t>978-5-227-09571-8</t>
  </si>
  <si>
    <t>19819</t>
  </si>
  <si>
    <t>Владимирский проспект</t>
  </si>
  <si>
    <t>978-5-227-09474-2</t>
  </si>
  <si>
    <t>20312</t>
  </si>
  <si>
    <t>Уинтерз Р.</t>
  </si>
  <si>
    <t>Властелин ее желаний</t>
  </si>
  <si>
    <t>978-5-227-09847-4</t>
  </si>
  <si>
    <t>21607</t>
  </si>
  <si>
    <t>Баллард Д.</t>
  </si>
  <si>
    <t>Властители Индийского океана</t>
  </si>
  <si>
    <t>978-5-9524-6017-1</t>
  </si>
  <si>
    <t>Адмирал британского флота Дж.А. Баллард в своем исследовании представляет впечатляющую драму соперничества между европейцами за господство в Индийском океане, в котором самым ценным призом была Индия. Из четырех европейских держав — Португалии, Голландии, Франции и Англии — именно англичане в конце концов стали правителями Индийского океана, а значит, и в той или иной степени всех южно-азиатских стран. На основе подлинных документов автор последовательно излагает, как устанавливались и развивались контакты между Европой и Азией со времени первых морских торговых и военных экспедиций в Индийском океане вплоть до начала XIX в. и какой ценой англичане в течение двух столетий сохраняли здесь свое господство.</t>
  </si>
  <si>
    <t>18846</t>
  </si>
  <si>
    <t>Блейк М.</t>
  </si>
  <si>
    <t>Влюбись в меня за час</t>
  </si>
  <si>
    <t>978-5-227-08725-6</t>
  </si>
  <si>
    <t>16633</t>
  </si>
  <si>
    <t>Влюбить в себя жену</t>
  </si>
  <si>
    <t>978-5-227-06532-2</t>
  </si>
  <si>
    <t>17354</t>
  </si>
  <si>
    <t>Влюбиться в Джеки</t>
  </si>
  <si>
    <t>978-5-227-07238-2</t>
  </si>
  <si>
    <t>13314</t>
  </si>
  <si>
    <t>978-5-227-03460-1</t>
  </si>
  <si>
    <t>20415</t>
  </si>
  <si>
    <t>Кетт Л.</t>
  </si>
  <si>
    <t>Влюбиться в прямом эфире</t>
  </si>
  <si>
    <t>978-5-227-10084-9</t>
  </si>
  <si>
    <t>Лирика Деверо-Смит — неотразимо прекрасная женщина, к тому же влиятельная фигура в мире моды. Неудивительно, что Джозайя Мэннинг, преуспевающий продюсер и красавец-мужчина, предложил ей стать телеведущей в его новом проекте. Она отказалась. Но с первой встречи их охватило мощное сексуальное чувство. Они провели вместе бурную ночь и почувствовали, что созданы друг для друга. Вскоре им все же пришлось стать деловыми партнерами, и, значит, надо отказаться от любви, но разве это так просто?</t>
  </si>
  <si>
    <t>20441</t>
  </si>
  <si>
    <t>Влюбиться в фиктивную невесту</t>
  </si>
  <si>
    <t>978-5-227-10141-9</t>
  </si>
  <si>
    <t>Семьи Лэнгли и Вентвортов враждуют уже целое столетие, однако это не мешает Лане Лэнгли и Карсону Вентворту увлечься друг другом. Оказавшись заложниками недоразумения, они вынуждены притворяться женихом и невестой, чтобы получить то, что поможет им обоим. Как бы они ни старались, им не удается выйти из игры, ненавидя друг друга.</t>
  </si>
  <si>
    <t>21234</t>
  </si>
  <si>
    <t>Маккена Ш.</t>
  </si>
  <si>
    <t>Влюбиться накануне свадьбы</t>
  </si>
  <si>
    <t>978-5-227-10518-9</t>
  </si>
  <si>
    <t>После предательства жениха генетик Ева Ситон теряет веру в любовь и целиком посвящает себя научным исследованиям. Неожиданно к ней приходит Маркус Мосс, один из владельцев компании, где она работает, и предлагает заключить с ним фиктивный брак. Взамен он готов помочь Еве запустить ее собственный проект. Предложение весьма заманчиво, но готова ли Ева переступить через свои страхи и снова довериться мужчине?..</t>
  </si>
  <si>
    <t>19863</t>
  </si>
  <si>
    <t>Влюбиться после свадьбы</t>
  </si>
  <si>
    <t>978-5-227-09419-3</t>
  </si>
  <si>
    <t>20941</t>
  </si>
  <si>
    <t>Вместе и навсегда</t>
  </si>
  <si>
    <t>978-5-227-10450-2</t>
  </si>
  <si>
    <t>Официальное объявление будет сделано утром, но я здесь для того, чтобы сообщить тебе, что скоро тебе придется стать королевой Рияла, - с этих слов началось удивительное превращение французской подданной Анаис, фрейлины погибшей двоюродной сестры, из серой мышки в королеву арабского государства Риял. У нее нет желания становиться королевой, но все же она становится женой красавца Джавида аль-Джукрата, избалованного женщинами принца, которому также против своей воли придется стать королем. О таком мужчине она могла бы только мечтать в своей прошлой жизни. Как жаль, что ее единственный роман оставил ей на память о себе только ее разбитое сердце и страх полюбить вновь…</t>
  </si>
  <si>
    <t>15596</t>
  </si>
  <si>
    <t>Вместе поневоле</t>
  </si>
  <si>
    <t>978-5-227-05052-6</t>
  </si>
  <si>
    <t>19657</t>
  </si>
  <si>
    <t>Нокс А</t>
  </si>
  <si>
    <t>Вместе с русской армией. Дневник военного атташе 1914-1917</t>
  </si>
  <si>
    <t>978-5-9524-5476-7</t>
  </si>
  <si>
    <t>21857</t>
  </si>
  <si>
    <t>Гудериан Г.В.</t>
  </si>
  <si>
    <t>Внимание, танки! История становления бронетанковых войск ведущих мировых держав</t>
  </si>
  <si>
    <t>978-5-9524-6548-0</t>
  </si>
  <si>
    <t>Знаменитый генерал нацистской Германии Гейнц Гудериан рассказывает о возникновении танковых войск, вооружении и особенностях боевого применения этих машин, сложностях и ошибках в их использовании. Гудериан был провозвестником, теоретиком, организатором и практиком танкового дела в своей стране._x000D_
По свидетельству военных теоретиков и политиков, эта книга — лучшее из всего того, что было написано немецкими генералами.</t>
  </si>
  <si>
    <t>20269</t>
  </si>
  <si>
    <t>Архангельская М.В.</t>
  </si>
  <si>
    <t>Внутренний дворец</t>
  </si>
  <si>
    <t>978-5-227-10007-8</t>
  </si>
  <si>
    <t>15300</t>
  </si>
  <si>
    <t>Кэй М.</t>
  </si>
  <si>
    <t>Внутренняя красота</t>
  </si>
  <si>
    <t>978-5-227-05283-4</t>
  </si>
  <si>
    <t>19533</t>
  </si>
  <si>
    <t>Наст А.Н</t>
  </si>
  <si>
    <t>Внутри мафии</t>
  </si>
  <si>
    <t>978-5-227-08829-1</t>
  </si>
  <si>
    <t>12710</t>
  </si>
  <si>
    <t>Батенёва Т.</t>
  </si>
  <si>
    <t>Внучка, Жук и Марианна</t>
  </si>
  <si>
    <t>978-5-227-02818-1</t>
  </si>
  <si>
    <t>16091</t>
  </si>
  <si>
    <t>Паркер</t>
  </si>
  <si>
    <t>Во власти женщины</t>
  </si>
  <si>
    <t>978-5-227-06066-2</t>
  </si>
  <si>
    <t>16920</t>
  </si>
  <si>
    <t>Харди К.</t>
  </si>
  <si>
    <t>Во власти искушения</t>
  </si>
  <si>
    <t>978-5-227-06849-1</t>
  </si>
  <si>
    <t>15696</t>
  </si>
  <si>
    <t>Во всем виновато шампанское</t>
  </si>
  <si>
    <t>978-5-227-05659-7</t>
  </si>
  <si>
    <t>17720</t>
  </si>
  <si>
    <t>Авраменко А., Гетто В.</t>
  </si>
  <si>
    <t>Во имя империи!</t>
  </si>
  <si>
    <t>978-5-227-07736-3</t>
  </si>
  <si>
    <t>20475</t>
  </si>
  <si>
    <t>Спеваковский А.Б.</t>
  </si>
  <si>
    <t>Военная история Японии. От завоеваний древности до милитаризма XX века</t>
  </si>
  <si>
    <t>978-5-227-10100-6</t>
  </si>
  <si>
    <t>Книга историка-этнографа, доктора исторических наук, профессора А.Б. Спеваковского посвящена теме военной истории и военной организации Японии на протяжении всего периода существования страны. Автор около 30 лет живет в Японии, работает в университете на острове Хоккайдо и прекрасно знает эту страну. Работа широко охватывает военные события древней, средневековой и новой Японии, их последствия, а также вопросы современных войн, связанных с историей японского милитаризма ХХ века: войны в Восточной Азии, участие страны во Второй мировой войне, в том числе в войне против Советского Союза и США. Книга написана популярным языком и предназначена для широкого круга читателей.</t>
  </si>
  <si>
    <t>20659</t>
  </si>
  <si>
    <t>Зорихин А.Г.</t>
  </si>
  <si>
    <t>Военная разведка Японии против России. Противостояние спецслужб на Дальнем Востоке. 1874—1922</t>
  </si>
  <si>
    <t>978-5-227-10318-5</t>
  </si>
  <si>
    <t>Книга посвящена деятельности японской военной разведки против Российской империи и Советской России в 1874—1922 гг. В работе оценивается результативность деятельности японской военной разведки и отечественной контрразведки, прослеживается влияние информации специальных органов двух стран на принятие важнейших решений в сфере внешней политики и обороны. Подробно рассматриваются события Русско-японской (1904—1905) и Гражданской (1918—1922) войн в контексте осуществления разведывательной деятельности. Книга написана на основе сравнительного анализа документов из российских и японских архивохранилищ с привлечением исследований из России, Японии, США и Польши. Все документы вводятся в научный оборот впервые.</t>
  </si>
  <si>
    <t>20844</t>
  </si>
  <si>
    <t>Военная разведка Японии против СССР. Противостояние спецслужб в Европе, на Ближнем и Дальнем Востоке</t>
  </si>
  <si>
    <t>978-5-227-10476-2</t>
  </si>
  <si>
    <t>Книга посвящена деятельности японской военной разведки против Советского Союза в 1922—1945 гг. Она написана на основе сравнительного анализа документов из архивохранилищ России, Японии, Великобритании, США и Польши с привлечением исследований на русском, украинском, польском, английском, немецком и японском языках. Все документальные материалы вводятся в оборот впервые. _x000D_
В работе оценивается результативность деятельности японской военной разведки и отечественной контрразведки, прослеживается влияние информации специальных органов двух стран на принятие важнейших решений в сфере внешней политики и обороны. Первостепенное внимание уделено периодам военных конфликтов СССР и Японии на Хасане (1938), Халхин-Голе (1939), событиям Великой Отечественной войны (1941—1945) и Советско-японской войны (1945) в контексте деятельности японской разведки.</t>
  </si>
  <si>
    <t>20585</t>
  </si>
  <si>
    <t>Руге Ф.</t>
  </si>
  <si>
    <t>Военно­морской флот Третьего рейха. 1939—1945</t>
  </si>
  <si>
    <t>978-5-9524-5908-3</t>
  </si>
  <si>
    <t>Фридрих Руге — вице­адмирал, командующий ВМС ФРГ — приводит малоизвестные факты о боевых операциях германских ВМС в период Второй мировой войны, анализирует военную обстановку в Европе, сравнивает стратегии Германии, Великобритании, США, Японии, Франции, Италии. Автор проводит исследование структуры высшего командования Германии, Великобритании и других европейских стран, взаимоотношений германских ВМС и Адольфа Гитлера, дает яркие портреты главкомов ВМС Германии вице­адмирала Редера и гросс­адмирала Деница.</t>
  </si>
  <si>
    <t>21806</t>
  </si>
  <si>
    <t>Пенской В.В.</t>
  </si>
  <si>
    <t>Военное дело Московского государства. От Василия Темного до Михаила Романова. Вторая половина XV — начало XVII в.</t>
  </si>
  <si>
    <t>978-5-227-11132-6</t>
  </si>
  <si>
    <t>С давних пор в российском общественном мнении устоялась точка зрения на военное дело Российского государства раннего Нового времени (вторая половина XV — конец XVII в.) как на нечто архаичное, примитивное и отсталое. Сформировавшийся в петровское время яркий образ московского ратного человека, мечтающего о том, чтобы государю послужить не вынимая сабли из ножен, оказал неизгладимое впечатление на последующие поколения отечественных историков, пренебрежительно расценивавших уровень развития русского военного дела московской эпохи. Между тем такие уничижительные оценки находятся в явном противоречии с исторической реальностью. За два с половиной столетия, с середины XV по конец XVII в., Российское государство достигло на внешнеполитическом поприще немалых успехов: не только покорило три татарских «царства», одолело в двухсотлетней войне Польско-Литовское государство, но и само стало империей. Добиться столь впечатляющих успехов, не имея в своем распоряжении надежного и эффективного «последнего довода королей» — хорошего, боеспособного войска и надлежащего уровня развития военного дела, — было бы невозможно._x000D_
Но что представлял собой этот самый «последний довод» московских государей, благодаря которому они сумели добиться столь впечатляющих успехов? На этот вопрос отвечает книга доктора исторических наук, профессора В.В. Пенского, которая рассказывает о том, каким было русское военное дело второй половины XV — начала XVII в., когда была создана, прошла проверку в многочисленных боях и походах московская военная машина. Речь в этом исследовании идет не о сражениях, а именно об истории военного дела: численности государева войска, особенностях его структуры и управления, логистике, военных финансах, тактике и стратегии, осадном деле, вооружении и многом другом.</t>
  </si>
  <si>
    <t>21404</t>
  </si>
  <si>
    <t>Фуллер Д.</t>
  </si>
  <si>
    <t>Военное искусство Александра Македонского</t>
  </si>
  <si>
    <t>978-5-9524-6306-6</t>
  </si>
  <si>
    <t>В книге военного историка Джона Фуллера на основе богатого наследия философов, литераторов и полководцев воссоздается история не имеющих аналогов военных сражений Александра Македонского. Схемы баталий, описание технического оснащения и вооружения войск стран Древнего мира иллюстрируют тактические и стратегические задачи знаменитых полководцев Античности. Образно и ярко автор передает блеск и славу Александра Великого, талантливого полководца и государственного деятеля IV века до нашей эры.</t>
  </si>
  <si>
    <t>21553</t>
  </si>
  <si>
    <t>Беккер К.</t>
  </si>
  <si>
    <t>Военные дневники люфтваффе. Хроника боевых действий германских ВВС во Второй мировой войне. 1939—1945</t>
  </si>
  <si>
    <t>978-5-9524-6350-9</t>
  </si>
  <si>
    <t>Эта книга посвящена истории германских ВВС. Автор составил точную и подробную картину основных событий, разворачивавшихся на главных театрах военных действий Второй мировой войны. Беккер привлек огромное количество материалов: официальные документы из архивов Германии и других стран, личные воспоминания высших офицеров люфтваффе, отчеты о боевых вылетах, дневники и письма летчиков. Масштабная, мастерски скомпонованная книга дает полное представление о воздушных сражениях Второй мировой войны.</t>
  </si>
  <si>
    <t>13596</t>
  </si>
  <si>
    <t>Малышев С.А.</t>
  </si>
  <si>
    <t>Военный Петербург эпохи Николая I</t>
  </si>
  <si>
    <t>978-5-227-03680-3</t>
  </si>
  <si>
    <t>18364</t>
  </si>
  <si>
    <t>Млечин Л.М.</t>
  </si>
  <si>
    <t>Вожди комсомола. 100 лет ВЛКСМ в биографиях лидеров</t>
  </si>
  <si>
    <t>978-5-227-08374-6</t>
  </si>
  <si>
    <t>18782</t>
  </si>
  <si>
    <t>Марченко Г.Б.</t>
  </si>
  <si>
    <t>Возвращение</t>
  </si>
  <si>
    <t>978-5-227-08762-1</t>
  </si>
  <si>
    <t>15640</t>
  </si>
  <si>
    <t>Лейн С.</t>
  </si>
  <si>
    <t>Возвращение героя</t>
  </si>
  <si>
    <t>978-5-227-05056-4</t>
  </si>
  <si>
    <t>5220</t>
  </si>
  <si>
    <t>ЦВЕТЫ ЛЮБВ</t>
  </si>
  <si>
    <t>Уокер</t>
  </si>
  <si>
    <t>Возвращение домой</t>
  </si>
  <si>
    <t>5-9524-1329-3</t>
  </si>
  <si>
    <t>21168</t>
  </si>
  <si>
    <t>Диттрич П.</t>
  </si>
  <si>
    <t>Возвращение императора. Невероятные приключения в XXI веке. Петр I и президент</t>
  </si>
  <si>
    <t>978-5-227-09459-9</t>
  </si>
  <si>
    <t>Эта история — реалистичный фарс. Вы скажете, что нет такого жанра?! Ошибаетесь. Есть! Вот он, перед вами. Автор написала книгу потому, что больно было смотреть на то, что делалось в России-матушке… Тогда и пришла идея пофантазировать, а что, если бы случилось чудо и вернулся к жизни первый император всея Руси — Петр Алексеевич? Уж он бы тогда… И вот уже восстал из гроба великий царь-реформатор, и стал менять нашу современную жизнь, делая это в своей категоричной манере, невзирая на лица. Господь вернул Петра I на землю, дав еще один шанс побыть смертным, чтобы Россия вновь стала могучей державой, с которой считается весь мир. Чтобы мы — ее народ — были счастливы, благополучны и горды зваться россиянами. Век человеческий слишком короток, и до этого ни одному правителю еще не удавалось увидеть результат своих реформ, узнать, чем они аукнулись для его страны. Дадим же Петру Великому возможность узреть посеянные им всходы. Замесил он тесто, но то ли из него выпекли, чего царь желал? Того ли хотел для отчизны? Что видел в мечтах?_x000D_
Как говорится, поживем — увидим! Читайте, не пожалеете!!!</t>
  </si>
  <si>
    <t>15632</t>
  </si>
  <si>
    <t>Гергель А.Н.</t>
  </si>
  <si>
    <t>Возвращение на Арвиндж</t>
  </si>
  <si>
    <t>978-5-227-05526-2</t>
  </si>
  <si>
    <t>20827</t>
  </si>
  <si>
    <t>МАКОМБЕР</t>
  </si>
  <si>
    <t>Макомбер Д.</t>
  </si>
  <si>
    <t>Возвращение на Цветочную улицу</t>
  </si>
  <si>
    <t>978-5-227-10205-8</t>
  </si>
  <si>
    <t>Магазин «Путеводная нить» на Цветочной улице стал своеобразным клубом для женщин, увлекающихся вязанием. За рукоделием они обсуждают свои планы и проблемы, поддерживают друг друга в трудную минуту, обдумывают новые модели и важные события своей жизни. Аликс выходит замуж по любви, но поведение жениха заставляет ее задуматься, нужна ли она ему. Сестра Лидии Маргарет отчаянно волнуется за дочь, Колетта влюблена, но не хочет признаться в этом даже самой себе. Все они спешат в «Путеводную нить», зная, что здесь их ждут любимое занятие и дружеское участие. Лидия счастлива, именно таким она мечтала видеть свой магазин._x000D_
И, разумеется, Дебби Макомбер предлагает подробное описание двух вариантов шали, над которой трудятся героини ее романа, простой теплой и более сложной, кружевной.</t>
  </si>
  <si>
    <t>16109</t>
  </si>
  <si>
    <t>Уокер К.</t>
  </si>
  <si>
    <t>Возвращение незнакомца</t>
  </si>
  <si>
    <t>978-5-227-06102-7</t>
  </si>
  <si>
    <t>17711</t>
  </si>
  <si>
    <t>Возвращение непокорного романтика</t>
  </si>
  <si>
    <t>978-5-227-07707-3</t>
  </si>
  <si>
    <t>16703</t>
  </si>
  <si>
    <t>Макалистер Э.</t>
  </si>
  <si>
    <t>Возвращение плейбоя</t>
  </si>
  <si>
    <t>978-5-227-06719-7</t>
  </si>
  <si>
    <t>20907</t>
  </si>
  <si>
    <t>Рувер Р.</t>
  </si>
  <si>
    <t>Возвышение и упадок Банка Медичи. Столетняя история наиболее влиятельной в Европе династии банкиров</t>
  </si>
  <si>
    <t>978-5-9524-5669-3</t>
  </si>
  <si>
    <t>Представители семейства Медичи широко известны благодаря своей выдающейся роли в итальянском Возрождении. Однако их деятельность в качестве банкиров и торговцев мало изучена. Хотя именно экономическая власть позволила им захватить власть политическую и монопольно вести дела в Европе западнее Рейна. Обширный труд Раймонда де Рувера создан на основе редчайших архивных документов. Он посвящен Банку Медичи — самому влиятельному в Европе XV века — и чрезвычайно важен для понимания экономики, политики и общественной жизни того времени. Любопытно и то, что история Банка Медичи перекликается  с сегодняшним днем и обогащает наши познания об истоках современного бизнеса.</t>
  </si>
  <si>
    <t>17285</t>
  </si>
  <si>
    <t>Дегтев Д.М., Зефиров М.В., Зубов Д.В.</t>
  </si>
  <si>
    <t>Воздушная битва за Берлин. Последнее сражение люфтваффе. 1945</t>
  </si>
  <si>
    <t>978-5-227-07338-9</t>
  </si>
  <si>
    <t>20157</t>
  </si>
  <si>
    <t>Дегтев Д., Зефиров М</t>
  </si>
  <si>
    <t>Воздушная битва за Крым. Крах нацистского «Готенланда». 1943—1944</t>
  </si>
  <si>
    <t>978-5-227-09674-6</t>
  </si>
  <si>
    <t>20685</t>
  </si>
  <si>
    <t>Дегтев Д.М</t>
  </si>
  <si>
    <t>Воздушная битва за Ленинград. От Балтики до Валдая. 1941–1944</t>
  </si>
  <si>
    <t>978-5-227-10358-1</t>
  </si>
  <si>
    <t>Блокада Ленинграда является одним из самых драматичных и трагических эпизодов Второй мировой войны. Невзирая на нехватку сил и ресурсов, проблемы на других участках фронта и погодные условия, Красная армия в течение двух с половиной лет не оставляла попыток отбросить немцев от «колыбели революции». В книге на основе многочисленных отечественных и немецких документов, воспоминаний участников событий и других источников подробно рассказано обо всех воздушных операциях и схватках, происходивших в течение нескольких лет на северном театре боевых действий. Не только о налетах люфтваффе на Ленинград и Кронштадт, попытках немцев перерезать коммуникацию через Ладожское озеро («Дорогу жизни»), но и о битвах за Синявино, Любань, Демянск, Старую Руссу, Холм, Великие Луки и др. Собранные и систематизированные автором уникальные факты и подробности позволяют по-новому взглянуть на ход известных и не очень сражений Великой Отечественной войны, глубже понять причины успехов и неудач Красной армии.</t>
  </si>
  <si>
    <t>18389</t>
  </si>
  <si>
    <t>Дегтев Д., Богатырев С., Зубов Д.</t>
  </si>
  <si>
    <t>Воздушная битва за Одессу. Советские асы против люфтваффе и королевских ВВС Румынии. 1941</t>
  </si>
  <si>
    <t>978-5-227-08138-4</t>
  </si>
  <si>
    <t>20595</t>
  </si>
  <si>
    <t>Воздушная битва за Сталинград. Операции люфтваффе по поддержке армии Паулюса. 1942–1943</t>
  </si>
  <si>
    <t>978-5-227-09845-0</t>
  </si>
  <si>
    <t>О роли авиации в Сталинградской битве до сих пор не написано ни одного серьезного труда. Складывается впечатление, что все сводилось к уличным боям, танковым атакам и артиллерийским дуэлям. В данной книге сражение показано как бы с высоты птичьего полета, глазами германских асов и советских летчиков, летавших на грани физического и нервного истощения. Особое внимание уделено знаменитому воздушному мосту в Сталинград, организованному люфтваффе, аналогов которому не было в истории. Сотни перегруженных самолетов сквозь снег и туман, днем и ночью летали в «котел», невзирая на зенитный огонь и атаки «сталинских соколов», которые противостояли им, не щадя сил и не считаясь с огромными потерями. Автор собрал невероятные и порой шокирующие подробности воздушных боев в небе Сталинграда, а также в радиусе двухсот километров вокруг него, систематизировав огромный массив информации из германских и отечественных архивов. Объективный взгляд на события позволит читателю ощутить всю жестокость и драматизм этого беспрецедентного сражения.</t>
  </si>
  <si>
    <t>20261</t>
  </si>
  <si>
    <t>Лашков А.Ю.</t>
  </si>
  <si>
    <t>Воздушный фронт Первой мировой. Борьба за господство в воздухе на русско-германском фронте (1914—1918)</t>
  </si>
  <si>
    <t>978-5-227-10008-5</t>
  </si>
  <si>
    <t>19940</t>
  </si>
  <si>
    <t>Возлюби болезнь свою</t>
  </si>
  <si>
    <t>978-5-227-09589-3</t>
  </si>
  <si>
    <t>19941</t>
  </si>
  <si>
    <t>978-5-227-09588-6</t>
  </si>
  <si>
    <t>19792</t>
  </si>
  <si>
    <t>Возлюби болезнь свою (голубая)</t>
  </si>
  <si>
    <t>978-5-227-09586-2</t>
  </si>
  <si>
    <t>19810</t>
  </si>
  <si>
    <t>Новая редакция</t>
  </si>
  <si>
    <t>Возлюби болезнь свою (подарочная)</t>
  </si>
  <si>
    <t>978-5-227-09587-9</t>
  </si>
  <si>
    <t>19770</t>
  </si>
  <si>
    <t>Возлюби болезнь свою (с клапанами)</t>
  </si>
  <si>
    <t>978-5-227-09584-8</t>
  </si>
  <si>
    <t>70х90 1/16</t>
  </si>
  <si>
    <t>20087</t>
  </si>
  <si>
    <t>ТП МИНИ</t>
  </si>
  <si>
    <t>Возлюби болезнь свою. Как стать здоровым, познав радость жизни</t>
  </si>
  <si>
    <t>978-5-227-09654-8</t>
  </si>
  <si>
    <t>15088</t>
  </si>
  <si>
    <t>Аллен Л.</t>
  </si>
  <si>
    <t>Возлюбленная виконта</t>
  </si>
  <si>
    <t>978-5-227-05036-6</t>
  </si>
  <si>
    <t>14456</t>
  </si>
  <si>
    <t>Возлюбленная магараджи</t>
  </si>
  <si>
    <t>978-5-227-04458-7</t>
  </si>
  <si>
    <t>7630</t>
  </si>
  <si>
    <t>Возможно все</t>
  </si>
  <si>
    <t>5-9524-2391-6</t>
  </si>
  <si>
    <t>18835</t>
  </si>
  <si>
    <t>Хьюит К.</t>
  </si>
  <si>
    <t>Вознагражденная любовь</t>
  </si>
  <si>
    <t>978-5-227-08740-9</t>
  </si>
  <si>
    <t>18289</t>
  </si>
  <si>
    <t>Возраст чувственности</t>
  </si>
  <si>
    <t>978-5-227-08255-8</t>
  </si>
  <si>
    <t>18564</t>
  </si>
  <si>
    <t>Баканнон Б.</t>
  </si>
  <si>
    <t>Возроди огонь в сердце</t>
  </si>
  <si>
    <t>978-5-227-08438-5</t>
  </si>
  <si>
    <t>18545</t>
  </si>
  <si>
    <t>Хизер П.</t>
  </si>
  <si>
    <t>Возрождение Римской империи. Великие властители и реформаторы Церкви</t>
  </si>
  <si>
    <t>978-5-227-08448-4</t>
  </si>
  <si>
    <t>20640</t>
  </si>
  <si>
    <t>Возрожденная страсть</t>
  </si>
  <si>
    <t>978-5-227-10245-4</t>
  </si>
  <si>
    <t>Эни Рааваль всегда верила звездам. Они никогда ее не подводили. И в тот день, когда астрологический прогноз пообещал ей сказочные перемены в жизни, она смело шагнула навстречу своим желаниям и оказалась в страстных объятиях потрясающе красивого незнакомца. Эни кажется, что Саймон ее истинная судьба. Однако мрачная тайна, которая мучает женщину больше десяти лет, не позволяет ей быть по­настоящему счастливой…</t>
  </si>
  <si>
    <t>20766</t>
  </si>
  <si>
    <t>Возрожденные полки Русской армии в Белой борьбе на Юге России</t>
  </si>
  <si>
    <t>978-5-227-10013-9</t>
  </si>
  <si>
    <t>Книга «Возрожденные полки Русской армии в Белой борьбе на Юге России» представляет собой седьмой том серии, посвященной истории Белого движения в России по воспоминаниям его участников._x000D_
За небольшим исключением помещенные в томе материалы никогда в России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</si>
  <si>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16561</t>
  </si>
  <si>
    <t>Воин Яровита</t>
  </si>
  <si>
    <t>978-5-227-06521-6</t>
  </si>
  <si>
    <t>18008</t>
  </si>
  <si>
    <t>Волхвовское целительство</t>
  </si>
  <si>
    <t>Гнатюк В.С., Мамаев О.</t>
  </si>
  <si>
    <t>Воинская Жива русов. Здрава Юнака</t>
  </si>
  <si>
    <t>978-5-227-07082-1</t>
  </si>
  <si>
    <t>19771</t>
  </si>
  <si>
    <t>Гессе Э.</t>
  </si>
  <si>
    <t>Война в немецком тылу. Оккупационные власти против советских партизан. 1941—1944</t>
  </si>
  <si>
    <t>978-5-9524-5494-1</t>
  </si>
  <si>
    <t>19515</t>
  </si>
  <si>
    <t>Васильев Л.М.</t>
  </si>
  <si>
    <t>Война во Вьетнаме: Почему американцы потерпели поражение</t>
  </si>
  <si>
    <t>978-5-227-07919-0</t>
  </si>
  <si>
    <t>21547</t>
  </si>
  <si>
    <t>Гурко В.И.</t>
  </si>
  <si>
    <t>Война и революция в России. Мемуары командующего Западным фронтом. 1914—1917</t>
  </si>
  <si>
    <t>978-5-227-10256-0</t>
  </si>
  <si>
    <t>В.И. Гурко — блестящий русский боевой офицер, генерал от кавалерии, сын прославленного генерал-фельдмаршала, героя войны 1812 года. В своих мемуарах Василий Иосифович правдиво и обстоятельно рассказывает о военных буднях русской армии, о действиях подчиненных ему частей, о тактике и стратегии воюющих сторон, а также о происходящих в России политических переменах.</t>
  </si>
  <si>
    <t>21287</t>
  </si>
  <si>
    <t>Веджвуд С.В.</t>
  </si>
  <si>
    <t>Война короля Карла I. Великий мятеж: переход от монархии к республике. 1641–1647</t>
  </si>
  <si>
    <t>978-5-9524-6168-0</t>
  </si>
  <si>
    <t>Настоящая книга английского историка С.В. Веджвуд —продолжение исторической драмы о правлении Карла I, начатой в ее книге «Мир короля Карла I». Автор скрупулезно рассматривает причины гражданской войны в Англии, Шотландии и Ирландии в XVII веке, пытаясь оценить события тех лет: столкновение шотландских ковенантеров и роялистов, национальное и религиозное восстание в Ирландии, а также мощное народное движение в Англии, порожденное религиозными разногласиями и социальными волнениями, делает попытку выявить, откуда возникла потребность в большей религиозной свободе, более широком распределении политической власти, больших прав для народа, что привело к аресту Карла I.</t>
  </si>
  <si>
    <t>21583</t>
  </si>
  <si>
    <t>Шибель Г.</t>
  </si>
  <si>
    <t>Война на Востоке. Дневник командира моторизованной роты. 1941—1945</t>
  </si>
  <si>
    <t>978-5-9524-6153-6</t>
  </si>
  <si>
    <t>Гельмут Шибель, командир роты в составе 13-й танковой дивизии вермахта, описывает путь, пройденный им по дорогам Второй мировой войны. Это рассказ о тяжелых боях на Восточном фронте, о суровых солдатских буднях, о том, как сражались и погибали фронтовики. Его дневник — свидетельство солдата, испытавшего на себе ужасы страшной войны, но не утратившего человеческое достоинство и способность размышлять: он старается быть объективным в своих оценках, отдавая дань храбрости и благородству независимо от того, кто их проявляет: советский воин или солдат вермахта. Уверенность в победе сменяет понимание надвигающейся катастрофы, в конце повествования он с горечью произносит: «У нас украли годы юности. С нами все кончено. Скоро все рухнет, и Третьего рейха никогда не будет».</t>
  </si>
  <si>
    <t>21057</t>
  </si>
  <si>
    <t>Рузвельт Т.</t>
  </si>
  <si>
    <t>Война на море 1812 года. Противостояние Соединенных Штатов и Великобритании во времена Наполеоновских войн</t>
  </si>
  <si>
    <t>978-5-227-10441-0</t>
  </si>
  <si>
    <t>Приступая к исследованию англо-американской войны на море 1812 года, 26-й президент США Теодор Рузвельт обращает внимание на довоенный политический и социальный климат в Великобритании и в Америке. Кроме того, он дает оценку состоянию армии и флота противников, отмечая неподготовленность Америки к войне. Анализируя сражения в Атлантическом океане и на озерах обеих Америк, Рузвельт сообщает сведения о кораблях — участниках войны, об их оснащении и вооружении, восхищается мастерством и храбростью военных моряков, обсуждает сильные и слабые стороны противников. В своей работе Рузвельт использовал классические труды по истории Британии, американские официальные письма, вахтенные журналы, оригинальные контракты, письма капитанов, высших военачальников, офицеров и другие документы из архивов в Вашингтоне. В результате это исследование до сих пор считается одним из лучших в своей области. Книга снабжена схемами, поясняющими расстановку сил в морских сражениях.</t>
  </si>
  <si>
    <t>20383</t>
  </si>
  <si>
    <t>Сикорский В.</t>
  </si>
  <si>
    <t>Война Польши против Советской России. Воспоминания главнокомандующего польской армией. 1919—1921</t>
  </si>
  <si>
    <t>978-5-227-10121-1</t>
  </si>
  <si>
    <t>Польско-советская война разразилась в 1919 году после Первой мировой войны. Автор настоящей книги, Владислав Сикорский, командовал тогда 9-й дивизией пехоты и Полесской группой войск в Киевской операции, 5-й армией в Варшавской операции, а также 3-й армией в боях за Замостье. Основываясь на документах Исторической службы Генерального штаба, своих записях времен войны и воспоминаниях участников тех битв, он пытается воссоздать общую картину борьбы, при этом стараясь оставаться объективным к исторической драме.</t>
  </si>
  <si>
    <t>21636</t>
  </si>
  <si>
    <t>Гелен Р.</t>
  </si>
  <si>
    <t>Война разведок. Тайные операции спецслужб Германии</t>
  </si>
  <si>
    <t>978-5-9524-6390-5</t>
  </si>
  <si>
    <t>Книга воспоминаний Райнхарда Гелена — офицера разведслужбы гитлеровской армии во время Второй мировой войны и создателя секретной разведывательной организации в ФРГ — позволяет читателю взглянуть на исторические события 40—60-х годов XX столетия как бы с противоположной стороны фронта — военного и идеологического — и из-за железного занавеса. Это одновременно достоверный исторический документ и интереснейший рассказ о том, что скрывалось за сухими военными сводками и официальной немецкой пропагандой. Книгу отличают непредвзятость и точность оценок.</t>
  </si>
  <si>
    <t>15587</t>
  </si>
  <si>
    <t>Раков Н.М.</t>
  </si>
  <si>
    <t>Война теней</t>
  </si>
  <si>
    <t>978-5-227-05464-7</t>
  </si>
  <si>
    <t>16771</t>
  </si>
  <si>
    <t>Макмиллан М.</t>
  </si>
  <si>
    <t>Война, которая покончила с миром</t>
  </si>
  <si>
    <t>978-5-227-06772-2</t>
  </si>
  <si>
    <t>20849</t>
  </si>
  <si>
    <t>Дюпюи Р.Э, Дюпюи Т.Н</t>
  </si>
  <si>
    <t>Война. Полная энциклопедия. Все битвы, сражения и военные кампании мировой истории с 4­го тысячелетия до нашей эры до конца XX века</t>
  </si>
  <si>
    <t>978-5-9524-6042-3</t>
  </si>
  <si>
    <t>Энциклопедия Ричарда Эрнеста и Тревора Невитта Дюпюи — всеобъемлющее справочное издание, отображающее эволюцию военного искусства от Античности до наших дней. В одном томе собран и систематизирован богатейший материал: колоссальный объем архивных документов, редкие карты, сводки статистических данных, выдержки из научных трудов и детальные описания величайших сражений._x000D__x000D_
Для удобства пользования энциклопедией история человечества условно разделена на двадцать две главы, каждая из которых посвящена временному периоду с 4­го тысячелетия до нашей эры до конца ХХ века. Очерки, предваряющие главы, содержат сведения о принципах тактики и стратегии того или иного периода, особенностях вооружения, развитии военно­теоретической мысли и выдающихся военачальниках эпохи. Энциклопедия содержит два указателя: упомянутых в тексте имен, а также войн и значимых вооруженных конфликтов. Все это поможет читателю воссоздать и воспринять историческое по­лотно в целом, разобраться в причинах той или иной войны, проследить ее течение и оценить действия полководцев._x000D__x000D_
Мемуары содержат много интересных наблюдений над русской дипломатической жизнью, рисуют живые портреты советских вождей и сановников, а также всего «политического климата» советской жизни в конце двадцатых, в начале тридцатых годов. Особенно интересны приводимые автором эпизоды из жизни Сталина, воспоминания об отношениях Сталина с Троцким, характеристика министра иностранных дел советской России Литвинова.</t>
  </si>
  <si>
    <t>21146</t>
  </si>
  <si>
    <t>Гусаров А.Ю.</t>
  </si>
  <si>
    <t>Вокруг Знаменской площади. История застройки площади Восстания, Лиговского канала, улиц Восстания и Пушкинской</t>
  </si>
  <si>
    <t>978-5-227-09527-5</t>
  </si>
  <si>
    <t>Новая работа Андрея Гусарова знакомит читателей с историей появления и формирования в Санкт-Петербурге одного из главных центров города — площади Восстания (бывшей Знаменской) и застройкой примыкающих к ней кварталов. В книге читатели найдут рассказ о допетровском прошлом территории, занятой площадью Восстания, узнают, как в течение десятилетий застраивались берега Лиговского канала, а на карте города появились улицы Пушкинская и Восстания (бывшая Знаменская). Подробно представлена история Московского (Николаевского) железнодорожного вокзала, знаменитой Северной (Октябрьской) гостиницы и несохранившейся Знаменской церкви, на месте которой выстроен наземный павильон станции метро. Важная часть повествования посвящена судьбе памятника императору Александру III итальянского скульптора Паоло Трубецкого и истории созданного по проекту архитектора Владимира Лукьянова обелиска «Городу-Герою Ленинграду», с появлением которого завершилось формирование ансамбля площади Восстания. Кроме познавательной информации об архитектуре зданий, сооруженных здесь и на близлежащих улицах, читателей ждет знакомство с судьбой ряда известных петербуржцев — обитателей доходных домов и гостиниц этого района._x000D_
Книга предназначена для учащихся, студентов, краеведов, специалистов по истории и всех, кто интересуется прошлым Санкт-Петербурга.</t>
  </si>
  <si>
    <t>17197</t>
  </si>
  <si>
    <t>ПУТЕБРОДИТЕЛЬ</t>
  </si>
  <si>
    <t>Сутормин В.</t>
  </si>
  <si>
    <t>Вокруг Кремля и Китай-Города.</t>
  </si>
  <si>
    <t>978-5-227-07189-7</t>
  </si>
  <si>
    <t>14736</t>
  </si>
  <si>
    <t>Аксельрод В.И., Гусева А.В.</t>
  </si>
  <si>
    <t>Вокруг Финляндского вокзала.Путеводитель по Выборгской стороне.</t>
  </si>
  <si>
    <t>978-5-227-04765-6</t>
  </si>
  <si>
    <t>6994</t>
  </si>
  <si>
    <t>Народная сказка</t>
  </si>
  <si>
    <t>Волк и Коза</t>
  </si>
  <si>
    <t>5-9524-1598-9</t>
  </si>
  <si>
    <t>21838</t>
  </si>
  <si>
    <t>Харрисон Д.</t>
  </si>
  <si>
    <t>Волк. Ложное воспоминание</t>
  </si>
  <si>
    <t>978-5-9524-6528-2</t>
  </si>
  <si>
    <t>В романе одного из самых признанных, как читателями, так и критиками, современных американских писателей рассказана история потомка эмигрантов из Швеции, который отправляется в дикий лес Северного Мичигана в надежде увидеть последнего в здешних местах волка. Главный герой разочаровался в жизни, ничто не доставляет ему удовольствия: ни женщины, ни общение с друзьями, ни хмельные компании. Он понимает абсурдность своего существования и ищет выход.</t>
  </si>
  <si>
    <t>16446</t>
  </si>
  <si>
    <t>Волк. Поля надежды</t>
  </si>
  <si>
    <t>978-5-227-06384-7</t>
  </si>
  <si>
    <t>16929</t>
  </si>
  <si>
    <t>Волк. Решение</t>
  </si>
  <si>
    <t>978-5-227-07028-9</t>
  </si>
  <si>
    <t>15901</t>
  </si>
  <si>
    <t>Волк. Стая</t>
  </si>
  <si>
    <t>978-5-227-05853-9</t>
  </si>
  <si>
    <t>16659</t>
  </si>
  <si>
    <t>Волк. Студент</t>
  </si>
  <si>
    <t>978-5-227-06732-6</t>
  </si>
  <si>
    <t>15511</t>
  </si>
  <si>
    <t>Волк. Юность</t>
  </si>
  <si>
    <t>978-5-227-05584-2</t>
  </si>
  <si>
    <t>16005</t>
  </si>
  <si>
    <t>МОСКВА</t>
  </si>
  <si>
    <t>Волхонка. Знаменка. Ленивка. Прогулки по Чертолью</t>
  </si>
  <si>
    <t>978-5-227-05733-4</t>
  </si>
  <si>
    <t>16349</t>
  </si>
  <si>
    <t>Волшебная встреча</t>
  </si>
  <si>
    <t>978-5-227-06254-3</t>
  </si>
  <si>
    <t>17025</t>
  </si>
  <si>
    <t>Даркинс Э.</t>
  </si>
  <si>
    <t>Волшебная ночь в Риме</t>
  </si>
  <si>
    <t>978-5-227-07052-4</t>
  </si>
  <si>
    <t>17380</t>
  </si>
  <si>
    <t>Волшебная сила любви</t>
  </si>
  <si>
    <t>978-5-227-07432-4</t>
  </si>
  <si>
    <t>17412</t>
  </si>
  <si>
    <t>Брок Э.</t>
  </si>
  <si>
    <t>Волшебное время для двоих</t>
  </si>
  <si>
    <t>978-5-227-07457-7</t>
  </si>
  <si>
    <t>19088</t>
  </si>
  <si>
    <t>Волшебные греческие ночи</t>
  </si>
  <si>
    <t>978-5-227-08936-6</t>
  </si>
  <si>
    <t>20011</t>
  </si>
  <si>
    <t>Волшебные феи. Творческая раскраска</t>
  </si>
  <si>
    <t>978-5-9524-5674-7</t>
  </si>
  <si>
    <t>18834</t>
  </si>
  <si>
    <t>Волшебство его ласк</t>
  </si>
  <si>
    <t>978-5-227-08702-7</t>
  </si>
  <si>
    <t>20949</t>
  </si>
  <si>
    <t>Вооруженные силы на Юге России</t>
  </si>
  <si>
    <t>978-5-227-10078-8</t>
  </si>
  <si>
    <t>Книга представляет собой семнадцатый том серии, посвященной Белому движению в России, и охватывает боевые действия вооруженных сил на Юге России в первой половине 1919 года, то есть со времени их создания до издания А.И. Деникиным так называемой «Московской директивы»._x000D__x000D_
Это было время, когда белые завершили освобождение от большевиков Северного Кавказа, очистили от них Крым, начали движение на Царицын и Астрахань, удержали Донбасс. Весной белые перешли в наступление на всех фронтах, в результате чего создалась стратегическая обстановка, позволившая ВСЮР начать поход на Москву._x000D__x000D_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</si>
  <si>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16775</t>
  </si>
  <si>
    <t>Селмер М.</t>
  </si>
  <si>
    <t>Воплощение греха</t>
  </si>
  <si>
    <t>978-5-227-06746-3</t>
  </si>
  <si>
    <t>16523</t>
  </si>
  <si>
    <t>Грин Г.</t>
  </si>
  <si>
    <t>Воплощенное совершенство</t>
  </si>
  <si>
    <t>978-5-227-06484-4</t>
  </si>
  <si>
    <t>18592</t>
  </si>
  <si>
    <t>Загородний А., Тихонова Т.</t>
  </si>
  <si>
    <t>Вопль археоптерикса</t>
  </si>
  <si>
    <t>978-5-227-08570-2</t>
  </si>
  <si>
    <t>17293</t>
  </si>
  <si>
    <t>Томас Р.</t>
  </si>
  <si>
    <t>Вопреки желанию</t>
  </si>
  <si>
    <t>978-5-227-07286-3</t>
  </si>
  <si>
    <t>16586</t>
  </si>
  <si>
    <t>Вопреки разуму</t>
  </si>
  <si>
    <t>978-5-227-06527-8</t>
  </si>
  <si>
    <t>8815</t>
  </si>
  <si>
    <t>Миронова Е.</t>
  </si>
  <si>
    <t>Воровка</t>
  </si>
  <si>
    <t>978-5-9524-3084-6</t>
  </si>
  <si>
    <t>21897</t>
  </si>
  <si>
    <t>Воскресенье на даче. Рассказы и картинки с натуры</t>
  </si>
  <si>
    <t>978-5-227-11205-7</t>
  </si>
  <si>
    <t>В конце XIX века, как и сейчас, наши соотечественники стремились провести лето на природе, на свежем воздухе, вдали от городской суеты. В новом сборнике известного сатирика позапрошлого столетия Николая Александровича Лейкина изображены не только традиции и реалии ушедших дней, но и вещи, которые никогда не устаревают. Здесь и про трудности наема дачи, и про особенности взаимодействия с сельскими жителями, и про отношения дачников друг с другом, и про грибную и рыбную охоту, и про народные поверья, и, конечно, про русскую душу — такую же обширную и многогранную, как наша страна.</t>
  </si>
  <si>
    <t>19978</t>
  </si>
  <si>
    <t>Воскресные охотники. Юмористические рассказы о похождениях столичных подгородных охотников</t>
  </si>
  <si>
    <t>978-5-227-09718-7</t>
  </si>
  <si>
    <t>20850</t>
  </si>
  <si>
    <t>Воскрешенная нежность</t>
  </si>
  <si>
    <t>978-5-227-10372-7</t>
  </si>
  <si>
    <t>Что общего между известной моделью Ориэль Кувье и талантливой дизайнершей Ниной Менендес, кроме поразительного внешнего сходства? Судьбы двух женщин неожиданно пересеклись, когда открылись драматические обстоятельства их появления на свет: сестры-близнецы, разлученные в младенчестве и воспитанные приемными родителями, на самом деле дочери популярной звезды Болливуда, рожденные от ее тайной связи. Каждой из этих гордых и независимых женщин предстоит пройти трудное испытание любовью, когда в их жизни появляются сильные и властные мужчины. Уступят ли они зову страсти?</t>
  </si>
  <si>
    <t>17477</t>
  </si>
  <si>
    <t>Воспламенить былые чувства</t>
  </si>
  <si>
    <t>978-5-227-07480-5</t>
  </si>
  <si>
    <t>21820</t>
  </si>
  <si>
    <t>Вел. князь Александр Михайлович</t>
  </si>
  <si>
    <t>Воспоминания</t>
  </si>
  <si>
    <t>978-5-227-11096-1</t>
  </si>
  <si>
    <t>Мемуары великого князя Александра Михайловича, внука Николая I и зятя Александра III, — не только описание его жизни с замечательно интересными подробностями дворцового этикета, особенностями воспитания и образования детей дома Романовых. Это взгляд умного, образованного, преданного своей стране человека на сложнейший период истории России. Русско-турецкая война и первый опыт узнавания реальной жизни за воротами дворца; очередное покушение на царя, его морганатический брак, затем гибель и восшествие на престол Александра III, мощью и умом которого великий князь искренне восхищается. Затем страшные события после воцарения Николая II: Ходынка, революция, война, снова революция, гибель царской семьи, бегство из страны семьи великого князя. Свой рассказ он ведет без лишнего пафоса и драматизма, трезво оценивая трагические события и фигуры их участников, пытаясь понять смысл происходящего и своего существования.</t>
  </si>
  <si>
    <t>17980</t>
  </si>
  <si>
    <t>Кшесинская М.Ф</t>
  </si>
  <si>
    <t>978-5-9524-5296-1</t>
  </si>
  <si>
    <t>20382</t>
  </si>
  <si>
    <t>Хилл Дж.</t>
  </si>
  <si>
    <t>Воспоминания агента британской секретной службы. Большая игра в революционной России</t>
  </si>
  <si>
    <t>978-5-9524-5837-6</t>
  </si>
  <si>
    <t>Британский разведчик Джордж Хилл (1892—1968) провел детство и юность в Российской империи, в совершенстве знал русский язык, обладал природным обаянием и изрядной долей авантюризма, что позволило ему стать неуловимым и весьма деятельным секретным агентом британской разведки. В настоящих мемуарах Хилл описывает свою миссию в России в 1917—1919 гг., раскрывает детали рискованных операций, рассказывает о вербовке агентов и создании диверсионных групп, а также о контактах с резидентами британской разведки: Полом Дьюксом, Артуром Рэнсомом и «королем шпионов» Сиднеем Рейли. В книге приведены уникальные свидетельства, в том числе о несостоявшемся заговоре с целью убийства большевистского руководства, что делает ее не только занимательным чтением, но и ценным источником сведений о реалиях той эпохи.</t>
  </si>
  <si>
    <t>21738</t>
  </si>
  <si>
    <t>Кеннан Д.</t>
  </si>
  <si>
    <t>Воспоминания американского посла в СССР. Дипломатия Второй мировой войны глазами видного политолога</t>
  </si>
  <si>
    <t>978-5-9524-6469-8</t>
  </si>
  <si>
    <t>"Книга лауреата Пулитцеровской премии Джорджа Кеннана, видного американского дипломата, посла в СССР с 1954 по 1963 г., аналитика, советолога, автора многочисленных трудов по американской дипломатии и внешней политике, повествует о сложном с точки зрения развития ситуации в Европе периоде мировой истории: канун Второй мировой войны, крупные военные конфликты, послевоенный передел Европы и противостояние двух политических систем.
Автор представляет свое мнение о происходившем, дает яркие, хотя отчасти спорные портреты Иосифа Сталина и Франклина Рузвельта, других выдающихся политических деятелей, знакомит с личными прогнозами развития России после войны, делает любопытные зарисовки из жизни сталинского окружения и сотрудников иностранных дипломатических миссий."</t>
  </si>
  <si>
    <t>21886</t>
  </si>
  <si>
    <t>Локкарт Б.</t>
  </si>
  <si>
    <t>Воспоминания британского агента. Русская революция глазами видного дипломата и офицера разведки</t>
  </si>
  <si>
    <t>978-5-9524-6535-0</t>
  </si>
  <si>
    <t>Роберт Гамильтон Брюс Локкарт занимал пост генерального консула Великобритании в Москве, а с января по сентябрь 1918 года возглавлял британскую миссию при советском правительстве. Кипучая деятельность молодого посла, его последовательная вера в принципы демократии, умение бороться за свои идеалы и?дружить привлекала к нему сторонников враждебных лагерей. В своей книге он оставил прекрасные политические портреты Троцкого, Ленина и Дзержинского, особенно яркие страницы посвящены катастрофе огромного масштаба, случившейся в России. Его книга стала классической в жанре художественной публицистики, до сих пор она удивляет своей свежестью, смелостью мыслей и оценок.</t>
  </si>
  <si>
    <t>21599</t>
  </si>
  <si>
    <t>Бажанов Б.Г.</t>
  </si>
  <si>
    <t>Воспоминания бывшего секретаря Сталина. Как я стал антикоммунистом</t>
  </si>
  <si>
    <t>978-5-9524-6190-1</t>
  </si>
  <si>
    <t>В книге подробно изложены закулисные политические интриги в Кремле начиная с изгнания Троцкого, а также последующие действия Сталина по устранению с политической сцены его соратников и соперников — Каменева, Зиновьева, Рыкова, Фрунзе, Бухарина… Так как автор пять лет являлся личным секретарем Сталина, его рассказ является ценным источником сведений от очевидца событий, наблюдавшего работу государственного аппарата изнутри._x000D_
Бажанов глубоко разочаровался в коммунизме и, став перебежчиком, покинул Россию. Читая его воспоминания, понимаешь, почему так произошло и насколько сильно реальная картина событий того времени отличается от той, что преподносят массам.</t>
  </si>
  <si>
    <t>20780</t>
  </si>
  <si>
    <t>Сухомлинов В.А.</t>
  </si>
  <si>
    <t>Воспоминания военного министра</t>
  </si>
  <si>
    <t>978-5-227-10421-2</t>
  </si>
  <si>
    <t>Генерал В.А. Сухомлинов – одна из самых противоречивых фигур в истории России. Боевой офицер, участник Русско-турецкой войны, ближайший помощник знаменитого военного теоретика генерала М.И. Драгомирова, Сухомлинов сделал блестящую военную карьеру. В начале ХХ века В.А. Сухомлинов – командующий Киевским военным округом, в 1908 году он возглавляет Генштаб, а вскоре, в 1909 году, занимает пост военного министра._x000D_
Но при этом трудно было не заметить, что Сухомлинова отличало определенное легкомыслие. Генерал Брусилов так отзывался о Сухомлинове: «…считаю его человеком, несомненно, умным, быстро соображающим и распорядительным, но ума поверхностного и легкомысленного. Главный же его недостаток состоял в том, что он был, что называется, очковтиратель и, не углубляясь в дело, довольствовался поверхностным успехом своих действий и распоряжений». Эти черты военного министра привели к печальному положению дел в русской армии в период Первой мировой войны._x000D_
Сухомлинов был в 1915 году снят с должности и оказался под следствием… Правда, тянулось оно долго, приговор генералу вынесли уже при Временном правительстве, а под амнистию осужденный Сухомлинов попал при большевиках, весной 1918 г. Как ни странно, Октябрьская революция помогла ему не только сохранить жизнь, но и выйти на свободу и отправиться в эмиграцию, хотя большинство его сослуживцев сложили головы в огне революции и Гражданской войны. Впрочем, бывший военный министр Сухомлинов не признавал себя виновным никогда и ни в чем и утверждал, что был лишь оклеветан врагами…</t>
  </si>
  <si>
    <t>20962</t>
  </si>
  <si>
    <t>Станкевич В.Б.</t>
  </si>
  <si>
    <t>Воспоминания комиссара Временного правительства. 1914—1919</t>
  </si>
  <si>
    <t>978-5-227-10424-3</t>
  </si>
  <si>
    <t>Владимир Бенедиктович Станкевич — профессиональный юрист, политик, близкий к кругу А.Ф. Керенского, в годы Первой мировой войны оказался в армии с невысоким чином прапорщика. Однако чин не помешал ему в дни Февральской революции занять высокое положение – сначала он был избран в Исполком Совета рабочих и солдатских депутатов, а с получением Керенским портфеля военного министра во Временном правительстве получил назначение комиссаром Северного фронта, а позже и Ставки Верховного главнокомандующего._x000D__x000D_
Рассказ человека, прикоснувшегося к великим историческим событиям — революциям, войнам и пр. — и лично знавшего тех, чьи имена остались на страницах учебников, по-новому раскрывает картины минувшего.</t>
  </si>
  <si>
    <t>20750</t>
  </si>
  <si>
    <t>Колосов Н.А.</t>
  </si>
  <si>
    <t>Воспоминания комиссара-танкиста</t>
  </si>
  <si>
    <t>978-5-227-10455-7</t>
  </si>
  <si>
    <t>Биография генерал-майора Н.А. Колосова (1909—1993) тесно связана с вооруженными силами нашей страны. В 1930-х годах он стоял у истоков формирования танковых войск РККА, а с началом Великой Отечественной войны на самом высоком уровне решал вопросы их реформирования и бое­вой подготовки в связи с новыми задачами. В составе действующей армии участвовал в боях за освобождение Польши и Восточной Пруссии. После войны Н.А. Колосов на политической работе в Советской армии, а позднее стал первым директором музея-панорамы «Бородинская битва». Полный ярких событий и интересных встреч жизненный путь автора и его мастерство рассказчика позволили создать интересную информативную книгу о Советской стране в сложные периоды ее истории.</t>
  </si>
  <si>
    <t>21382</t>
  </si>
  <si>
    <t>ЗЛФ ИЗБ</t>
  </si>
  <si>
    <t>Воспоминания немецкого генерала. Танковые войска Германии во Второй мировой войне. 1939—1945</t>
  </si>
  <si>
    <t>978-5-227-09958-7</t>
  </si>
  <si>
    <t>В своих мемуарах Гейнц Гудериан, стоявший у истоков создания танковых войск и принадлежавший к элите высшего военного руководства нацистской Германии, рассказывает о планировании и подготовке крупнейших операций в штабе Верховного командования сухопутных сил Германии. Книга является интереснейшим историческим документом, где знаменитый немецкий генерал делится своими знаниями и опытом.</t>
  </si>
  <si>
    <t>19988</t>
  </si>
  <si>
    <t>Геруа Б.В.</t>
  </si>
  <si>
    <t>Воспоминания о моей жизни. Двадцать лет в Российской Императорской армии. 1895–1917 гг.</t>
  </si>
  <si>
    <t>978-5-227-09756-9</t>
  </si>
  <si>
    <t>21641</t>
  </si>
  <si>
    <t>Палей О.А.</t>
  </si>
  <si>
    <t>Воспоминания о России. Страницы жизни морганатической супруги Павла Александровича. 1916—1919</t>
  </si>
  <si>
    <t>978-5-227-10978-1</t>
  </si>
  <si>
    <t>Княгиня Ольга Палей, морганатическая супруга великого князя Павла Александровича, сына Александра III, в своих воспоминаниях описывает страшные события, пережитые ее семьей после совершившейся революции. В 1918 году большевики арестовали великого князя, а затем и его сына. Им была уготована тяжелая участь. Ольга отчаянно билась за своего мужа и сына, надеясь их спасти, безрезультатно обивала пороги начальников. Когда в России было потеряно все, княгиня бежала за границу и воссоединилась со своими дочерьми. В эмиграции Палей написала мемуары, полные боли и ненависти к новой власти в России.</t>
  </si>
  <si>
    <t>21577</t>
  </si>
  <si>
    <t>Мельник­Боткина Т.Е.</t>
  </si>
  <si>
    <t>Воспоминания о царской семье и ее жизни до и после революции: С дополнением рассказа императорского камердинера А.А. Волкова «Около царской семьи»</t>
  </si>
  <si>
    <t>978-5-227-10864-7</t>
  </si>
  <si>
    <t>Татьяна Евгеньевна Мельник-Боткина, дочь лейб-медика Евгения Сергеевича Боткина, расстрелянного вместе с царской семьей в 1918 году, рассказывает о жизни последнего русского императора Николая Александровича, его родных и близких и о событиях, приведших к трагедии в Екатеринбурге. Когда в 1917 году свергнутого императора с женой и детьми отправляли в ссылку, врач царской семьи Е.С. Боткин добровольно поехал вместе с ними. А девятнадцатилетняя Татьяна Боткина вместе с младшим братом решила самостоятельно добраться до Тобольска, чтобы быть в нелегкий момент с отцом, помочь ему и поддержать... Тобольские страницы воспоминаний Т.Е. Мельник-Боткиной особенно интересны. Для Татьяны Евгеньевны гибель отца, последовавшего вместе с императором и его близкими в Екатеринбург, стала страшным ударом. Сама она сразу выехать вслед за отцом не смогла, а потом Екатеринбург и Тобольск оказались отрезанными друг от друга фронтами Гражданской войны… Осенью 1918 года Татьяна Боткина вышла замуж за подпоручика Константина Мельника, с которым познакомилась еще в царскосельском лазарете, где он лечился от фронтовых ран. Мельник был из числа тех офицеров, кто прибыл в Тобольск в надежде помочь царской семье. Вместе с ним Татьяна и Глеб Боткины перебрались на территорию, занятую белыми, в 1919 году оказались во Владивостоке, а потом — в вынужденной эмиграции._x000D_
Воспоминания Т.Е. Мельник-Боткиной дополнены рассказом камердинера императрицы А.А. Волкова, сопровождавшего царскую семью в ссылку и чудом избежавшего смерти. История Волкова дополняет и по-новому окрашивает мемуары Татьяны Евгеньевны о страшном периоде нашей истории.</t>
  </si>
  <si>
    <t>20319</t>
  </si>
  <si>
    <t>Врангель П.Н.</t>
  </si>
  <si>
    <t>Воспоминания. Боевой путь русского генерала</t>
  </si>
  <si>
    <t>978-5-227-10011-5</t>
  </si>
  <si>
    <t>Вниманию читателей предлагаются уникальные воспоминания генерала Петра Николаевича Врангеля, охватывающие большую часть его военной биографии, начало которой было положено на фронтах Русско-японской войны. Наиболее подробно генерал, отличившийся также в баталиях Первой мировой войны, рассказывает о периоде с кануна революции до участия в Гражданской войне в России, на последнем этапе которой он стал главнокомандующим белой Русской армией.</t>
  </si>
  <si>
    <t>21817</t>
  </si>
  <si>
    <t>Юсупов Ф.Ф.</t>
  </si>
  <si>
    <t>Воспоминания. До изгнания/в изгнании</t>
  </si>
  <si>
    <t>978-5-227-11130-2</t>
  </si>
  <si>
    <t>Князь Феликс Феликсович Юсупов — аристократ, последний из богатейшего рода Юсуповых, красивый, изящный, образованный человек и мастер эпатажа, участник убийства Распутина, рассказывает историю своего рода и собственной жизни. С нежностью и любовью он пишет о матери, знаменитой красавице княгине Зинаиде, и с уважением, но сдержанно об отце — гвардейском офицере, о дружбе с братом и его ранней гибели. Увлекательно и остроумно автор описывает бурно проведенную юность, жизнь семьи в Архангельском и в столичных особняках, подготовку к праздникам, убранство поместий, роскошь, которая окружала его с рождения. А затем революция, утрата всего достояния, бегство за границу и жизнь в изгнании со всеми ее лишениями и тоской по Родине._x000D_
Впервые полное издание на русском языке.</t>
  </si>
  <si>
    <t>20326</t>
  </si>
  <si>
    <t>Маклаков В. А.</t>
  </si>
  <si>
    <t>Воспоминания. Лидер московских кадетов о крахе самодержавия в России. 1880—1917</t>
  </si>
  <si>
    <t>978-5-9524-5822-2</t>
  </si>
  <si>
    <t>Василий Алексеевич Маклаков — член ЦК партии кадетов, депутат Государственной думы 2-го, 3-го и 4-го созывов, авторитетный российский политик, один из виднейших русских адвокатов. В этой книге он рассказывает о тех демократических и правовых основах, которые определяли когда-то величие и мощь Российской империи, и тех роковых особенностях нашего менталитета, что послужили причиной ее трагедии. Анализируя историю парламентаризма в России, Маклаков приходит к выводам, актуальным и для сегодняшнего политического процесса.</t>
  </si>
  <si>
    <t>20458</t>
  </si>
  <si>
    <t>Извольский А.П.</t>
  </si>
  <si>
    <t>Воспоминания. Министр иностранных дел о международных заговорах и политических интригах накануне свержения монархии в России</t>
  </si>
  <si>
    <t>978-5-227-10190-7</t>
  </si>
  <si>
    <t>Александр Петрович Извольский, русский государственный деятель, дипломат, министр иностранных дел в 1906—1910 гг., в своих воспоминаниях прежде всего рассматривает эпоху первой русской революции и зарождение российского парламентаризма. Большое внимание автор уделяет работе I и II Государственных дум и деятельности Витте и Столыпина. Сообщает о секретных совещаниях, на которых обсуждался вопрос об образовании кабинета в составе С.А. Муромцева, А.А. Муханова, Г.Е. Львова, Д.Н. Шипова, И.Н. Милюкова и П.А. Столыпина. Приводит докладную записку царю о необходимости конституционных реформ, составленную H. Львовым; подробно рассказывает о секретном договоре в Бьерке; об инциденте у Доггер-банки, едва не вызвавшем войну между Россией и Англией, и многое другое. Как и все авторы мемуаров, Извольский субъективен в своих мнениях и оценках событий и фигурантов в них участвующих, но его свидетельства, основанные на личных впечатлениях и подтвержденные документами, интересны и ценны деталями, за которыми чувствуется живая история.</t>
  </si>
  <si>
    <t>21575</t>
  </si>
  <si>
    <t>Маннергейм К.Г.Э</t>
  </si>
  <si>
    <t>Воспоминания. От службы России к беспощадной войне с бывшим отечеством — две стороны судьбы генерала императорской армии, ставшего фельдмаршалом и президентом Финляндии</t>
  </si>
  <si>
    <t>978-5-227-10963-7</t>
  </si>
  <si>
    <t>Генерал-лейтенант русской армии, фельдмаршал Финляндии, президент Финляндии Карл Густав Маннергейм, будучи личностью не только далеко не ординарной, но и сыгравшей важную роль в истории своей страны, удостоившийся за свою богатую биографию множественных наград разных государств, уйдя в отставку, счел необходимым рассказать о событиях, глубоко повлиявших на судьбу его отечества, в которых принимал непосредственное участие. Начиная со своей карьеры на службе России, повествуя об участии в Русско-японской войне, позже – о разведывательной экспедиции в Монголию и Китай, Маннергейм в дальнейшем углубляется в подробности политического противоборства европейских стран. Пишет, уже пребывая на первых постах в правительстве Финляндии, о своих посольских миссиях в Лондон и Париж в мирных целях на благо и независимость Финляндии, о встречах с Гитлером, о военных действиях двух мировых войн и, что немаловажно, о деталях Освободительной войны в Финляндии и Советско-финляндской (Зимней) войны.</t>
  </si>
  <si>
    <t>21468</t>
  </si>
  <si>
    <t>Плесс Д.ф.</t>
  </si>
  <si>
    <t>Воспоминания. Победы и страсти, ошибки и поражения великосветской львицы, приближенной к европейским монархам в канун Первой мировой войны</t>
  </si>
  <si>
    <t>978-5-9524-6316-5</t>
  </si>
  <si>
    <t>Ее называли жемчужиной пщинского замка, самой красивой британкой своей эпохи… Красота, дипломатический дар, прекрасный голос принцессы фон Плесс покоряли всех мужчин. Дейзи и ее муж князь Ганс Генрих XV, принц Плесс были одной из богатейших дворянских семей Европы, владельцами не только замка в Пщине, но и известного замка Ксенж, а также крупных имений, угольных шахт в Силезии, цементного и металлургических заводов, электростанции и пивоварни. Однако княгиня не страдала тщеславием, она активно занималась благотворительностью. Во время замужества Дейзи боролась за мир между германским императором Вильгельмом II и королем Соединенного Королевства Эдуардом VII. Будучи англичанкой по рождению, она, обвиняемая в Германии в годы Первой мировой войны в шпионаже, пошла служить сестрой милосердия, ухаживая за немецкими ранеными… После развода Дейзи фон Плесс посвятила себя литературной деятельности и, в частности, будучи свидетелем великих исторических событий, выпустила мемуары, основанные на своих дневниках и переписке, в которых не только раскрываются личности автора и ее современников, но и дается подробный портрет ее времени.</t>
  </si>
  <si>
    <t>20201</t>
  </si>
  <si>
    <t>Крыжановский С.Е.</t>
  </si>
  <si>
    <t>Воспоминания: из бумаг последнего государственного секретаря Российской империи</t>
  </si>
  <si>
    <t>978-5-227-09864-1</t>
  </si>
  <si>
    <t>15266</t>
  </si>
  <si>
    <t>Восстанавливаем здоровье суставов. Простые и эффективные способы лечения</t>
  </si>
  <si>
    <t>978-5-227-05333-6</t>
  </si>
  <si>
    <t>19898</t>
  </si>
  <si>
    <t>Восстанавливаем зрение. Правильное питание, лечение солнцем, медитация, рефлексотерапия, народная ме</t>
  </si>
  <si>
    <t>978-5-227-09710-1</t>
  </si>
  <si>
    <t>14906</t>
  </si>
  <si>
    <t>Восстанавливаем печень народными методами</t>
  </si>
  <si>
    <t>978-5-227-04835-6</t>
  </si>
  <si>
    <t>15613</t>
  </si>
  <si>
    <t>19690</t>
  </si>
  <si>
    <t>Восстанавливающие практики после ковида. Фитотерапия, лечебные ванны, тай­чи, цигун, правильное питание, аэротерапия, йога, галотерапия, дыхательная гимнастика</t>
  </si>
  <si>
    <t>978-5-227-09543-5</t>
  </si>
  <si>
    <t>21544</t>
  </si>
  <si>
    <t>Эврич П.</t>
  </si>
  <si>
    <t>Восстание в Кронштадте. 1921 год</t>
  </si>
  <si>
    <t>978-5-9524-5832-1</t>
  </si>
  <si>
    <t>В марте 1921 года красные матросы, оплот и боевой авангард революции, подняли в крепости на Финском заливе восстание против правительства большевиков. Это событие до сих пор вызывает яростные споры. Было ли оно протестом против правящей диктатуры, или же противники молодой Республики Советов умело воспользовались их недовольством и подготовили этот взрыв народного возмущения?  Пол Эврич — американский историк, специалист по русской эмиграции и русскому анархизму — делает попытку объективно разобраться с событиями на острове Котлин.</t>
  </si>
  <si>
    <t>4850</t>
  </si>
  <si>
    <t>СМИРНОВ</t>
  </si>
  <si>
    <t>Восстановление и профилактика зрения</t>
  </si>
  <si>
    <t>5-9524-0976-8</t>
  </si>
  <si>
    <t>16104</t>
  </si>
  <si>
    <t>ЗДОРОВО</t>
  </si>
  <si>
    <t>Абрикосова Л.</t>
  </si>
  <si>
    <t>Восстановление после вирусных инфекций</t>
  </si>
  <si>
    <t>978-5-227-06011-2</t>
  </si>
  <si>
    <t>17000</t>
  </si>
  <si>
    <t>Проханов А.А</t>
  </si>
  <si>
    <t>Востоковед</t>
  </si>
  <si>
    <t>978-5-227-07029-6</t>
  </si>
  <si>
    <t>21250</t>
  </si>
  <si>
    <t>Виттфогель К.А.</t>
  </si>
  <si>
    <t>Восточный деспотизм. Сравнительное исследование тотальной власти</t>
  </si>
  <si>
    <t>978-5-9524-5763-8</t>
  </si>
  <si>
    <t>К.А. Виттфогель, выдающийся ученый-синолог, в своей книге рассматривает системы, власти характерные для восточных деспотий и других государств, в которых применялись азиатские способы производства. Анализируя методы ведения сельского хозяйства в Китае, на Ближнем Востоке, в России, империях майя и инков, автор указывает на особое значение ирригации, осуществление которой невозможно без привлечения большого количества людей для возведения гидравлических сооружений — каналов, плотин, водохранилищ и пр. Виттфогель называет такие общественные системы «гидравлическими империями» и, сравнивая их с современными ему социалистическими государствами, делает вывод, что коммунистический тоталитаризм является наиболее деспотичным и пагубным для развития общества способом правления.</t>
  </si>
  <si>
    <t>15817</t>
  </si>
  <si>
    <t>Восточный фронт</t>
  </si>
  <si>
    <t>978-5-227-05814-0</t>
  </si>
  <si>
    <t>21087</t>
  </si>
  <si>
    <t>Восточный фронт адмирала Колчака</t>
  </si>
  <si>
    <t>978-5-227-10080-1</t>
  </si>
  <si>
    <t>Книга представляет собой девятнадцатый том серии, посвященной Белому движению в России, и описывает боевые действия армий Верховного правителя России адмирала А.В. Колчака на Востоке России с осени 1918-го по ноябрь 1919 года, то есть от вступления Колчака в должность Верховного правителя России до начала Великого Сибирского Ледяного похода._x000D_
Среди авторов этого тома — генералы П.П. Петров и К.В. Сахаров, в воспоминаниях которых наряду с описанием боевых операций дается анализ политических и революционных ситуаций того времени и анализ причин поражения Белого Дела._x000D_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</si>
  <si>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2824</t>
  </si>
  <si>
    <t>Локхард Дж.</t>
  </si>
  <si>
    <t>Восход черного солнца</t>
  </si>
  <si>
    <t>5-227-01470-1</t>
  </si>
  <si>
    <t>7176</t>
  </si>
  <si>
    <t>Вперед к успеху</t>
  </si>
  <si>
    <t>5-9524-2195-4</t>
  </si>
  <si>
    <t>19171</t>
  </si>
  <si>
    <t>Некрасов А.</t>
  </si>
  <si>
    <t>Вперед, русичи!</t>
  </si>
  <si>
    <t>978-5-227-09099-7</t>
  </si>
  <si>
    <t>18152</t>
  </si>
  <si>
    <t>Васина Т.</t>
  </si>
  <si>
    <t>ВПК СССР</t>
  </si>
  <si>
    <t>978-5-227-07822-3</t>
  </si>
  <si>
    <t>3505</t>
  </si>
  <si>
    <t>АЭ</t>
  </si>
  <si>
    <t>Берджесс Э.</t>
  </si>
  <si>
    <t>Враг под покрывалом</t>
  </si>
  <si>
    <t>5-9524-0057-4</t>
  </si>
  <si>
    <t>18940</t>
  </si>
  <si>
    <t>Враги у свадебной арки</t>
  </si>
  <si>
    <t>978-5-227-08797-3</t>
  </si>
  <si>
    <t>18423</t>
  </si>
  <si>
    <t>Врачи двора Его Императорского величества или Как лечили царскую семью</t>
  </si>
  <si>
    <t>978-5-227-07530-7</t>
  </si>
  <si>
    <t>Доктор исторических наук, профессор Игорь Викторович Зимин представляет очередную книгу из серии «Повседневная жизнь Российского императорского двора». Стремясь к всесторонности в своем исследовании, автор пытается осмыслить не только чисто врачебные аспекты, но и связь состояния здоровья монархов с историческим процессом. В части медицины Игорь Зимин привлек в качестве экспертов ведущих специалистов, поэтому перед читателями предстанет не просто житейское описание хворей и их пользования, но и взвешенная оценка того или иного случая с точки зрения современной науки. Структура книги отличается от структуры предыдущих книг серии. Она построена в форме вопросов и ответов. Вопросы предлагали автору студенты, историки, врачи, читатели. А уж ответы Игорь Зимин постарался дать как можно более исчерпывающими, не избегая ни неудобных вопросов, ни подчас щекотливых тем. Подобных исследований в нашей исторической литературе еще не встречалось.</t>
  </si>
  <si>
    <t>17900</t>
  </si>
  <si>
    <t>Вращая колесо Сансары</t>
  </si>
  <si>
    <t>978-5-227-08014-1</t>
  </si>
  <si>
    <t>16157</t>
  </si>
  <si>
    <t>Харрис Л.Р.</t>
  </si>
  <si>
    <t>Временная жена</t>
  </si>
  <si>
    <t>978-5-227-06113-3</t>
  </si>
  <si>
    <t>21373</t>
  </si>
  <si>
    <t>Набоков В.Д.</t>
  </si>
  <si>
    <t>Временное правительство</t>
  </si>
  <si>
    <t>978-5-227-10861-6</t>
  </si>
  <si>
    <t>Воспоминания известного политика, лидера Конституционно-демократической партии (партии Народной свободы) Владимира Дмитриевича Набокова о событиях 1917 года в Петрограде: Февральской и Октябрьской революциях, деятельности Временного правительства и Петроградского Совета рабочих и солдатских депутатов, людях и исторических фактах…_x000D_
В.Д. Набоков начал работу над мемуарами в 1918 году, когда все было еще живо в памяти, полагая, что его свидетельство — очевидца и участника происходящего — будет интересно грядущим поколениям. И оказался прав — книга его воспоминаний представляет несомненный интерес для каждого, кто хочет знать историю своего Отечества.</t>
  </si>
  <si>
    <t>19496</t>
  </si>
  <si>
    <t>Карташов Г.</t>
  </si>
  <si>
    <t>Время - словно капля янтаря</t>
  </si>
  <si>
    <t>978-5-227-09360-8</t>
  </si>
  <si>
    <t>14198</t>
  </si>
  <si>
    <t>Царегородцев Б.</t>
  </si>
  <si>
    <t>Время больших побед</t>
  </si>
  <si>
    <t>978-5-227-04301-6</t>
  </si>
  <si>
    <t>15935</t>
  </si>
  <si>
    <t>Время быть собой</t>
  </si>
  <si>
    <t>978-5-227-05855-3</t>
  </si>
  <si>
    <t>17994</t>
  </si>
  <si>
    <t>Юрченко С.</t>
  </si>
  <si>
    <t>Время для инженера Времени</t>
  </si>
  <si>
    <t>978-5-227-08105-6</t>
  </si>
  <si>
    <t>14933</t>
  </si>
  <si>
    <t>Морган С.</t>
  </si>
  <si>
    <t>Время для откровений</t>
  </si>
  <si>
    <t>978-5-227-04874-5</t>
  </si>
  <si>
    <t>17461</t>
  </si>
  <si>
    <t>Время не властно</t>
  </si>
  <si>
    <t>978-5-227-07219-1</t>
  </si>
  <si>
    <t>12809</t>
  </si>
  <si>
    <t>978-5-227-02951-5</t>
  </si>
  <si>
    <t>13012</t>
  </si>
  <si>
    <t>15128</t>
  </si>
  <si>
    <t>978-5-227-05208-7</t>
  </si>
  <si>
    <t>19927</t>
  </si>
  <si>
    <t>Время смелых желаний</t>
  </si>
  <si>
    <t>978-5-227-09504-6</t>
  </si>
  <si>
    <t>19137</t>
  </si>
  <si>
    <t>Время смерти</t>
  </si>
  <si>
    <t>978-5-227-08931-1</t>
  </si>
  <si>
    <t>8859</t>
  </si>
  <si>
    <t>АНТИКАРМА</t>
  </si>
  <si>
    <t>Босюк</t>
  </si>
  <si>
    <t>Всадник без головы или кто управляет вашим телом</t>
  </si>
  <si>
    <t>978-5-9524-3119-5</t>
  </si>
  <si>
    <t>2385</t>
  </si>
  <si>
    <t>М ЛВ</t>
  </si>
  <si>
    <t>Ламур Л.</t>
  </si>
  <si>
    <t>Всадники высоких скал</t>
  </si>
  <si>
    <t>5-227-01090-0</t>
  </si>
  <si>
    <t>6786</t>
  </si>
  <si>
    <t>ЖД+</t>
  </si>
  <si>
    <t>Михалева А.</t>
  </si>
  <si>
    <t>Все блондинки любят бриллианты</t>
  </si>
  <si>
    <t>978-5-9524-3091-4</t>
  </si>
  <si>
    <t>8793</t>
  </si>
  <si>
    <t>МЖ+</t>
  </si>
  <si>
    <t>Ульянина И.</t>
  </si>
  <si>
    <t>Все девушки - артистки</t>
  </si>
  <si>
    <t>978-5-9524-3060-0</t>
  </si>
  <si>
    <t>10326</t>
  </si>
  <si>
    <t>М МЖ+</t>
  </si>
  <si>
    <t>Все девушки любят богатых</t>
  </si>
  <si>
    <t>978-5-9524-3499-8</t>
  </si>
  <si>
    <t>0127</t>
  </si>
  <si>
    <t>Все дело в деньгах</t>
  </si>
  <si>
    <t>978-5-227-06948-1</t>
  </si>
  <si>
    <t>16031</t>
  </si>
  <si>
    <t>Все зависит от тебя</t>
  </si>
  <si>
    <t>978-5-227-05950-5</t>
  </si>
  <si>
    <t>4737</t>
  </si>
  <si>
    <t>Все из бобов гороха и чечевицы</t>
  </si>
  <si>
    <t>5-9524-0923-7</t>
  </si>
  <si>
    <t>4889</t>
  </si>
  <si>
    <t>Все из огурцов</t>
  </si>
  <si>
    <t>5-9524-1070-7</t>
  </si>
  <si>
    <t>4620</t>
  </si>
  <si>
    <t>Все из почек</t>
  </si>
  <si>
    <t>5-9524-0860-5</t>
  </si>
  <si>
    <t>4722</t>
  </si>
  <si>
    <t>Все из трески</t>
  </si>
  <si>
    <t>5-9524-0504-5</t>
  </si>
  <si>
    <t>4735</t>
  </si>
  <si>
    <t>Все из фасоли</t>
  </si>
  <si>
    <t>5-9524-0942-3</t>
  </si>
  <si>
    <t>5653</t>
  </si>
  <si>
    <t>Малькольм</t>
  </si>
  <si>
    <t>Все или ничего</t>
  </si>
  <si>
    <t>5-9524-1628-4</t>
  </si>
  <si>
    <t>16577</t>
  </si>
  <si>
    <t>Все как в сказке</t>
  </si>
  <si>
    <t>978-5-227-06491-2</t>
  </si>
  <si>
    <t>19005</t>
  </si>
  <si>
    <t>Все началось во Флоренции</t>
  </si>
  <si>
    <t>978-5-227-08884-0</t>
  </si>
  <si>
    <t>16622</t>
  </si>
  <si>
    <t>Все началось у алтаря</t>
  </si>
  <si>
    <t>978-5-227-06529-2</t>
  </si>
  <si>
    <t>5330</t>
  </si>
  <si>
    <t>Теплов</t>
  </si>
  <si>
    <t>Все о женских половых инфекциях</t>
  </si>
  <si>
    <t>5-9524-1403-6</t>
  </si>
  <si>
    <t>1629</t>
  </si>
  <si>
    <t>О Нил</t>
  </si>
  <si>
    <t>Все об аджилити</t>
  </si>
  <si>
    <t>5-227-00447-1</t>
  </si>
  <si>
    <t>14914</t>
  </si>
  <si>
    <t>Мори Т.</t>
  </si>
  <si>
    <t>Все очень просто</t>
  </si>
  <si>
    <t>978-5-227-04871-4</t>
  </si>
  <si>
    <t>18638</t>
  </si>
  <si>
    <t>Все преграды позади</t>
  </si>
  <si>
    <t>978-5-227-08513-9</t>
  </si>
  <si>
    <t>17642</t>
  </si>
  <si>
    <t>Все равно будешь моей</t>
  </si>
  <si>
    <t>978-5-227-07686-1</t>
  </si>
  <si>
    <t>18062</t>
  </si>
  <si>
    <t>Все равно будешь моим</t>
  </si>
  <si>
    <t>978-5-227-08089-9</t>
  </si>
  <si>
    <t>16847</t>
  </si>
  <si>
    <t>Все ради одной ночи</t>
  </si>
  <si>
    <t>978-5-227-06794-4</t>
  </si>
  <si>
    <t>21616</t>
  </si>
  <si>
    <t>Все способы справиться с пьянством. Живи трезво!</t>
  </si>
  <si>
    <t>978-5-227-11012-1</t>
  </si>
  <si>
    <t>Ни один праздник не обходится без добрых тостов и звона бокалов… Но и по сей день не утихают споры на тему: алкоголь — это хорошо или плохо? Культура пития — это умение употреблять спиртное без нанесения ущерба своему здоровью, социальному и материальному статусу. Но часто случается, что человек теряет контроль, и употребление алкоголя из весёлого и расслабляющего действа переходит в зависимость. Когда тяга к выпивке управляет человеком, им уже должна заниматься медицина. А если человек управляет своим желанием выпить, но порой переступает за критическую черту, из-за чего потом корит себя, — тут есть что попытаться изменить к лучшему._x000D_
Мы не будем читать морали и призывать вас совсем отказаться от алкоголя, но если вы переусердствовали с приёмом горячительного и плохо чувствуете себя наутро или, не дай бог, оказались зависимы от алкоголя и желаете избавиться от этого, советы и рецепты, приведённые в книге, помогут снять похмельный синдром, очистить организм от продуктов распада алкоголя и вернуться к здоровой жизни. В помощь вам лечебная физкультура, народные методы, психотерапия, фитотерапия и помощь близких.</t>
  </si>
  <si>
    <t>0156</t>
  </si>
  <si>
    <t>Все тузы у меня</t>
  </si>
  <si>
    <t>978-5-227-06949-8</t>
  </si>
  <si>
    <t>8665</t>
  </si>
  <si>
    <t>Все турки любят русских девушек</t>
  </si>
  <si>
    <t>978-5-9524-2924-6</t>
  </si>
  <si>
    <t>17764</t>
  </si>
  <si>
    <t>Все, о чем мечтала</t>
  </si>
  <si>
    <t>978-5-227-07724-0</t>
  </si>
  <si>
    <t>20555</t>
  </si>
  <si>
    <t>Все, что нужно знать о сахарном диабете. Незаменимая книга для диабетика</t>
  </si>
  <si>
    <t>978-5-227-09720-0</t>
  </si>
  <si>
    <t>Сахарный диабет называют бичом нашего времени. Его распространение не знает границ, во всем мире им болеют более 430 миллионов человек… Но! Диагноз «сахарный диабет» — не повод для паники и уж тем более не приговор. При соблюдении определенных правил ваша жизнь может быть долгой и насыщенной. Как сделать ее такой, расскажет наша книга. Из нее вы получите все необходимые для диабетика сведения: что такое диабет и каковы основные принципы его лечения; какие бывают диабетические осложнения и их профилактика; все о диете и разгрузочных днях; получите рецепты вкусных и полезных блюд; узнаете, какие необходимо сдавать анализы и как грамотно их прочитать, какие физические нагрузки помогут в лечении диабета и то, что фитотерапия стоит на страже вашего здоровья..._x000D_
Книга незаменима и полезна для всех, кто страдает диабетом, а также тем, чьи родные и близкие не понаслышке знакомы с этим заболеванием.</t>
  </si>
  <si>
    <t>12863</t>
  </si>
  <si>
    <t>Все, что нужно знать о своих анализах. Самостоятельная диагностика и контроль за состоянием здоровья</t>
  </si>
  <si>
    <t>978-5-227-02483-1</t>
  </si>
  <si>
    <t>14879</t>
  </si>
  <si>
    <t>978-5-227-04837-0</t>
  </si>
  <si>
    <t>12397</t>
  </si>
  <si>
    <t>Малахова Г.И.</t>
  </si>
  <si>
    <t>Все, что нужно знать о холестерине и атеросклерозе</t>
  </si>
  <si>
    <t>978-5-227-02577-7</t>
  </si>
  <si>
    <t>20342</t>
  </si>
  <si>
    <t>Симонова Д.В</t>
  </si>
  <si>
    <t>Все, что получает победитель</t>
  </si>
  <si>
    <t>978-5-227-10028-3</t>
  </si>
  <si>
    <t>16560</t>
  </si>
  <si>
    <t>Масленков И.В.</t>
  </si>
  <si>
    <t>Всевидящее око</t>
  </si>
  <si>
    <t>978-5-227-06520-9</t>
  </si>
  <si>
    <t>19015</t>
  </si>
  <si>
    <t>Всегда быть рядом</t>
  </si>
  <si>
    <t>978-5-227-08916-8</t>
  </si>
  <si>
    <t>18462</t>
  </si>
  <si>
    <t>Всегда быть твоей</t>
  </si>
  <si>
    <t>978-5-227-08389-0</t>
  </si>
  <si>
    <t>15562</t>
  </si>
  <si>
    <t>Всегда говори "Да!"</t>
  </si>
  <si>
    <t>978-5-227-05610-8</t>
  </si>
  <si>
    <t>19320</t>
  </si>
  <si>
    <t>Всегда получать свое</t>
  </si>
  <si>
    <t>978-5-227-09055-3</t>
  </si>
  <si>
    <t>15277</t>
  </si>
  <si>
    <t>Всего лишь поцелуй</t>
  </si>
  <si>
    <t>978-5-227-05272-8</t>
  </si>
  <si>
    <t>20894</t>
  </si>
  <si>
    <t>Всего неделя на страсть</t>
  </si>
  <si>
    <t>978-5-227-10375-8</t>
  </si>
  <si>
    <t>Нико и Грейс давно работают вместе. Казалось бы, люди, которые видят друг друга каждый день, должны быть близки, но все не так просто. Для их отношений есть множество препятствий. Но внезапно у Нико умирает дядя, и они с Грейс отправляются на остров, чтобы решить некоторые проблемы. Вот только эта поездка для каждого закончится по-разному…</t>
  </si>
  <si>
    <t>18139</t>
  </si>
  <si>
    <t>Всего один поцелуй</t>
  </si>
  <si>
    <t>978-5-227-08128-5</t>
  </si>
  <si>
    <t>20729</t>
  </si>
  <si>
    <t>СГ</t>
  </si>
  <si>
    <t>Грей И.</t>
  </si>
  <si>
    <t>Вселенная Таро. Полное руководство по чтению и толкованию карт в свете нумерологии, Каббалы и астрологии</t>
  </si>
  <si>
    <t>978-5-9524-5965-6</t>
  </si>
  <si>
    <t>Загадочная колода Таро на протяжении столетий была доступна лишь избранным, благодаря этой книге вы освоите искусство толкования Таро и соприкоснетесь с магией символов и чисел. В руководстве приведены подробные описания 78 карт колоды Уэйта и схемы раскладов для начинающих таромантов, а также рассмотрены соответствия между арканами, путями сефирот Древа Жизни и знаками зодиака. С помощью руководства вы научитесь читать карты, получите ответы на интересующие вас вопросы и освоите медитативные практики, позволяющие заглянуть в глубины бессознательного.</t>
  </si>
  <si>
    <t>17081</t>
  </si>
  <si>
    <t>Дональд Р.</t>
  </si>
  <si>
    <t>Всему виной любовь</t>
  </si>
  <si>
    <t>978-5-227-07070-8</t>
  </si>
  <si>
    <t>10268</t>
  </si>
  <si>
    <t>Быстрова И.</t>
  </si>
  <si>
    <t>Всему свое время</t>
  </si>
  <si>
    <t>978-5-9524-3395-3</t>
  </si>
  <si>
    <t>7457</t>
  </si>
  <si>
    <t>Н РИ+</t>
  </si>
  <si>
    <t>5-9524-2469-4</t>
  </si>
  <si>
    <t>21263</t>
  </si>
  <si>
    <t>Всё о гормонах, или Живём ГОРМОНично. Идеальный вес, желание жить, крепкий сон, здоровая красота, железные нервы, сексуальное влечение</t>
  </si>
  <si>
    <t>978-5-227-10163-1</t>
  </si>
  <si>
    <t>Что наша жизнь? Игра!.. Но не просто игра, а игра ГОРМОНОВ! Да, да! Миром правят невидимые и беззвучные биологические вещества, выделяемые эндокринной системой. С поломкой эндокринной системы в прямом смысле может поломаться вся жизнь человека. Вы скучны, тревожны и все считают вас занудой? Проверьте уровень гормонов, возможно, понижен дофамин. У вас тахикардия, дрожат руки, снизился вес? Проверьте уровень гормона стресса — кортизола. Хочется рвать и метать? Скорее всего, включился гормон агрессии — норадреналин. Отеки, набор веса и потеря сексуального желания? Вы не клуша, наверняка шалит тиреотропин! Замучила бессонница — проверяем мелатонин. Малыш растет медленно, и вы думаете, что он мелкий по природе? Не тяните, проверьте, пока не поздно, гормоны гипофиза… Узнайте из книги, как работают гормоны, вам обязательно пригодятся эти знания!</t>
  </si>
  <si>
    <t>19212</t>
  </si>
  <si>
    <t>Всё о коронавирусе. Природа и виды вирусов, распространение, профилактика</t>
  </si>
  <si>
    <t>978-5-227-09183-3</t>
  </si>
  <si>
    <t>12236</t>
  </si>
  <si>
    <t>ОП</t>
  </si>
  <si>
    <t>Всё о свадьбе.Как подготовить и сыграть незабываемую свадьбу</t>
  </si>
  <si>
    <t>978-5-227-02103-8</t>
  </si>
  <si>
    <t>20761</t>
  </si>
  <si>
    <t>Шейк Х.</t>
  </si>
  <si>
    <t>Вспомнить свою любовь</t>
  </si>
  <si>
    <t>978-5-227-10361-1</t>
  </si>
  <si>
    <t>Успешный бизнесмен Мансур Али вынужден срочно вернуться из Америки домой в Сомалиленд. Его преследуют воспоминания прошлого, которые он предпочел бы забыть. Но настоящее повергает его в шок. Подруга детства и первая любовь, которая разбила его сердце, нуждается в его помощи. После несчастного случая Амаль страдает амнезией. Она не помнит, что Мансур год назад сделал ей предложение и получил отказ. По просьбе матери скрепя сердце Мансур соглашается помочь Амаль пройти лечение в Аддис-Абебе. Он клянется не позволять своим чувствам к Амаль взять над ним верх. Однако вскоре понимает, что легче сказать, чем сделать. Молодые люди снова влюблены, но дадут ли они своим отношениям новый шанс? Сумеют ли преодолеть сомнения, или слишком много воды утекло, чтобы у них снова появилась надежда на совместное будущее?</t>
  </si>
  <si>
    <t>19882</t>
  </si>
  <si>
    <t>Вспышка забытых чувств</t>
  </si>
  <si>
    <t>978-5-227-09508-4</t>
  </si>
  <si>
    <t>16227</t>
  </si>
  <si>
    <t>Встретимся вновь</t>
  </si>
  <si>
    <t>978-5-227-06167-6</t>
  </si>
  <si>
    <t>18954</t>
  </si>
  <si>
    <t>Батиджелли Р.</t>
  </si>
  <si>
    <t>Встретимся на берегу залива</t>
  </si>
  <si>
    <t>978-5-227-08792-8</t>
  </si>
  <si>
    <t>16647</t>
  </si>
  <si>
    <t>Крауч Д.</t>
  </si>
  <si>
    <t>Встретимся на пристани</t>
  </si>
  <si>
    <t>978-5-227-06711-1</t>
  </si>
  <si>
    <t>18583</t>
  </si>
  <si>
    <t>Грэхем Л.</t>
  </si>
  <si>
    <t>Встретимся под свадебной аркой</t>
  </si>
  <si>
    <t>978-5-227-08506-1</t>
  </si>
  <si>
    <t>14618</t>
  </si>
  <si>
    <t>Оливер Энн</t>
  </si>
  <si>
    <t>Встреча с бывшим</t>
  </si>
  <si>
    <t>978-5-227-04632-1</t>
  </si>
  <si>
    <t>21713</t>
  </si>
  <si>
    <t>Примаков Е.М.</t>
  </si>
  <si>
    <t>Встречи на перекрестках</t>
  </si>
  <si>
    <t>978-5-227-07935-0</t>
  </si>
  <si>
    <t>Евгений Примаков по роду своей деятельности был одним из самых секретных людей страны. Он начинал как журналист, был директором Института мировой экономики и международных отношений, который во времена СССР готовил закрытые доклады для руководства страны. На переломе эпохи от тоталитаризма к демократии был «брошен» М. Горбачевым и Б. Ельциным на Службу внешней разведки, а после — в Министерство иностранных дел. На должности премьер-министра был призван спасти страну после дефолта 1998 года. Все изложенное в этой книге Примаков пропустил через призму личного восприятия, заранее зная и не опасаясь того, что не все сказанное будет принято читателями.</t>
  </si>
  <si>
    <t>20789</t>
  </si>
  <si>
    <t>С/С ЗАДОРНОВ</t>
  </si>
  <si>
    <t>Вся правда о любви. Собрание сочинений.Том 7</t>
  </si>
  <si>
    <t>978-5-227-10420-5</t>
  </si>
  <si>
    <t>Михаил Задорнов — всеми горячо любимый писатель-сатирик, драматург и эссеист. Замечательный, остроумный, невероятно образованный и очень увлечённый родной историей человек. Его устное творчество знает вся наша огромная страна и жители зарубежья, его книги мгновенно разлетаются с прилавков, а многие выражения ушли в народ и стали крылатыми._x000D_
Впервые читателям предоставляется уникальная возможность приобрести собрание сочинений этого удивительного человека. В седьмой том вошли пьесы, повести, а также афоризмы, наблюдения и забавные изречения.</t>
  </si>
  <si>
    <t>15936</t>
  </si>
  <si>
    <t>Вся правда о нас</t>
  </si>
  <si>
    <t>978-5-227-05856-0</t>
  </si>
  <si>
    <t>18063</t>
  </si>
  <si>
    <t>Портер Д.</t>
  </si>
  <si>
    <t>Вся правда о ней</t>
  </si>
  <si>
    <t>978-5-227-08090-5</t>
  </si>
  <si>
    <t>17641</t>
  </si>
  <si>
    <t>Вторая брачная ночь</t>
  </si>
  <si>
    <t>978-5-227-07639-7</t>
  </si>
  <si>
    <t>20518</t>
  </si>
  <si>
    <t>Хорсман Р.</t>
  </si>
  <si>
    <t>Вторая война за независимость США. Соединенные Штаты против Британской империи: сражения на суше и на море</t>
  </si>
  <si>
    <t>978-5-9524-5833-8</t>
  </si>
  <si>
    <t>Настоящее издание посвящено вооруженному конфликту в Северной Америке 1812—1815 гг., получившему название Вторая война за независимость. В книге исследуются причины напряженности отношений между этими двумя странами в эпоху Наполеоновских войн, в которой Британия выступила на стороне индейских племен, боровшихся против колониального поселения на северо-западе континента, рассказывается о столкновениях как на суше, так и на море, о том, как регулярные войска и колониальная милиция давили нападения американцев на Северную Канаду, описываются и сожжение Вашингтона, и война на Юге, и блокада морской торговли США…</t>
  </si>
  <si>
    <t>20025</t>
  </si>
  <si>
    <t>Вторая Государственная дума. Политическая конфронтация с властью. 20 февраля — 2 июня 1907 г.</t>
  </si>
  <si>
    <t>978-5-9524-5663-1</t>
  </si>
  <si>
    <t>16023</t>
  </si>
  <si>
    <t>Горбонос С.А.</t>
  </si>
  <si>
    <t>Вторая жизнь</t>
  </si>
  <si>
    <t>978-5-227-05967-3</t>
  </si>
  <si>
    <t>12656</t>
  </si>
  <si>
    <t>ОИ ИМВ</t>
  </si>
  <si>
    <t>Адмирал Маршалль,подполковник Греффра</t>
  </si>
  <si>
    <t>Вторая мировая война на море и в воздухе.Причины поражения военно-морских и воздушных сил  Германии</t>
  </si>
  <si>
    <t>978-5-227-02808-2</t>
  </si>
  <si>
    <t>12690</t>
  </si>
  <si>
    <t>Генерал майор Дитмар, полковник Эгельгаф</t>
  </si>
  <si>
    <t>Вторая мировая война на суше.</t>
  </si>
  <si>
    <t>978-5-227-02807-5</t>
  </si>
  <si>
    <t>11347</t>
  </si>
  <si>
    <t>МЛЕЧИН</t>
  </si>
  <si>
    <t>Вторая мировая Случайная война</t>
  </si>
  <si>
    <t>978-5-9524-4490-4</t>
  </si>
  <si>
    <t>20337</t>
  </si>
  <si>
    <t>Вторая половинка</t>
  </si>
  <si>
    <t>978-5-227-09932-7</t>
  </si>
  <si>
    <t>18298</t>
  </si>
  <si>
    <t>Второго шанса не будет</t>
  </si>
  <si>
    <t>978-5-227-08245-9</t>
  </si>
  <si>
    <t>20162</t>
  </si>
  <si>
    <t>Второе дыхание любви</t>
  </si>
  <si>
    <t>978-5-227-09830-6</t>
  </si>
  <si>
    <t>20733</t>
  </si>
  <si>
    <t>Второй кубанский поход и освобождение Северного Кавказа</t>
  </si>
  <si>
    <t>978-5-227-10002-3</t>
  </si>
  <si>
    <t>Книга «Второй кубанский поход и освобождение Северного Кавказа» представляет собой шестой том из серии, посвященной Белому движению в России, и знакомит читателя с боями Добровольческой армии во второй половине 1918 года по воспоминаниям участников этих боев._x000D_
В книге впервые с такой полнотой представлены свидетельства не только руководителей антикоммунистической борьбы, но и ее рядовых участников, позволяющие наглядно представить обстановку и атмосферу того времени, психологию и духовный облик первых добровольцев. За небольшим исключением помещенные в томе материалы в России никогда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</si>
  <si>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12796</t>
  </si>
  <si>
    <t>Шах Эдди</t>
  </si>
  <si>
    <t>Второй мир</t>
  </si>
  <si>
    <t>978-5-227-02851-8</t>
  </si>
  <si>
    <t>2044 год. «Изумрудный город» — это не сказка, а параллельный мир, в котором возможно все. Стоит только войти в Виртуал, и самые безумные фантазии становятся реальностью. Где-то там, в дебрях виртуального ¬Второго мира, оказался надежно упрятан президент США Тедди Диксон. В ¬качестве выкупа похититель потребовал невозможное — стереть Инфокалипсис, базу данных с информацией о каждом человеке, которая счи¬талась до сих пор не более чем вымыслом. Спецслужбы подключили к поискам президента Конора Смита, Мастера игры, «техно-хиппи», одного из создателей Второго мира. Но возможности Конора не безграничны, если ему не удастся завершить операцию по спасению Диксона в течение двенадцати часов, тот уже никогда не вернется в Реал.</t>
  </si>
  <si>
    <t>21440</t>
  </si>
  <si>
    <t>Второй фронт. Антигитлеровская коалиция: конфликт интересов</t>
  </si>
  <si>
    <t>978-5-227-10773-2</t>
  </si>
  <si>
    <t>Известный политолог и дипломат Валентин Фалин, опираясь на малоизвестные документы военных архивов и воспоминания крупных европейских политиков, анализирует исторические события, повлекшие за собой величайшее трагическое событие XX века — Вторую мировую войну. Чья политическая воля стояла за крупнейшими сражениями, как складывались отношения между союзниками и как повлияло на исход войны открытие второго фронта? Валентин Фалин высказывает свою точку зрения по этим вопросам, и его мнение, как всегда, компетентно и оригинально.</t>
  </si>
  <si>
    <t>20297</t>
  </si>
  <si>
    <t>Сэндс Ч.</t>
  </si>
  <si>
    <t>Второй шанс для плейбоя</t>
  </si>
  <si>
    <t>978-5-227-09928-0</t>
  </si>
  <si>
    <t>18344</t>
  </si>
  <si>
    <t>Второй шанс на любовь</t>
  </si>
  <si>
    <t>978-5-227-08341-8</t>
  </si>
  <si>
    <t>18988</t>
  </si>
  <si>
    <t>Второй шанс на счастье</t>
  </si>
  <si>
    <t>978-5-227-08839-0</t>
  </si>
  <si>
    <t>17712</t>
  </si>
  <si>
    <t>Уайтфезер Ш.</t>
  </si>
  <si>
    <t>Вулкан страсти</t>
  </si>
  <si>
    <t>978-5-227-07711-0</t>
  </si>
  <si>
    <t>5833</t>
  </si>
  <si>
    <t>Выбирай любимый цвет</t>
  </si>
  <si>
    <t>5-9524-1426-5</t>
  </si>
  <si>
    <t>10,5х10,5</t>
  </si>
  <si>
    <t>16402</t>
  </si>
  <si>
    <t>Выбор ее сердца</t>
  </si>
  <si>
    <t>978-5-227-06365-6</t>
  </si>
  <si>
    <t>19637</t>
  </si>
  <si>
    <t>Мартильи К.</t>
  </si>
  <si>
    <t>Выбор Зигмунда</t>
  </si>
  <si>
    <t>978-5-227-09383-7</t>
  </si>
  <si>
    <t>18952</t>
  </si>
  <si>
    <t>978-5-227-08824-6</t>
  </si>
  <si>
    <t>0115</t>
  </si>
  <si>
    <t>Выбор пал на меня</t>
  </si>
  <si>
    <t>978-5-227-06950-4</t>
  </si>
  <si>
    <t>19112</t>
  </si>
  <si>
    <t>Либих А.</t>
  </si>
  <si>
    <t>Выжить в лесу Междумирья</t>
  </si>
  <si>
    <t>978-5-227-09071-3</t>
  </si>
  <si>
    <t>20836</t>
  </si>
  <si>
    <t>Скейя О.</t>
  </si>
  <si>
    <t>Выжить любой ценой. Немецкий пехотинец на Восточном фронте. 1941-1945</t>
  </si>
  <si>
    <t>978-5-227-09745-3</t>
  </si>
  <si>
    <t>Немецкий пехотинец описывает путь, пройденный им по дорогам войны с момента переправы войск вермахта через Западный Буг из Польши на территорию России в 1941 г. Автор подробно рассказывает о тяжелых боях под Киевом, Харьковом, Днепропетровском, о том, как, отступая, части немецких войск сжигали мосты, города и деревни. В октябре 1943 г. советские солдаты захватили Скейю в плен. Он совершил побег, и с этого дня начались его скитания в тылу советских войск. Однако ум, хорошее образование, хитрость и находчивость немецкого пехотинца помогли ему не только выжить, но даже вызвать доверие руководства лагеря, когда он снова попал в плен. Много лет спустя после войны дневник Оскара Скейи попал в руки его родственника, Дана Чиарелло, который обработал и подготовил текст к публикации.</t>
  </si>
  <si>
    <t>7619</t>
  </si>
  <si>
    <t>МФЭ</t>
  </si>
  <si>
    <t>Константинов В.</t>
  </si>
  <si>
    <t>Вызов смерти</t>
  </si>
  <si>
    <t>5-9524-2561-5</t>
  </si>
  <si>
    <t>16292</t>
  </si>
  <si>
    <t>Джеймс Д.</t>
  </si>
  <si>
    <t>Выйти замуж и влюбиться</t>
  </si>
  <si>
    <t>978-5-227-06190-4</t>
  </si>
  <si>
    <t>21257</t>
  </si>
  <si>
    <t>НОпоВИ</t>
  </si>
  <si>
    <t>Иванов В.В.</t>
  </si>
  <si>
    <t>Вьетнамский Сталинград: сражение за Дьенбьенфу. Малоизвестные страницы войны в Индокитае. 1953—1954</t>
  </si>
  <si>
    <t>978-5-227-10783-1</t>
  </si>
  <si>
    <t>Книга кандидата исторических наук В.В. Иванова посвящена анализу основных этапов и результатов одного из самых масштабных сражений колониальной войны Франции в Индокитае 1946—1954 гг. — битвы за Дьенбьенфу, завершению которой исполнилось 70 лет. Автор рассмотрел процесс подготовки войск французского экспедиционного корпуса и Вьетнамской народной армии к сражению за контроль над Северо-Западным Вьетнамом и Верхним Лаосом. Основное содержание работы посвящено характеристике хода противостояния колониальным войскам в течение зимы 1953/54 г., этапам сражения за Дьенбьенфу (март—май 1954 г.), его результатам. Автор уделил внимание анализу различных аспектов комплектования, боевой и политической подготовки личного состава и материально-технического обеспечения Вьетнамской народной армии. Кроме того, в книге отдельно представлен всесторонний анализ ряда аспектов участия формирований Иностранного легиона Франции в сражении за Дьенбьенфу. Особое внимание автором уделено международным вопросам рассматриваемого периода. В первую очередь это относится к политике США и Великобритании во Вьетнаме в начале 1950-х гг., сотрудничеству ДРВ и КНР, а также влиянию сражения за Дьенбьенфу на процесс завершения колониальной войны в Индокитае.</t>
  </si>
  <si>
    <t>21464</t>
  </si>
  <si>
    <t>Тейлор А.Д.</t>
  </si>
  <si>
    <t>Габсбургская монархия. История Австрийской империи, Германского союза и Австро-Венгрии. 1809—1918</t>
  </si>
  <si>
    <t>978-5-9524-6249-6</t>
  </si>
  <si>
    <t>Книга британского историка Алана Дж. Тейлора — это всеобъемлющее исследование последнего столетия монархии Габсбургов от Наполеоновских войн до Первой мировой войны, позволяющее лучше понять исторические процессы, протекавшие не только в «землях Дунайской долины», но и в Европе в целом. Автор исследует уникальный характер государства, которое представляло собой совокупность наследственных владений Дома Габсбургов, населенных народами разных языков и вероисповеданий, описывает его политическое устройство и этнографическую структуру. Сосредоточив внимание на крупных исторических фигурах и событиях, Тейлор прослеживает процесс объединения империи после проведения Венского конгресса, радикальные преобразования 1848 года, имперский кризис, вызванный поражением в Австро-прусской войне, а также подъем венгерского национального движения и неминуемый распад империи в 1918 году.</t>
  </si>
  <si>
    <t>17187</t>
  </si>
  <si>
    <t>СЕНСАЦИЯ</t>
  </si>
  <si>
    <t>Фримантл Э</t>
  </si>
  <si>
    <t>Гамбит Королевы</t>
  </si>
  <si>
    <t>978-5-227-07281-8</t>
  </si>
  <si>
    <t>21471</t>
  </si>
  <si>
    <t>Доллинигер Ф.</t>
  </si>
  <si>
    <t>Ганзейский союз. Торговая империя Средневековья от Лондона и Брюгге до Пскова и Новгорода</t>
  </si>
  <si>
    <t>978-5-9524-6337-0</t>
  </si>
  <si>
    <t>Ганза – или Ганзейский союз купечества торговых городов на севере Германии – уникальное явление европейской жизни XII—XVII вв. Ганзейские купцы снабжали Запад русскими мехами и воском, польской пшеницей, венгерской и шведской медью. На Восток они возили фламандское, голландское и английское сукно, французские и португальские соль и вина. Во многом благодаря им Скандинавия и Восточная Европа познакомились с западной литературой, готической архитектурой и живописью эпохи Возрождения. В течение 500 лет Ганза способствовала налаживанию экономических, политических, общественных и культурных связей между Западной и Восточной Европой._x000D_
Об этом  подробно, на основе многочисленных оригинальных документов, рассказывает в своей книге историк, профессор Страсбургского университета Филипп Доллингер.</t>
  </si>
  <si>
    <t>21622</t>
  </si>
  <si>
    <t>Габриэль Р.</t>
  </si>
  <si>
    <t>Ганнибал. Военная биография величайшего врага Рима</t>
  </si>
  <si>
    <t>978-5-9524-6395-0</t>
  </si>
  <si>
    <t>Ричард А. Габриэль — известный военный историк — посвятил свое исследование Ганнибалу (247—183 гг. до н. э.) — великому полководцу Античности._x000D_
На основе сведений, почерпнутых из римских источников, автор воссоздает историю становления характера великого полководца, превосходного стратега, тактика и самого сильного врага Рима. Автор дает подробное описание структуры и особенностей армии Ганнибала, анализирует ход его сражений, победы и поражения._x000D_
Книга снабжена картами, хронологической таблицей и подробными примечаниями.</t>
  </si>
  <si>
    <t>21122</t>
  </si>
  <si>
    <t>Ганнибал. Один против Рима</t>
  </si>
  <si>
    <t>978-5-9524-6135-2</t>
  </si>
  <si>
    <t>Эта книга — оригинальное беллетризованное жизнеописание величайшего полководца всех времен, легендарного предводителя карфагенской армии Ганнибала, чье имя приводило в трепет самых неустрашимых врагов, а великие деяния навсегда остались в анналах мировой истории.</t>
  </si>
  <si>
    <t>21447</t>
  </si>
  <si>
    <t>Пензер Н.</t>
  </si>
  <si>
    <t>Гарем. История, традиции, тайны</t>
  </si>
  <si>
    <t>978-5-9524-6330-1</t>
  </si>
  <si>
    <t>Сложный этикет, жесткие, почти монастырские правила гарема и полная изоляция от внешнего мира порождали множество далеких от реальности слухов. Автор увлекательно повествует о том, что в действительности происходило за высокими стенами Сераля, рассказывает об иерархии султанских наложниц, жен и евнухов, призванных наблюдать за ними.</t>
  </si>
  <si>
    <t>13438</t>
  </si>
  <si>
    <t>Гатчина. От прошлого к настоящему. История города и его жителей.</t>
  </si>
  <si>
    <t>978-5-227-03390-1</t>
  </si>
  <si>
    <t>21671</t>
  </si>
  <si>
    <t>Где зреют апельсины. Юмористическое описание путешествия супругов Николая Ивановича и Глафиры Семеновны Ивановых по Ривьере и Италии</t>
  </si>
  <si>
    <t>978-5-227-11075-6</t>
  </si>
  <si>
    <t>Глафира Семеновна и Николай Иванович Ивановы — уже бывалые путешественники. Не без приключений посетив парижскую выставку, они потянулись в Италию: «на папу римскую» посмотреть и на огнедышащую гору Везувий подняться (еще не зная, что по дороге их подстерегает казино в Монте-Карло!). На сей раз компанию им составил купец-фруктовщик Иван Кондратьевич, который вообще не понимает, что он за границей делает и где находится в данный момент. Но как всякий русский человек, если что и решит, то выпьет обязательно._x000D_
Путешественники с приключениями пересаживаются с поезда на поезд; едят не то, что хотят (боятся, что им подсунут лягушку или черепаху); зевая, осматривают окрестности и постоянно попадают в уморительно смешные ситуации из-за незнания языка и нежелания понимать нравы и обычаи Европы.</t>
  </si>
  <si>
    <t>17761</t>
  </si>
  <si>
    <t>Муравьев К.Н</t>
  </si>
  <si>
    <t>Где-то там...</t>
  </si>
  <si>
    <t>978-5-227-07348-8</t>
  </si>
  <si>
    <t>21448</t>
  </si>
  <si>
    <t>Бекер де Дж.</t>
  </si>
  <si>
    <t>Гейши. История, традиции, тайны</t>
  </si>
  <si>
    <t>978-5-227-10942-2</t>
  </si>
  <si>
    <t>Исследовательский труд Джозефа де Бекера повествует об истории квартала Ёсивара — места, где находились публичные дома старого Токио (Эдо). Автор знакомит с классификацией публичных домов, приводит медицинскую и юридическую статистику, детально описывает быт гейш._x000D_
Вы узнаете, что входило в обязанности гейш, сколько стоили их услуги, во что одевались японские куртизанки, какие прически они носили и многое, многое другое.</t>
  </si>
  <si>
    <t>7938</t>
  </si>
  <si>
    <t>СОФ</t>
  </si>
  <si>
    <t>Геморрой и все все все</t>
  </si>
  <si>
    <t>978-5-9524-2772-3</t>
  </si>
  <si>
    <t>14785</t>
  </si>
  <si>
    <t>Геморрой. Излечение без операции</t>
  </si>
  <si>
    <t>978-5-227-04534-8</t>
  </si>
  <si>
    <t>19449</t>
  </si>
  <si>
    <t>Бей Е.</t>
  </si>
  <si>
    <t>Генерал В.А. Сухомлинов. Военный министр эпохи Великой войны</t>
  </si>
  <si>
    <t>978-5-227-09301-1</t>
  </si>
  <si>
    <t>19962</t>
  </si>
  <si>
    <t>Кисин С.В</t>
  </si>
  <si>
    <t>Генерал Деникин. За Россию, Единую и Неделимую</t>
  </si>
  <si>
    <t>978-5-227-09698-2</t>
  </si>
  <si>
    <t>21530</t>
  </si>
  <si>
    <t>Погодин М.П.</t>
  </si>
  <si>
    <t>Генерал Ермолов. Сражения и победы легендарного солдата империи, героя Эйлау и Бородина и безжалостного покорителя Кавказа</t>
  </si>
  <si>
    <t>978-5-227-10998-9</t>
  </si>
  <si>
    <t>Алексей Петрович Ермолов — фигура в русской истории загадочная, противоречивая и тем не менее легендарная. С юности дерзкий и независимый, Ермолов раздражал высокопоставленных особ. Восстание в Польше, военные действия против французов в Италии, осада крепости Дербент, временная опала, участие в войне коалиций с Наполеоном, Отечественная война и, наконец, Кавказ. Ермолов начал с покорения Чечни и Горного Дагестана. Непокорные селения сжигались, сады вырубались, скот угонялся, покоренные народы приводились к присяге на верность российскому императору, облагались данью, у них брались заложники. Имя Алексея Ермолова стало нарицательным, им горцы пугали своих детей.</t>
  </si>
  <si>
    <t>17414</t>
  </si>
  <si>
    <t>Морозова О.М.</t>
  </si>
  <si>
    <t>Генерал Иван Георгиевич Эрдели. Страницы истории белого движения на Юге России</t>
  </si>
  <si>
    <t>978-5-227-07421-8</t>
  </si>
  <si>
    <t>21345</t>
  </si>
  <si>
    <t>Захарова О.Ю.</t>
  </si>
  <si>
    <t>Генерал-фельдмаршал светлейший князь Михаил Семенович Воронцов. Рыцарь Российской империи</t>
  </si>
  <si>
    <t>978-5-227-10826-5</t>
  </si>
  <si>
    <t>Книга О.Ю. Захаровой посвящена выдающемуся русскому военному и государственному деятелю, представителю одной из самых блистательных фамилий Российской империи светлейшему князю Михаилу Семеновичу Воронцову (1782—1856). Герой Отечественной войны 1812 года, участник практически всех войн, которые вела Россия в первой половине XIX века, генерал-фельдмаршал, он снискал себе не умирающую до сих пор славу не только на военном, но и на гражданском поприще. Практически три десятилетия он был генерал-губернатором и наместником, правителем и устроителем Юга России: Новороссии, Бессарабии, Кавказа. Под его правлением эти регионы получили мощное экономическое и культурное развитие, став подлинными жемчужинами Российского государства._x000D_
Прекрасно воспитанный и образованный, обладавший высокими нравственными качествами, Михаил Семенович Воронцов был истинным рыцарем и гордостью Российской империи. Вся его жизнь до сих пор может быть настоящим примером для подражания.</t>
  </si>
  <si>
    <t>15106</t>
  </si>
  <si>
    <t>Колганов В. А.</t>
  </si>
  <si>
    <t>Герман, или Божий человек</t>
  </si>
  <si>
    <t>978-5-227-05084-7</t>
  </si>
  <si>
    <t>20581</t>
  </si>
  <si>
    <t>Леверкюн П.</t>
  </si>
  <si>
    <t>Германская военная разведка. Шпионаж, диверсии, контрразведка. 1935—1944</t>
  </si>
  <si>
    <t>978-5-9524-5902-1</t>
  </si>
  <si>
    <t>Руководитель Стамбульского отделения абвера Пауль Леверкюн в своей книге подробно описал, чем, по сути, являлась эта организация, как была устроена и какие функции выполняла. Абвер, изначально предназначенный для борьбы с деятельностью иностранных разведслужб, постепенно расширялся, создавая отделы разведки за пределами Германии. Основываясь на рассказах и воспоминаниях сослуживцев, Леверкюн привел наиболее важные и характерные эпизоды работы абвера на территории Польши, СССР, Скандинавских государств и стран Ближнего и Среднего Востока: шпионаж, осуществление диверсий, добывание военно-политической информации. Не обошел автор вниманием и адмирала Канариса, под руководством которого абвер стал Главным разведывательным управлением вермахта.</t>
  </si>
  <si>
    <t>20357</t>
  </si>
  <si>
    <t>Гёрлиц Вальтер</t>
  </si>
  <si>
    <t>Германский Генеральный штаб. История и структура. 1657—1945</t>
  </si>
  <si>
    <t>978-5-9524-5818-5</t>
  </si>
  <si>
    <t>В. Гёрлиц увлекательно и подробно осветил историю создания германского Генерального штаба, начиная с XVII века, периода зарождения прусско-бранденбургской армии, когда впервые упоминается Генеральный штаб, и до окончания Второй мировой войны. Автор рассказывает, как складывалась каста генштабистов, подчеркивает особое значение связки начальник штаба — командующий, детально рассматривает «управленческую триаду», рисует яркие портреты офицеров Генерального штаба, объясняет сложную структуру командования немецкими войсками во Второй мировой войне.</t>
  </si>
  <si>
    <t>20233</t>
  </si>
  <si>
    <t>Деметр К.</t>
  </si>
  <si>
    <t>Германский офицерский корпус в обществе и государстве. 1650—1945 гг.</t>
  </si>
  <si>
    <t>978-5-9524-5784-3</t>
  </si>
  <si>
    <t>20773</t>
  </si>
  <si>
    <t>Даллес А</t>
  </si>
  <si>
    <t>Германское подполье в 1942—1944 годах</t>
  </si>
  <si>
    <t>978-5-9524-5997-7</t>
  </si>
  <si>
    <t>Автор настоящего издания Аллен Даллес, занимавший дипломатические посты в Вене и Берне во время Первой мировой войны, потом служивший в Государственном департаменте и ставший впоследствии директором ЦРУ, во время Второй мировой войны был главой Американского разведывательного центра в Берне. В 1942 году по заданию Центра установил связь с германским подпольем, которое не раз организовывало покушение на Гитлера. Его рассказ о немецком сопротивлении, о контактах союзников с оппозицией — это история людей из всех слоев немецкого общества — от ведущих фигур, таких как военачальники Л. Бек, К. Гёрделер, К. Хаммерштейн, до обычных госслужащих, интеллигентов, представителей профсоюзов и церкви, объединившихся в кружок Крейзау, — рисковавших жизнью в борьбе с гитлеризмом за свободу личности. Это книга об антинацистском противостоянии тоталитарному режиму.</t>
  </si>
  <si>
    <t>21072</t>
  </si>
  <si>
    <t>Абаза К.К.</t>
  </si>
  <si>
    <t>Герои и битвы. Военно-историческая хрестоматия. История подвигов, побед и поражений</t>
  </si>
  <si>
    <t>978-5-227-10653-7</t>
  </si>
  <si>
    <t>Эта хрестоматия была написана автором многих наставлений по подготовке рядового и унтер-офицерского состава военным писателем и педагогом Константином Абазой. Книга вышла в конце XIX века в Петербурге в двух томах, оба из которых вошли в это издание. Она содержит рисунки, карты, планы и является своеобразной энциклопедией походов, битв, побед и поражений с древних времен и до конца XIX века. Вас ждет рассказ о подвиге царя Спарты — Леонида, походах Александра Македонского и деяниях Наполеона… Крестовые походы, Столетняя война, открытие Америки и множество других событий, определивших ход истории. Книга написана простым языком и, несмотря на солидный возраст, не потеряла своей актуальности.</t>
  </si>
  <si>
    <t>20266</t>
  </si>
  <si>
    <t>Герои любимых сказок. Творческая раскраска</t>
  </si>
  <si>
    <t>978-5-9524-5836-9</t>
  </si>
  <si>
    <t>16328</t>
  </si>
  <si>
    <t>Герой из ее сна</t>
  </si>
  <si>
    <t>978-5-227-06192-8</t>
  </si>
  <si>
    <t>19374</t>
  </si>
  <si>
    <t>Горохов А.А</t>
  </si>
  <si>
    <t>Герой поневоле</t>
  </si>
  <si>
    <t>978-5-227-09228-1</t>
  </si>
  <si>
    <t>15964</t>
  </si>
  <si>
    <t>Михеев М., Ковалевская Е.</t>
  </si>
  <si>
    <t>Герой чужой войны</t>
  </si>
  <si>
    <t>978-5-227-05937-6</t>
  </si>
  <si>
    <t>15647</t>
  </si>
  <si>
    <t>Очерет А.</t>
  </si>
  <si>
    <t>Гибкая спина и стройные ноги в любом возрасте. С чего начинается женщина</t>
  </si>
  <si>
    <t>978-5-227-05530-9</t>
  </si>
  <si>
    <t>10364</t>
  </si>
  <si>
    <t>Боровков</t>
  </si>
  <si>
    <t>Гипертония Профилактика и методы лечения</t>
  </si>
  <si>
    <t>978-5-9524-3544-5</t>
  </si>
  <si>
    <t>11323</t>
  </si>
  <si>
    <t>ЛУЧ МЕТ</t>
  </si>
  <si>
    <t>Гипертония. Профилактика и методы лечения</t>
  </si>
  <si>
    <t>978-5-9524-4453-9</t>
  </si>
  <si>
    <t>11336</t>
  </si>
  <si>
    <t>МАСТЕР-КЛАСС Э</t>
  </si>
  <si>
    <t>Пустовойтов В.Н.</t>
  </si>
  <si>
    <t>Гипсокартон: шаг за шагом</t>
  </si>
  <si>
    <t>978-5-9524-4313-6</t>
  </si>
  <si>
    <t>21131</t>
  </si>
  <si>
    <t>Володихин Д.М</t>
  </si>
  <si>
    <t>Главные люди опричнины. Дипломаты. Воеводы. Каратели. Вторая половина XVI в.</t>
  </si>
  <si>
    <t>978-5-227-10670-4</t>
  </si>
  <si>
    <t>Опричнина просуществовала в России с 1565 по 1572 г. В состав ее «верхушки» попали очень разные люди: Алексей Басманов, Федор ¬Трубецкой, Василий Темкин-Ростовский, Афанасий Вяземский, Михаил Безнин, Григорий Скуратов-Бельский по прозвищу Малюта и тысячи других — как аристократов, так и дворян малозаметных. У них были противоположные интересы. Одни готовы были разрушить традиционный порядок. Другие собирались только подновить старый уклад. Третьи стояли за этот уклад и чувствовали себя случайными людьми в «черном царевом воинстве». Волей-неволей всем опричным лидерам приходилось принимать на себя часть груза великих государственных дел. Кое-кто готов был служить у вершин власти, имел желание и способности к большой государственной работе. Другие же искали возвышения, но не понимали всей ответственности будущего своего положения. А некоторые готовы были купить возвышение работой карателя, зная только один инструмент государственной политики — казни._x000D_
О загадках опричнины и людях, бывших в этот период в окружении Ивана Грозного, рассказывает книга доктора исторических наук, профессора Д.М. Володихина. Опричнина показана глазами самих опричников, и в этом состоит новизна книги.</t>
  </si>
  <si>
    <t>16296</t>
  </si>
  <si>
    <t>Корняков А.Ф.</t>
  </si>
  <si>
    <t>Главный конструктор ракетной техники</t>
  </si>
  <si>
    <t>978-5-227-05766-2</t>
  </si>
  <si>
    <t>15594</t>
  </si>
  <si>
    <t>Глаза тигрицы</t>
  </si>
  <si>
    <t>978-5-227-05613-9</t>
  </si>
  <si>
    <t>16809</t>
  </si>
  <si>
    <t>Глаза цвета страсти</t>
  </si>
  <si>
    <t>978-5-227-06792-0</t>
  </si>
  <si>
    <t>17569</t>
  </si>
  <si>
    <t>Глубоко под кожей</t>
  </si>
  <si>
    <t>978-5-227-07572-7</t>
  </si>
  <si>
    <t>21731</t>
  </si>
  <si>
    <t>Форстер Э.</t>
  </si>
  <si>
    <t>Говардс-Энд</t>
  </si>
  <si>
    <t>978-5-9524-6441-4</t>
  </si>
  <si>
    <t>Сестры Шлегель — героини романа английского писателя Э.М. Форстера (1879—1970) — получают приглашение погостить в загородном доме преуспевающих промышленников Уилкоксов. Поездка Хелен в Говардс-Энд едва не заканчивается помолвкой, что приводит к неразберихе и охлаждению отношений между семьями. Со временем миссис Уилкокс и старшая из сестер возобновляют дружбу. Стремительно угасающая Рут видит в разумной добросердечной Маргарет родственную душу и решает оставить Говардс-Энд именно ей. Генри уничтожает завещание покойной супруги, однако чувство вины заставляет его искать встречи с Маргарет снова и снова. Тем временем бунтарка Хелен сближается с Ленардом Бастом, молодым банковским служащим. Ленард беден и не свободен, но вспыхнувшая между ними страсть непреодолима и способна погубить их обоих…</t>
  </si>
  <si>
    <t>18192</t>
  </si>
  <si>
    <t>Кулибин И.</t>
  </si>
  <si>
    <t>Говорящие фамилии. Имена и фамилии, ставшие нарицательными и давшие название чему-либо</t>
  </si>
  <si>
    <t>978-5-227-08264-0</t>
  </si>
  <si>
    <t>17857</t>
  </si>
  <si>
    <t>Кваша Нов</t>
  </si>
  <si>
    <t>Кваша Г.</t>
  </si>
  <si>
    <t>Годовые знаки</t>
  </si>
  <si>
    <t>978-5-227-07811-7</t>
  </si>
  <si>
    <t>60х90 1/32</t>
  </si>
  <si>
    <t>21276</t>
  </si>
  <si>
    <t>Боксер Ч.Р.</t>
  </si>
  <si>
    <t>Голландское господство в четырех частях света XVI—XVIII века. Торговые войны в Европе, Индии, Южной Африке и Америке</t>
  </si>
  <si>
    <t>978-5-9524-6166-6</t>
  </si>
  <si>
    <t>Из борьбы с испанским владычеством Голландия вышла одной из величайших в мире морских империй. За несколько лет страна обрела контроль над огромными территориями: от Индонезии до Западной Индии, от Южной Африки до Южной Америки._x000D_
Чарлз Боксер, профессор Йельского университета, автор целого ряда исторических трудов, представляет Голландию XVI—XVIII вв. Объясняя причины стремительного восхождения столь маленькой страны к могуществу, Боксер обращает внимание на то, как и почему происходит бурное развитие промышленности, морской торговли, сельскохозяйственное изобилие и культурный расцвет страны. Анализирует состояние науки, техники, систему образования, отношение к религии, институт брака, быт, организацию благотворительности, развлечения, воссоздавая яркие картины авантюризма и разгульной жизни голландцев во всех четырех сторонах света. И затем автор прослеживает достойный сожаления переход от золотого века к эре париков — времени «бесцарствия» — частой смены власти и французских вторжений.</t>
  </si>
  <si>
    <t>18889</t>
  </si>
  <si>
    <t>Голограмма, или Другая точка зрения</t>
  </si>
  <si>
    <t>978-5-227-08846-8</t>
  </si>
  <si>
    <t>21415</t>
  </si>
  <si>
    <t>СПБ ГОЛОСА</t>
  </si>
  <si>
    <t>Кубрякова Е.В.</t>
  </si>
  <si>
    <t>Голоса из окон. Путешествие в историю Петербурга. Дома как свидетели судеб</t>
  </si>
  <si>
    <t>978-5-227-10840-1</t>
  </si>
  <si>
    <t>Стиль изложения информации, выбранный автором, уникален: сначала берется цитата из известного произведения или мемуаров, и Екатерина дополняет его своими измышлениями и информацией из надежных источников, приобщая таким образом своих читателей к истории родного города._x000D_
Давайте заглянем в окна, в которые всматривался одержимый азартом герой пушкинской «Пиковой дамы» Германн, узнаем, куда торопился домой Достоевский, чтобы, попросив у хозяйки свечу, запереться в своей комнате и продолжить творить. Прочтем, куда для знакомства с родителями молодой  поэт Дмитрий Мережковский привел свою юную жену Зинаиду Гиппиус…_x000D_
А задумывались ли вы, идя по городу привычным маршрутом, что где-то здесь, в параллельной петербургской реальности, проходит другая жизнь — истории людей, которые в этих самых стенах любили, страдали, чувствовали? _x000D_
Ступеньки, по которым вы поднимаетесь, слышат стук стертых каблуков Ахматовой, а за тот же камень, о который вы споткнулись сейчас, спотыкается убегающий от своих убийц Распутин... _x000D_
Стены старых петербургских домов сохранили образы своих героев, реальных и вымышленных, а мы, спустя десятки и сотни лет, стоит лишь потянуть за зыбкую нить времени, сможем услышать их голоса, доносящиеся из распахнутых окон.</t>
  </si>
  <si>
    <t>20774</t>
  </si>
  <si>
    <t>Голь перекатная. Картинки с натуры</t>
  </si>
  <si>
    <t>978-5-227-10386-4</t>
  </si>
  <si>
    <t>В эту книгу Николая Александровича Лейкина вошли сборник рассказов «Голь перекатная» и повесть «Кусок хлеба». «Голь перекатная» во многом напоминает раздел о Хитровке признанного шедевра Владимира Алексеевича Гиляровского «Москва и москвичи», только дело происходит в Санкт-Петербурге. Автор без прикрас показывает жизнь опустившихся на социальное дно людей, ютящихся по углам, по чердакам и в подвалах, живо изображая невыносимые условия существования и повальное пьянство. «Кусок хлеба» продолжает затронутую в сборнике тему, давая возможность взглянуть на жизнь страдающих от неурожаев в деревнях и от отсутствия рабочих мест в городах людей, в итоге обреченных либо на нищенское существование, либо на сомнительные способы заработка. Автор в очередной раз демонстрирует прекрасное владение словом и, несмотря на общий тон сборника, как и всегда оживляет происходящее своими меткими наблюдениями.</t>
  </si>
  <si>
    <t>20004</t>
  </si>
  <si>
    <t>Гомеопатия доктора Синельникова</t>
  </si>
  <si>
    <t>978-5-227-09770-5</t>
  </si>
  <si>
    <t>20046</t>
  </si>
  <si>
    <t>Гомеопатия доктора Синельникова с СД</t>
  </si>
  <si>
    <t>978-5-227-09771-2</t>
  </si>
  <si>
    <t>2745</t>
  </si>
  <si>
    <t>М ГОНЧАРОВ</t>
  </si>
  <si>
    <t>Петров М.</t>
  </si>
  <si>
    <t>Гончаров и смерть репортера</t>
  </si>
  <si>
    <t>5-227-01450-7</t>
  </si>
  <si>
    <t>2744</t>
  </si>
  <si>
    <t>Гончаров и шайка мошенников</t>
  </si>
  <si>
    <t>5-227-01448-5</t>
  </si>
  <si>
    <t>7239</t>
  </si>
  <si>
    <t>М ЗР+</t>
  </si>
  <si>
    <t>Гончаров попадает в притон</t>
  </si>
  <si>
    <t>5-9524-2285-3</t>
  </si>
  <si>
    <t>7401</t>
  </si>
  <si>
    <t>Гончаров распутывает узел</t>
  </si>
  <si>
    <t>5-9524-2442-2</t>
  </si>
  <si>
    <t>3022</t>
  </si>
  <si>
    <t>МЖ</t>
  </si>
  <si>
    <t>Даррелл Дж.</t>
  </si>
  <si>
    <t>Гончие Бафута</t>
  </si>
  <si>
    <t>5-227-01381-0</t>
  </si>
  <si>
    <t>15206</t>
  </si>
  <si>
    <t>СЕРЕНАДА</t>
  </si>
  <si>
    <t>Физерстоун Ш.</t>
  </si>
  <si>
    <t>Гордость и страсть</t>
  </si>
  <si>
    <t>978-5-227-05247-6</t>
  </si>
  <si>
    <t>7325</t>
  </si>
  <si>
    <t>Мэтер</t>
  </si>
  <si>
    <t>Горная долина</t>
  </si>
  <si>
    <t>5-9524-2383-3</t>
  </si>
  <si>
    <t>17760</t>
  </si>
  <si>
    <t>Город древних</t>
  </si>
  <si>
    <t>978-5-227-07347-1</t>
  </si>
  <si>
    <t>20471</t>
  </si>
  <si>
    <t>СРД</t>
  </si>
  <si>
    <t>Город псов</t>
  </si>
  <si>
    <t>978-5-227-09625-8</t>
  </si>
  <si>
    <t>Лето — сезон отпусков. Счастливчики уезжают на теплые моря, а неудачники остаются на службе, и риск получить в производство безнадежное дело увеличивается многократно. Следователь Илья Лунин в своем областном следственном комитете плотно застрял в категории середнячка без перспектив. Вот и на этот раз ему поручили два сложных дела. На семью, остановившуюся на пикник, совершено жестокое нападение. Жена и дочь погибли, а умирающий глава семьи случайно обнаружен другими проезжающими мимо путешественниками. Свидетелей нет, улик тоже нет. Но и это еще не все. Последние полтора года в области происходят жестокие убийства женщин. Поначалу все они рассматривались как единичные преступления, и только сейчас становится ясно: все они — дело рук одного и того же преступника. _x000D_
«Город псов» — первая книга из цикла о следователе Илье Олеговиче Лунине. Она о том времени, когда Лунин открыл в себе способность распутывать сложные криминальные загадки и в его жизни появилась Рокси!</t>
  </si>
  <si>
    <t>16808</t>
  </si>
  <si>
    <t>Город сбывшихся желаний</t>
  </si>
  <si>
    <t>978-5-227-06786-9</t>
  </si>
  <si>
    <t>7814</t>
  </si>
  <si>
    <t>Перевозчикова Ю.</t>
  </si>
  <si>
    <t>Городские ведьмы</t>
  </si>
  <si>
    <t>978-5-9524-2754-9</t>
  </si>
  <si>
    <t>14881</t>
  </si>
  <si>
    <t>Синдаловский Н.А.</t>
  </si>
  <si>
    <t>Городские имена вчера и сегодня</t>
  </si>
  <si>
    <t>978-5-227-04803-5</t>
  </si>
  <si>
    <t>21251</t>
  </si>
  <si>
    <t>Данилов В.Н.</t>
  </si>
  <si>
    <t>Городские комитеты обороны. Чрезвычайные органы власти в годы Великой Отечественной войны. 1941—1945</t>
  </si>
  <si>
    <t>978-5-227-10745-9</t>
  </si>
  <si>
    <t>В книге доктора исторических наук В.Н. Данилова рассматривается история местных чрезвычайных органов власти периода Великой Отечественной войны — городских комитетов обороны, в задачу которых входило объединение усилий гражданских и военных структур в регионах, близких к фронту, в целях максимальной помощи действующей армии и установления строжайшего порядка. Показан процесс создания комитетов обороны, их место в системе управления, формы и методы работы, деятельность по мобилизации ресурсов тыла, роль в обеспечении жизнедеятельности населения, участие городских комитетов обороны в организации военной защиты территорий городов и их окрестностей силами самообороны.</t>
  </si>
  <si>
    <t>17856</t>
  </si>
  <si>
    <t>Гороскоп для всех возрастов человека</t>
  </si>
  <si>
    <t>978-5-227-07810-0</t>
  </si>
  <si>
    <t>17873</t>
  </si>
  <si>
    <t>Гороскоп любви и отношений</t>
  </si>
  <si>
    <t>978-5-227-07817-9</t>
  </si>
  <si>
    <t>16145</t>
  </si>
  <si>
    <t>Алешин М.Л.</t>
  </si>
  <si>
    <t>Гороскоп. Ваша финансовая совместимость.</t>
  </si>
  <si>
    <t>978-5-227-06053-2</t>
  </si>
  <si>
    <t>13439</t>
  </si>
  <si>
    <t>Безугольный А.Ю., Бугай Н.Ф., Кринко Е.Ф.</t>
  </si>
  <si>
    <t>Горцы Северного Кавказа в Великой Отечественной войне 1941-1945 гг.:проблемы истории, историографии и источниковедения.</t>
  </si>
  <si>
    <t>978-5-227-03570-7</t>
  </si>
  <si>
    <t>21203</t>
  </si>
  <si>
    <t>Горячая встреча</t>
  </si>
  <si>
    <t>978-5-227-10512-7</t>
  </si>
  <si>
    <t>Айша Шетти многого добилась с тех пор, как ушла от мужа, которого отчаянно любила, но больше не могла вынести его, как ей казалось, несерьезного отношения к ней. Теперь она топ-менеджер в успешной компании, ее уважают, с ней считаются. Заключив очередной выгодный контракт, Айша неожиданно узнает, что ей придется работать вместе с бывшим мужем, и понимает, что по-прежнему любит его, а он, как и десять лет назад, желает обладать ею, но не видит в ней самостоятельную, независимую личность…</t>
  </si>
  <si>
    <t>21793</t>
  </si>
  <si>
    <t>Гюнтер Г.</t>
  </si>
  <si>
    <t>Горячие моторы. Воспоминания ефрейтора-мотоциклиста. 1940—1941</t>
  </si>
  <si>
    <t>978-5-9524-6420-9</t>
  </si>
  <si>
    <t>Участник Второй мировой войны Гельмут Гюнтер вспоминает о том, как служил посыльным в мотоциклетном батальоне дивизии «Дас Райх». Живо и ярко автор рассказывает о том, как практически «на ходу» в боевых условиях он и другие молодые новобранцы осваивали технику вождения мотоцикла, как воевали, праздновали победы и переживали поражения. Описывает состояние эйфории, в котором германские войска шагали по Европе, и какой ожесточенный отпор получили в сражениях с русскими, а потом, обмороженные, голодные, отступали по заснеженным российским дорогам._x000D_
Книга богато иллюстрирована редкими фронтовыми фотографиями.</t>
  </si>
  <si>
    <t>17413</t>
  </si>
  <si>
    <t>Артамонов А.Е.</t>
  </si>
  <si>
    <t>Госдачи Кавказских Минеральных Вод. Тайны создания и пребывания в них на отдыхе партийной верхушки и исполкома Коминтерна. От Ленина до Хрущева</t>
  </si>
  <si>
    <t>978-5-227-06629-9</t>
  </si>
  <si>
    <t>18355</t>
  </si>
  <si>
    <t>Госдачи Черноморского побережья Кавказа. Недавно рассекреченные документы и бумаги из личного архива</t>
  </si>
  <si>
    <t>978-5-227-07871-1</t>
  </si>
  <si>
    <t>20687</t>
  </si>
  <si>
    <t>ИЗМАЙЛОВ</t>
  </si>
  <si>
    <t>Измайлов Л. М</t>
  </si>
  <si>
    <t>Господа юмористы. Рассказы о лучших сатириках страны, байки и записки на полях</t>
  </si>
  <si>
    <t>978-5-227-09999-0</t>
  </si>
  <si>
    <t>Лион Моисеевич Измайлов — прекрасный рассказчик, и это качество не изменяет ему и когда он делится историями о коллегах по цеху. Каждая описанная им личность уникальна и поэтому обросла байками, анекдотами и просто смешными случаями. Их-то Лион Моисеевич, часто — непосредственный участник событий, и описывает в своей непревзойдённой манере. Не обойдены вниманием Михаил Задорнов, Геннадий Хазанов, Аркадий Райкин, Аркадий Хайт и Аркадий Курляндский, Михаил Жванецкий, Аркадий Арканов, Анатолий Трушкин, Роман Карцев, Михаил Танич, Леонид Дербенёв и другие юмористы. Упомянуты и непростые отношения автора и артиста. А на десерт — весёлые записки разных лет с юмором на любой вкус.</t>
  </si>
  <si>
    <t>19454</t>
  </si>
  <si>
    <t>Гравицкий А.А, Косенков В.В</t>
  </si>
  <si>
    <t>Гость внутри</t>
  </si>
  <si>
    <t>978-5-227-09269-4</t>
  </si>
  <si>
    <t>17902</t>
  </si>
  <si>
    <t>Кадмор К.</t>
  </si>
  <si>
    <t>Гостья на собственной свадьбе</t>
  </si>
  <si>
    <t>978-5-227-07989-3</t>
  </si>
  <si>
    <t>20574</t>
  </si>
  <si>
    <t>Павлов­Сильванский Н.П.</t>
  </si>
  <si>
    <t>Государевы служилые люди. Происхождение русского дворянства</t>
  </si>
  <si>
    <t>978-5-227-10297-3</t>
  </si>
  <si>
    <t>Профессор Николай Павлович Павлов-Сильванский в своей работе на большом документальном материале проследил становление и развитие сословного общества со времен царствования Иоанна Грозного, когда удельная Русь преобразовалась в Московское государство, и до рассвета империи. Автор рассмотрел не только судьбы высшего класса в начальные периоды русской исторической жизни, но и меры по образованию однородного служилого класса дворян и детей боярских из потомков князей, вольных слуг и других разрядов._x000D_
В книгу также вошла работа автора «Люди кабальные и докладные» о холопах XVI века.</t>
  </si>
  <si>
    <t>19604</t>
  </si>
  <si>
    <t>Смирнов А.Ф</t>
  </si>
  <si>
    <t>Государственная Дума Российской империи 1906—1917 гг.</t>
  </si>
  <si>
    <t>978-5-227-07918-3</t>
  </si>
  <si>
    <t>19054</t>
  </si>
  <si>
    <t>Сандаковский А.А</t>
  </si>
  <si>
    <t>Государство Сократа</t>
  </si>
  <si>
    <t>978-5-227-08981-6</t>
  </si>
  <si>
    <t>21702</t>
  </si>
  <si>
    <t>Эрман А.</t>
  </si>
  <si>
    <t>Государство, армия и общество Древнего Египта</t>
  </si>
  <si>
    <t>978-5-9524-5958-8</t>
  </si>
  <si>
    <t>Историческое исследование известного немецкого ученого посвящено Египту — одному из самых древних государств мира. Используя все доступные современному человечеству источники достоверной информации — свитки папирусов из древних библиотек и архивов, надписи и рисунки из храмов и гробниц, предметы материальной культуры, обнаруженные в захоронениях мумий, древнееврейские книги и записки греческих путешественников, — автор выстраивает цепь исторических событий и дает правдивое представление о развитии египетской цивилизации трех периодов: Древнем, Среднем и Новом царствах.</t>
  </si>
  <si>
    <t>13678</t>
  </si>
  <si>
    <t>Готовим для малышей. Детское питание от рождения до школы</t>
  </si>
  <si>
    <t>978-5-227-03303-1</t>
  </si>
  <si>
    <t>19587</t>
  </si>
  <si>
    <t>978-5-227-09457-5</t>
  </si>
  <si>
    <t>21736</t>
  </si>
  <si>
    <t>Федосов А.В</t>
  </si>
  <si>
    <t>Готы и славяне. На пути к государственности. III–IV вв.</t>
  </si>
  <si>
    <t>978-5-227-11092-3</t>
  </si>
  <si>
    <t>"Исследование посвящено развитию ранней государственности готов в Восточной Европе III—IV вв. Особое место уделено двум готским предгосударственным образованиям (политиям): Готии тервингов и королевству гревтунгов. Впервые в отечественной и зарубежной историографии проводится сравнение этих двух готских политий между собой и их общее сравнение со славянскими политиями того же периода. Использование в работе почти полного комплекса письменных источников по готской истории, критический подход к исследованиям последних лет, а также методов зарубежной и отечественной политантропологии позволило автору внести свой вклад в решение проблем эпохи поздней Античности и раннего Средневековья, что дало основание сдвинуть время появления первых праславянских потестарных образований в Восточной Европе ориентировочно на II в. и выдвинуть собственную концепцию ранней государственности. 
Работа рассчитана на специалистов, занятых проблемами поздней Античности, эпохи Великого переселения народов и раннего Средневековья, а также на широкий круг читателей."</t>
  </si>
  <si>
    <t>17808</t>
  </si>
  <si>
    <t>Агабеков Г.С., Думбадзе Е.В.</t>
  </si>
  <si>
    <t>ГПУ</t>
  </si>
  <si>
    <t>978-5-227-07510-9</t>
  </si>
  <si>
    <t>21407</t>
  </si>
  <si>
    <t>Томас Х.</t>
  </si>
  <si>
    <t>Гражданская война в Испании. 1936—1939 гг.</t>
  </si>
  <si>
    <t>978-5-9524-5681-5</t>
  </si>
  <si>
    <t>В книге подробно освещены этапы Гражданской войны 1936—1939 гг. в Испании, завершившейся установлением фашистской диктатуры Франко. Автор на основе богатейшего документального материала дает всестороннюю объективную оценку событий сложной исторической эпохи, приводит интересные факты, малоизвестные современному читателю.</t>
  </si>
  <si>
    <t>16856</t>
  </si>
  <si>
    <t>Гранд-мастер</t>
  </si>
  <si>
    <t>978-5-227-06851-4</t>
  </si>
  <si>
    <t>21733</t>
  </si>
  <si>
    <t>Сакурадзака Хироси</t>
  </si>
  <si>
    <t>Грань будущего</t>
  </si>
  <si>
    <t>978-5-9524-6453-7</t>
  </si>
  <si>
    <t>"Инопланетные монстры, которых земляне прозвали мимиками, безжалостно оккупируют планету — разрушают крупные города, губят миллионы человеческих жизней. Армии всех стран объединили силы, чтобы вступить в решающую схватку с бесчисленными полчищами агрессоров. Новобранца Кэйдзи Кирию, неподготовленного и плохо снаряженного, как и многих его товарищей, бросили в самую гущу боя, фактически обрекая на смерть. Однако, погибая, Кэйдзи забирает и жизнь пришельца. И случается невероятное — Кирия вновь оказывается накануне того адского дня и, замкнув временную петлю, вынужден теперь сражаться и умирать, раз за разом отправляясь в тот самый бой. Но с каждым возвращением Кэйдж становится более жестоким, более умелым, сражаясь бок о бок с прославленным бойцом спецназа Ритой Вратаски, уничтожившей больше врагов, чем кто-либо другой на Земле. И каждое повторяющееся сражение приближает их к разгадке того, как одолеть инопланетных захватчиков и вырваться из временного плена. Что ждет их с таинственной союзницей — спасение или окончательная смерть?
По роману снят фантастический боевик с Томом Крузом и Эмили Блант в главных ролях."</t>
  </si>
  <si>
    <t>15016</t>
  </si>
  <si>
    <t>Граф Мечников</t>
  </si>
  <si>
    <t>978-5-227-04988-9</t>
  </si>
  <si>
    <t>18895</t>
  </si>
  <si>
    <t>Грезы принцессы пустыни</t>
  </si>
  <si>
    <t>978-5-227-08783-6</t>
  </si>
  <si>
    <t>16574</t>
  </si>
  <si>
    <t>Греховная страсть</t>
  </si>
  <si>
    <t>978-5-227-06494-3</t>
  </si>
  <si>
    <t>16693</t>
  </si>
  <si>
    <t>Греческая свадьба</t>
  </si>
  <si>
    <t>978-5-227-06714-2</t>
  </si>
  <si>
    <t>10245</t>
  </si>
  <si>
    <t>Греческий проспект</t>
  </si>
  <si>
    <t>978-5-9524-3351-9</t>
  </si>
  <si>
    <t>17382</t>
  </si>
  <si>
    <t>Грешная девственница</t>
  </si>
  <si>
    <t>978-5-227-06096-9</t>
  </si>
  <si>
    <t>16962</t>
  </si>
  <si>
    <t>Грибная энциклопедия</t>
  </si>
  <si>
    <t>978-5-227-06908-5</t>
  </si>
  <si>
    <t>16835</t>
  </si>
  <si>
    <t>Грибы. Собираем, выращиваем</t>
  </si>
  <si>
    <t>978-5-227-06901-6</t>
  </si>
  <si>
    <t>11279</t>
  </si>
  <si>
    <t>Грибы. Собираем, выращиваем, заготавливаем</t>
  </si>
  <si>
    <t>978-5-9524-4418-8</t>
  </si>
  <si>
    <t>20430</t>
  </si>
  <si>
    <t>Фюлёп­Миллер Р.</t>
  </si>
  <si>
    <t>Григорий Распутин. Жизнь и смерть самой загадочной фигуры российской истории</t>
  </si>
  <si>
    <t>978-5-9524-5868-0</t>
  </si>
  <si>
    <t>Книга Рене Фюлёпа-Миллера, историка культуры, — удачная попытка раскрыть феномен Григория Распутина, «великого старца», «царского друга», «прозорливца и целителя». Основываясь на официальных документах — полицейских отчетах, письмах, подлинных свидетельствах и т. п., автор постарался объективно представить портрет крайне незаурядного, неординарного, непростого человека, на котором было поставлено клише «дьявола во плоти». Будучи сильным, волевым, щедро одаренным природой, Распутин и не идеально хорош, и не абсолютно плох, он показан со всеми своими слабостями. Разноречивость отношения к нему окружавших его людей — от благочестивого почитания до неистовой ненависти — только усугубляет интерес к его личности. На фоне образа Распутина дана характеристика того сложного предреволюционного времени.</t>
  </si>
  <si>
    <t>0172</t>
  </si>
  <si>
    <t>Гроб из Гонконга</t>
  </si>
  <si>
    <t>978-5-227-06951-1</t>
  </si>
  <si>
    <t>18185</t>
  </si>
  <si>
    <t>Громкое дело</t>
  </si>
  <si>
    <t>978-5-227-08035-6</t>
  </si>
  <si>
    <t>16646</t>
  </si>
  <si>
    <t>978-5-227-06556-8</t>
  </si>
  <si>
    <t>19516</t>
  </si>
  <si>
    <t>Грузины. Хранители святынь</t>
  </si>
  <si>
    <t>978-5-9524-5490-3</t>
  </si>
  <si>
    <t>16913</t>
  </si>
  <si>
    <t>Гриллс Б.</t>
  </si>
  <si>
    <t>Грязь, пот и слезы</t>
  </si>
  <si>
    <t>978-5-227-06927-6</t>
  </si>
  <si>
    <t>16591</t>
  </si>
  <si>
    <t>Губернатор</t>
  </si>
  <si>
    <t>978-5-227-06553-7</t>
  </si>
  <si>
    <t>18676</t>
  </si>
  <si>
    <t>Даймон Х</t>
  </si>
  <si>
    <t>Губительная сила желания</t>
  </si>
  <si>
    <t>978-5-227-08553-5</t>
  </si>
  <si>
    <t>17647</t>
  </si>
  <si>
    <t>Крюс К.</t>
  </si>
  <si>
    <t>Губительные ласки</t>
  </si>
  <si>
    <t>978-5-227-07640-3</t>
  </si>
  <si>
    <t>19781</t>
  </si>
  <si>
    <t>Томпсон Э.А</t>
  </si>
  <si>
    <t>Гунны. Грозные воины степей</t>
  </si>
  <si>
    <t>978-5-9524-5489-7</t>
  </si>
  <si>
    <t>11243</t>
  </si>
  <si>
    <t>Гуру и зомби</t>
  </si>
  <si>
    <t>978-5-9524-4120-0</t>
  </si>
  <si>
    <t>20426</t>
  </si>
  <si>
    <t>Гуси лапчатые. Юмористические картинки</t>
  </si>
  <si>
    <t>978-5-227-09915-0</t>
  </si>
  <si>
    <t>В новом сборнике рассказов Николая Александровича Лейкина перед читателем предстает парад мест, событий, действующих лиц и ситуаций, характерных для конца XIX века и изображенных в свойственном известному сатирику-классику ироническом ключе. В этой книге мы видим не только реалии ушедших дней, но и вещи, которые никогда не устаревают, например, мнения жителей Первопрестольной и культурной столицы об искусстве и развлечениях, которым и посвящен этот сборник. В книгу вошел целый парад выставок в Петербурге, открытие памятника Пушкину в Москве, посещение самой разной публикой зоопарка, цирка и театра, танцы, пение. Не обделены выниманием и традиционные праздники и самые разные уморительные курьезы, происходившие на них с купцами и представителями прочих сословий.</t>
  </si>
  <si>
    <t>16804</t>
  </si>
  <si>
    <t>Шелест П.Е</t>
  </si>
  <si>
    <t>Да не судимы будете</t>
  </si>
  <si>
    <t>978-5-227-06578-0</t>
  </si>
  <si>
    <t>18654</t>
  </si>
  <si>
    <t>Давай знакомиться, благоверный…</t>
  </si>
  <si>
    <t>978-5-227-08592-4</t>
  </si>
  <si>
    <t>20088</t>
  </si>
  <si>
    <t>Давно забытая нежность</t>
  </si>
  <si>
    <t>978-5-227-09617-3</t>
  </si>
  <si>
    <t>18499</t>
  </si>
  <si>
    <t>Даже не думай влюбляться</t>
  </si>
  <si>
    <t>978-5-227-08410-1</t>
  </si>
  <si>
    <t>17726</t>
  </si>
  <si>
    <t>Даже не думай соблазнить</t>
  </si>
  <si>
    <t>978-5-227-07728-8</t>
  </si>
  <si>
    <t>18906</t>
  </si>
  <si>
    <t>Бехари Т.</t>
  </si>
  <si>
    <t>Дай волю чувствам</t>
  </si>
  <si>
    <t>978-5-227-08771-3</t>
  </si>
  <si>
    <t>17815</t>
  </si>
  <si>
    <t>Дай нам шанс</t>
  </si>
  <si>
    <t>978-5-227-07754-7</t>
  </si>
  <si>
    <t>21485</t>
  </si>
  <si>
    <t>Далекое завтра</t>
  </si>
  <si>
    <t>978-5-227-10957-6</t>
  </si>
  <si>
    <t>Пять лет прошло после зимней войны между Дальноземьем и Хетаром. Но Гай Просперо не отказался от своего замысла стать императором, а неожиданная трагедия в семье Лары вновь заставляет ее прислушаться к зову своего предназначения. Дальнейшие приключения полуфеи, стремление предотвратить очередную войну и спасти ставшие родными кланы Дальноземья приводят ее в неизведанную заморскую страну Теру, свободную и плодородную. Любовь и измена, страсть, предательство и разврат сопровождают Лару, обнаружившую, что ее магические способности растут с каждым днем.</t>
  </si>
  <si>
    <t>2120</t>
  </si>
  <si>
    <t>Далматин</t>
  </si>
  <si>
    <t>5-227-00888-4</t>
  </si>
  <si>
    <t>4304</t>
  </si>
  <si>
    <t>19666</t>
  </si>
  <si>
    <t>Саликов А.</t>
  </si>
  <si>
    <t>Дальневосточная опора прочная…</t>
  </si>
  <si>
    <t>978-5-227-09498-8</t>
  </si>
  <si>
    <t>21297</t>
  </si>
  <si>
    <t>Голованов А.Е.</t>
  </si>
  <si>
    <t>Дальняя бомбардировочная... Воспоминания Главного маршала авиации. 1941—1945</t>
  </si>
  <si>
    <t>978-5-227-10747-3</t>
  </si>
  <si>
    <t>Необычайно яркий взлет в 1941—1945 годах и необычайно долгое и глухое замалчивание после войны — такова судьба автора мемуаров «Дальняя бомбардировочная...» Главного маршала авиации А.Е. Голованова. Причина опалы заключалась в том, что его деятельность в годы войны была подчинена И.В. Сталину, о котором Голованов много пишет в своей книге. Увлекательно и живо рассказывает Главный маршал о самоотверженных полетах экипажей бомбардировщиков, о многих драматических эпизодах на фронтах и в Ставке, участником и свидетелем которых был. Книга А.Е. Голованова, несомненно, входит в золотой фонд российской военной мемуаристики.</t>
  </si>
  <si>
    <t>17259</t>
  </si>
  <si>
    <t>Дальняя застава</t>
  </si>
  <si>
    <t>978-5-227-07336-5</t>
  </si>
  <si>
    <t>18126</t>
  </si>
  <si>
    <t>Тайнер Л.</t>
  </si>
  <si>
    <t>Дама сердца</t>
  </si>
  <si>
    <t>978-5-227-08110-0</t>
  </si>
  <si>
    <t>15892</t>
  </si>
  <si>
    <t>Фоккенс М, Фоккенс Л</t>
  </si>
  <si>
    <t>Дамы Амстердама. Жизнь в витрине: откровенные истории квартала "красных фонарей"</t>
  </si>
  <si>
    <t>978-5-227-05846-1</t>
  </si>
  <si>
    <t>19263</t>
  </si>
  <si>
    <t>Лао-цзы</t>
  </si>
  <si>
    <t>Дао дэ цзин. Книга пути и достоинства</t>
  </si>
  <si>
    <t>978-5-227-09131-4</t>
  </si>
  <si>
    <t>21071</t>
  </si>
  <si>
    <t>Эббот Д.</t>
  </si>
  <si>
    <t>Дарий Великий. Персидский царь, владыка земель от Египта до Индии</t>
  </si>
  <si>
    <t>978-5-9524-6093-5</t>
  </si>
  <si>
    <t>Книга Джекоба Эббота рассказывает о восшествии на престол Дария I, царя династии Ахеменидов, основанной Киром Великим. При Дарии Персидская империя достигла наивысшего могущества. С помощью своей личной гвардии — «десяти тысяч бессмертных» — ему удалось подавить волнения скифских племен Средней Азии, а также восстания в Вавилонии, Мидии, Эламе, Египте, Парфии и завоевать часть Индии. Поход же Дария против свободолюбивых граждан Греции закончился его поражением в знаменитой битве при Марафоне.</t>
  </si>
  <si>
    <t>16846</t>
  </si>
  <si>
    <t>Два дня на любовь</t>
  </si>
  <si>
    <t>978-5-227-06790-6</t>
  </si>
  <si>
    <t>15959</t>
  </si>
  <si>
    <t>Два жениха и одна невеста</t>
  </si>
  <si>
    <t>978-5-227-05860-7</t>
  </si>
  <si>
    <t>18819</t>
  </si>
  <si>
    <t>Ли М.</t>
  </si>
  <si>
    <t>Два свидания на Капри</t>
  </si>
  <si>
    <t>978-5-227-08694-5</t>
  </si>
  <si>
    <t>19444</t>
  </si>
  <si>
    <t>Два секрета любовницы</t>
  </si>
  <si>
    <t>978-5-227-09148-2</t>
  </si>
  <si>
    <t>17209</t>
  </si>
  <si>
    <t>Два скандала и одна свадьба</t>
  </si>
  <si>
    <t>978-5-227-07214-6</t>
  </si>
  <si>
    <t>21325</t>
  </si>
  <si>
    <t>Два шага навстречу любви</t>
  </si>
  <si>
    <t>978-5-227-10786-2</t>
  </si>
  <si>
    <t>Миллиардер Роуэн и молодая вдова из богатой семьи с Восточного побережья Джейми познакомились в застрявшем лифте. Пламенный поцелуй пробуждает в них шквал эмоций, взаимное притяжение растет день ото дня, но у обоих настоящая фобия к длительным отношениям и обязательствам. Джейми чувствует себя виноватой в смерти мужа и запрещает себе снова поверить в любовь. А Роуэн, в детстве скитавшийся по приемным родителям, не готов понять, как отчаянно ему недостает крепкой, любящей семьи. Однако Джейми вдруг понимает, что ей нелегко отказаться от Роуэна.</t>
  </si>
  <si>
    <t>19602</t>
  </si>
  <si>
    <t>Двадцать третий пассажир</t>
  </si>
  <si>
    <t>978-5-227-09430-8</t>
  </si>
  <si>
    <t>21420</t>
  </si>
  <si>
    <t>978-5-227-09197-0</t>
  </si>
  <si>
    <t>Пять лет назад у полицейского агента Мартина Шварца без вести пропали жена и сын, путешествующие на круизном лайнере «Султан морей». Тогда круизная компания отстаивала версию суицида. Однако Мартин в это не верил. И вот ему звонит пассажирка того самого лайнера и заявляет, что он должен немедленно явиться на борт «Султана морей», у нее есть доказательства того, что его жена не по своей воле бросилась в море. Более того, возможно, его сын еще жив, а на лайнере происходят странные вещи. Бросив все дела, Мартин отправляется в нежеланное путешествие, преисполненный решимости докопаться до истины…</t>
  </si>
  <si>
    <t>11956</t>
  </si>
  <si>
    <t>РМБ</t>
  </si>
  <si>
    <t>Фэллон Д.</t>
  </si>
  <si>
    <t>Дважды два четыре</t>
  </si>
  <si>
    <t>978-5-227-01980-6</t>
  </si>
  <si>
    <t>18723</t>
  </si>
  <si>
    <t>Две встречи в Милане</t>
  </si>
  <si>
    <t>978-5-227-08577-1</t>
  </si>
  <si>
    <t>15501</t>
  </si>
  <si>
    <t>Две женщины, одна любовь</t>
  </si>
  <si>
    <t>978-5-227-05483-8</t>
  </si>
  <si>
    <t>14822</t>
  </si>
  <si>
    <t>Две звезды</t>
  </si>
  <si>
    <t>978-5-227-04841-7</t>
  </si>
  <si>
    <t>15952</t>
  </si>
  <si>
    <t>Харпер Ф.</t>
  </si>
  <si>
    <t>Две недели в Венеции</t>
  </si>
  <si>
    <t>978-5-227-05857-7</t>
  </si>
  <si>
    <t>18639</t>
  </si>
  <si>
    <t>Две недели на любовь</t>
  </si>
  <si>
    <t>978-5-227-08517-7</t>
  </si>
  <si>
    <t>16708</t>
  </si>
  <si>
    <t>Две ночи в Лондоне</t>
  </si>
  <si>
    <t>978-5-227-06715-9</t>
  </si>
  <si>
    <t>18524</t>
  </si>
  <si>
    <t>Двенадцать ночей искушения</t>
  </si>
  <si>
    <t>978-5-227-08419-4</t>
  </si>
  <si>
    <t>7797</t>
  </si>
  <si>
    <t>Двенадцать разгневанных слуг</t>
  </si>
  <si>
    <t>978-5-9524-2697-9</t>
  </si>
  <si>
    <t>16343</t>
  </si>
  <si>
    <t>Нараянан Ш.</t>
  </si>
  <si>
    <t>Двенадцать часов соблазана</t>
  </si>
  <si>
    <t>978-5-227-06207-9</t>
  </si>
  <si>
    <t>11083</t>
  </si>
  <si>
    <t>Хаслэм К.</t>
  </si>
  <si>
    <t>Двенадцать шагов фанданго</t>
  </si>
  <si>
    <t>978-5-9524-4227-6</t>
  </si>
  <si>
    <t>16489</t>
  </si>
  <si>
    <t>Хейтер Э</t>
  </si>
  <si>
    <t>Двое в заброшенном доме</t>
  </si>
  <si>
    <t>978-5-227-06406-6</t>
  </si>
  <si>
    <t>15127</t>
  </si>
  <si>
    <t>М БРАУН</t>
  </si>
  <si>
    <t>Браун С.</t>
  </si>
  <si>
    <t>Двое одиноких</t>
  </si>
  <si>
    <t>978-5-227-05207-0</t>
  </si>
  <si>
    <t>16723</t>
  </si>
  <si>
    <t>Двойная жизнь Линдси Пайк</t>
  </si>
  <si>
    <t>978-5-227-06753-1</t>
  </si>
  <si>
    <t>0135</t>
  </si>
  <si>
    <t>Двойная сдача</t>
  </si>
  <si>
    <t>978-5-227-06952-8</t>
  </si>
  <si>
    <t>20118</t>
  </si>
  <si>
    <t>Двойной соблазн</t>
  </si>
  <si>
    <t>978-5-227-09610-4</t>
  </si>
  <si>
    <t>18617</t>
  </si>
  <si>
    <t>СПБ ЦИ</t>
  </si>
  <si>
    <t>Домбровский А.</t>
  </si>
  <si>
    <t>Дворцовая и Сенатская площади, Адмиралтейство, Сенат, Синод. Прогулки по Петербургу</t>
  </si>
  <si>
    <t>978-5-227-08483-5</t>
  </si>
  <si>
    <t>11747</t>
  </si>
  <si>
    <t>Мой личный дневничок</t>
  </si>
  <si>
    <t>Девочка в соломенной шляпе</t>
  </si>
  <si>
    <t>978-5-9524-4854-4</t>
  </si>
  <si>
    <t>11744</t>
  </si>
  <si>
    <t>Девочка в черной шляпе</t>
  </si>
  <si>
    <t>978-5-9524-4856-8</t>
  </si>
  <si>
    <t>13959</t>
  </si>
  <si>
    <t>ДД</t>
  </si>
  <si>
    <t>Троиси Л.</t>
  </si>
  <si>
    <t>Девочка-дракон кн.2 Дерево Идхунн</t>
  </si>
  <si>
    <t>978-5-227-03964-4</t>
  </si>
  <si>
    <t>14092</t>
  </si>
  <si>
    <t>Девочка-дракон кн.3 Часы Алдибы</t>
  </si>
  <si>
    <t>978-5-227-03973-6</t>
  </si>
  <si>
    <t>20007</t>
  </si>
  <si>
    <t>Девочка, рисующая смерть</t>
  </si>
  <si>
    <t>978-5-227-09637-1</t>
  </si>
  <si>
    <t>10678</t>
  </si>
  <si>
    <t>ШОК</t>
  </si>
  <si>
    <t>Гуджон Б.</t>
  </si>
  <si>
    <t>Девственницы</t>
  </si>
  <si>
    <t>978-5-9524-3849-1</t>
  </si>
  <si>
    <t>13771</t>
  </si>
  <si>
    <t>Девушка "Амальфи"</t>
  </si>
  <si>
    <t>978-5-227-03892-0</t>
  </si>
  <si>
    <t>16155</t>
  </si>
  <si>
    <t>Колтер К.</t>
  </si>
  <si>
    <t>Девушка из прошлого</t>
  </si>
  <si>
    <t>978-5-227-06121-8</t>
  </si>
  <si>
    <t>17303</t>
  </si>
  <si>
    <t>Девушка из стриптиз-клуба</t>
  </si>
  <si>
    <t>978-5-227-07296-2</t>
  </si>
  <si>
    <t>19389</t>
  </si>
  <si>
    <t>Бонда К.</t>
  </si>
  <si>
    <t>Девушка полночи</t>
  </si>
  <si>
    <t>978-5-227-09223-6</t>
  </si>
  <si>
    <t>16891</t>
  </si>
  <si>
    <t>978-5-227-06926-9</t>
  </si>
  <si>
    <t>16694</t>
  </si>
  <si>
    <t>Девушка с рыжей челкой. С чего начинается Женственность (вид 2)</t>
  </si>
  <si>
    <t>978-5-227-06698-5</t>
  </si>
  <si>
    <t>14382</t>
  </si>
  <si>
    <t>Девушка с татуировкой</t>
  </si>
  <si>
    <t>978-5-227-04437-2</t>
  </si>
  <si>
    <t>15996</t>
  </si>
  <si>
    <t>Филлипс Ш.</t>
  </si>
  <si>
    <t>Девушка с телеэкрана</t>
  </si>
  <si>
    <t>978-5-227-05958-1</t>
  </si>
  <si>
    <t>21442</t>
  </si>
  <si>
    <t>Гоувей М.О</t>
  </si>
  <si>
    <t>Девять жизней кошки. Мифы и легенды</t>
  </si>
  <si>
    <t>978-5-9524-6297-7</t>
  </si>
  <si>
    <t>Из всех домашних животных кошка — самое загадочное. Это таинственное существо за многие века соседства с человеком успело побывать почитаемой миллионами людей богиней, таинственным призраком, демоном, помощницей ведьмы и счастливым талисманом, приносящим удачу в дом. В старинных легендах, преданиях и мифах перед вами предстанут все ипостаси кошки.</t>
  </si>
  <si>
    <t>18720</t>
  </si>
  <si>
    <t>Каземирский Р.</t>
  </si>
  <si>
    <t>Девятьсот восемьдесят восьмой</t>
  </si>
  <si>
    <t>978-5-227-08706-5</t>
  </si>
  <si>
    <t>8787</t>
  </si>
  <si>
    <t>Морозова О.</t>
  </si>
  <si>
    <t>Дегустаторы</t>
  </si>
  <si>
    <t>978-5-9524-3029-7</t>
  </si>
  <si>
    <t>7692</t>
  </si>
  <si>
    <t>Дездемона умрет в понедельник</t>
  </si>
  <si>
    <t>978-5-9524-2625-2</t>
  </si>
  <si>
    <t>17941</t>
  </si>
  <si>
    <t>Декамерон по - русски</t>
  </si>
  <si>
    <t>978-5-9524-5300-5</t>
  </si>
  <si>
    <t>16787</t>
  </si>
  <si>
    <t>Декоративные кустарники</t>
  </si>
  <si>
    <t>978-5-227-06892-7</t>
  </si>
  <si>
    <t>16785</t>
  </si>
  <si>
    <t>Декоративный сад своими руками</t>
  </si>
  <si>
    <t>978-5-227-06888-0</t>
  </si>
  <si>
    <t>13625</t>
  </si>
  <si>
    <t>Декоративный сад своими руками. Газоны, бордюры, клумбы, альпийские горки, декоративные деревья...</t>
  </si>
  <si>
    <t>978-5-227-03379-6</t>
  </si>
  <si>
    <t>20554</t>
  </si>
  <si>
    <t>Румянцева Т.</t>
  </si>
  <si>
    <t>Деликатесы для диабетиков. Неотложная кулинарная помощь</t>
  </si>
  <si>
    <t>978-5-227-10272-0</t>
  </si>
  <si>
    <t>Книга написана практикующим врачом-эндокринологом и является продолжением вышедшей ранее «Кулинарной книги диабетика», вобравшей в себя рецепты повседневных блюд._x000D_
В новом издании автор отдает предпочтение необычным, экзотическим, деликатесным блюдам. Рецепты, измененные относительно нужд соблюдающих диету гурманов, позволяют без вреда для здоровья лакомиться кулинарными шедеврами всех стран мира._x000D_
Кроме того, автор дает немало рекомендаций по диетическому питанию диабетиков и отвечает на наиболее волнующие вопросы, связанные с диетой.</t>
  </si>
  <si>
    <t>18871</t>
  </si>
  <si>
    <t>Крюков А.М</t>
  </si>
  <si>
    <t>Дело всей смерти</t>
  </si>
  <si>
    <t>978-5-227-08833-8</t>
  </si>
  <si>
    <t>16345</t>
  </si>
  <si>
    <t>Финн Питер, Куве Петра</t>
  </si>
  <si>
    <t>Дело Живаго</t>
  </si>
  <si>
    <t>978-5-227-06244-4</t>
  </si>
  <si>
    <t>0168</t>
  </si>
  <si>
    <t>Дело лишь во времени</t>
  </si>
  <si>
    <t>978-5-227-06953-5</t>
  </si>
  <si>
    <t>17628</t>
  </si>
  <si>
    <t>Молотов И.</t>
  </si>
  <si>
    <t>Демоны и ангелы российской политики лихих 90-х. Сбитые летчики</t>
  </si>
  <si>
    <t>978-5-227-07497-3</t>
  </si>
  <si>
    <t>19678</t>
  </si>
  <si>
    <t>День Всех Святых</t>
  </si>
  <si>
    <t>978-5-227-09438-4</t>
  </si>
  <si>
    <t>21659</t>
  </si>
  <si>
    <t>Форсайт Ф.</t>
  </si>
  <si>
    <t>День Шакала</t>
  </si>
  <si>
    <t>978-5-9524-6415-5</t>
  </si>
  <si>
    <t>Тайная организация террористов нанимает киллера. Человек-монстр по кличке Шакал не знает ни страха ни жалости, и ему нет дороги назад. На пути у него встал комиссар Лебель, с которым у преступника личные счеты…</t>
  </si>
  <si>
    <t>10463</t>
  </si>
  <si>
    <t>МБ</t>
  </si>
  <si>
    <t>Леонард Э.</t>
  </si>
  <si>
    <t>Деньги - не проблема</t>
  </si>
  <si>
    <t>978-5-9524-3636-7</t>
  </si>
  <si>
    <t>14939</t>
  </si>
  <si>
    <t>Деньги не главное</t>
  </si>
  <si>
    <t>978-5-227-04876-9</t>
  </si>
  <si>
    <t>18788</t>
  </si>
  <si>
    <t>Держи меня крепче</t>
  </si>
  <si>
    <t>978-5-227-08663-1</t>
  </si>
  <si>
    <t>18884</t>
  </si>
  <si>
    <t>Дерзкая помолвка</t>
  </si>
  <si>
    <t>978-5-227-08730-0</t>
  </si>
  <si>
    <t>18430</t>
  </si>
  <si>
    <t>Дерзкая советница властелина</t>
  </si>
  <si>
    <t>978-5-227-08397-5</t>
  </si>
  <si>
    <t>17904</t>
  </si>
  <si>
    <t>Диксон Х.</t>
  </si>
  <si>
    <t>Дерзкий незнакомец</t>
  </si>
  <si>
    <t>978-5-227-07799-8</t>
  </si>
  <si>
    <t>17326</t>
  </si>
  <si>
    <t>Дерзкий обольститель</t>
  </si>
  <si>
    <t>978-5-227-07312-9</t>
  </si>
  <si>
    <t>17472</t>
  </si>
  <si>
    <t>Дерзкое желание</t>
  </si>
  <si>
    <t>978-5-227-07479-9</t>
  </si>
  <si>
    <t>18387</t>
  </si>
  <si>
    <t>Берроуз Э.</t>
  </si>
  <si>
    <t>Дерзкое предложение дебютантки</t>
  </si>
  <si>
    <t>978-5-227-08370-8</t>
  </si>
  <si>
    <t>20349</t>
  </si>
  <si>
    <t>Дерзкое требование невесты</t>
  </si>
  <si>
    <t>978-5-227-09942-6</t>
  </si>
  <si>
    <t>15262</t>
  </si>
  <si>
    <t>Осипенко В.В.</t>
  </si>
  <si>
    <t>Десантный прыжок</t>
  </si>
  <si>
    <t>978-5-227-05198-1</t>
  </si>
  <si>
    <t>16344</t>
  </si>
  <si>
    <t>Десерты для взрослых и малышей</t>
  </si>
  <si>
    <t>978-5-227-06026-6</t>
  </si>
  <si>
    <t>21400</t>
  </si>
  <si>
    <t>Дёниц К.</t>
  </si>
  <si>
    <t>Десять лет и двадцать дней. Воспоминания главнокомандующего военно-морскими силами Германии. 1935—1945 гг.</t>
  </si>
  <si>
    <t>978-5-9524-6293-9</t>
  </si>
  <si>
    <t>В своих воспоминаниях главнокомандующий морскими силами Германии гросс-адмирал Карл Дёниц подробно рассказывает о морских сражениях Второй мировой войны. Он излагает свое видение вторжения союзников в Нормандию, свое отношение к заговору против Гитлера, описывает встречи с Редером, Герингом, Шпеером, Гиммлером и Гитлером, а также свою недолгую карьеру в качестве последнего фюрера Германии.</t>
  </si>
  <si>
    <t>15044</t>
  </si>
  <si>
    <t>Адлер Э. Н.</t>
  </si>
  <si>
    <t>Дети Вечного Жида, или Увлекательное путешествие по Средневековью. 19 рассказов странствующих еврейских ученых, купцов, послов и паломников</t>
  </si>
  <si>
    <t>978-5-9524-5108-7</t>
  </si>
  <si>
    <t>15823</t>
  </si>
  <si>
    <t>АСПЕ</t>
  </si>
  <si>
    <t>Аспе П.</t>
  </si>
  <si>
    <t>Дети Хроноса</t>
  </si>
  <si>
    <t>978-5-227-05628-3</t>
  </si>
  <si>
    <t>5878</t>
  </si>
  <si>
    <t>Руина О.</t>
  </si>
  <si>
    <t>Детские болезни Профилактика и методы лечения</t>
  </si>
  <si>
    <t>5-9524-1769-8</t>
  </si>
  <si>
    <t>14133</t>
  </si>
  <si>
    <t>Детские инфекции. Как распознать и обезвредить</t>
  </si>
  <si>
    <t>978-5-227-04038-1</t>
  </si>
  <si>
    <t>11570</t>
  </si>
  <si>
    <t>МС</t>
  </si>
  <si>
    <t>Борисова Татьяна</t>
  </si>
  <si>
    <t>Детское питание Разнообразные меню на каждый день от рождения до пяти лет</t>
  </si>
  <si>
    <t>978-5-9524-4689-2</t>
  </si>
  <si>
    <t>17215</t>
  </si>
  <si>
    <t>Адлер С.</t>
  </si>
  <si>
    <t>Джейкоб Генри Шифф. Гений финансового мира и главный спонсор русских революций</t>
  </si>
  <si>
    <t>978-5-9524-5218-3</t>
  </si>
  <si>
    <t>18644</t>
  </si>
  <si>
    <t>Шалыгин В.В.</t>
  </si>
  <si>
    <t>Джокер</t>
  </si>
  <si>
    <t>978-5-227-08643-3</t>
  </si>
  <si>
    <t>0144</t>
  </si>
  <si>
    <t>Джокер в колоде</t>
  </si>
  <si>
    <t>978-5-227-06954-2</t>
  </si>
  <si>
    <t>20594</t>
  </si>
  <si>
    <t>Невинс А.</t>
  </si>
  <si>
    <t>Джон Д. Рокфеллер. Промышленник и филантроп</t>
  </si>
  <si>
    <t>978-5-9524-5932-8</t>
  </si>
  <si>
    <t>В предлагаемой книге автор Аллан Невинс анализирует многогранную, но в то же время в определенном смысле ограниченную личность Джона Д. Рокфеллера. Детские годы, неординарные родители, начало пути в бизнесе, где было многое: и подкуп чиновников, и разорение конкурентов, — словом, все, что характеризует первый этап дикого капитализма. Но при этом с первых дней своей деятельности Рокфеллер много и последовательно жертвовал как церковной общине, так и, впоследствии, фонду, который до сих пор существует и носит его имя. Эта книга раскрывает тайны того, как удалось одному человеку сконцентрировать в своей личности такое мощное влияние на судьбы всего человечества.</t>
  </si>
  <si>
    <t>20405</t>
  </si>
  <si>
    <t>Бирс А.</t>
  </si>
  <si>
    <t>Диагноз смерти</t>
  </si>
  <si>
    <t>978-5-9524-5516-0</t>
  </si>
  <si>
    <t>Литературное наследие знаменитого американского писателя Амброза Бирса (1842—1914) получило высокую оценку у современников и последователей. Он считается великолепным мастером короткой прозы. В сборник, который вы держите в руках, включены сорок пять коротких и точных как выстрелы рассказов, написанных в стиле легендарного мастера ужасов Эдгара Алана По, преемником которого считают Амброза Бирса. _x000D_
Все рассказы отличаются напряженностью сюжета, развивающегося, как правило, в крайне необычных обстоятельствах…</t>
  </si>
  <si>
    <t>19650</t>
  </si>
  <si>
    <t>Агишев Р.</t>
  </si>
  <si>
    <t>Диверсант Петра Великого</t>
  </si>
  <si>
    <t>978-5-227-09435-3</t>
  </si>
  <si>
    <t>9666</t>
  </si>
  <si>
    <t>ПАЗЛЫ</t>
  </si>
  <si>
    <t>Пазлы игрушка</t>
  </si>
  <si>
    <t>Дигимон арт 500 54 эл</t>
  </si>
  <si>
    <t>21396</t>
  </si>
  <si>
    <t>Помрой Х., Адамсон И.</t>
  </si>
  <si>
    <t>Диета для ускорения метаболизма</t>
  </si>
  <si>
    <t>978-5-9524-6284-7</t>
  </si>
  <si>
    <t>Хэйли Помрой – автор уникальной методики, диетолог знаменитостей, «гуру метаболизма», как ее называют звездные пациенты, раскрывает тайны функционирования обмена веществ. С научной точки зрения она объясняет, что замедляет метаболизм и как с помощью здорового питания и умеренных физических нагрузок можно его ускорить, превратив организм в печь для сжигания жира. Благодаря этой программе за месяц вы сможете сбросить до 14 кг без голодания, подсчета калорий и изнуряющих тренировок. Вы не только станете стройнее, но и улучшите лабораторные показатели крови, снизите давление, отбалансируете гормональную систему и укрепите иммунитет. В книге вы найдете списки рекомендованных продуктов и еженедельные варианты меню, а также более 50 оригинальных авторских рецептов необычайно полезных, вкусных и вместе с тем простых блюд.</t>
  </si>
  <si>
    <t>13964</t>
  </si>
  <si>
    <t>Морено М.</t>
  </si>
  <si>
    <t>Диета доктора Морено. Результат за 17 дней</t>
  </si>
  <si>
    <t>978-5-227-04086-2</t>
  </si>
  <si>
    <t>20893</t>
  </si>
  <si>
    <t>Дикий ветер желания</t>
  </si>
  <si>
    <t>978-5-227-10446-5</t>
  </si>
  <si>
    <t>Владелец охранной компании Ангус Дочерти внезапно узнает, что три года назад стал отцом двух мальчиков. Выяснив, что у их матери возникли серьезные проблемы, он предлагает ей уехать с ним на Сейшелы. Скрываясь на острове, они стараются понять, как им жить дальше. Ведь взаимная страсть снова вскружила им головы…</t>
  </si>
  <si>
    <t>19562</t>
  </si>
  <si>
    <t>Роско П.</t>
  </si>
  <si>
    <t>Дикое пламя чувств</t>
  </si>
  <si>
    <t>978-5-227-09160-4</t>
  </si>
  <si>
    <t>20215</t>
  </si>
  <si>
    <t>РАМКА КЛАССИКА</t>
  </si>
  <si>
    <t>Веденеев В.В.</t>
  </si>
  <si>
    <t>Дикое поле</t>
  </si>
  <si>
    <t>978-5-227-09831-3</t>
  </si>
  <si>
    <t>18115</t>
  </si>
  <si>
    <t>Переяславцев А., Иванов М.</t>
  </si>
  <si>
    <t>Длинные руки нейтралитета</t>
  </si>
  <si>
    <t>978-5-227-08215-2</t>
  </si>
  <si>
    <t>20211</t>
  </si>
  <si>
    <t>Для любви нет преград</t>
  </si>
  <si>
    <t>978-5-227-09691-3</t>
  </si>
  <si>
    <t>19103</t>
  </si>
  <si>
    <t>Эванс К.</t>
  </si>
  <si>
    <t>Для нас нет невозможного</t>
  </si>
  <si>
    <t>978-5-227-08944-1</t>
  </si>
  <si>
    <t>16422</t>
  </si>
  <si>
    <t>Миллер Л.</t>
  </si>
  <si>
    <t>Для отвода глаз</t>
  </si>
  <si>
    <t>978-5-227-06363-2</t>
  </si>
  <si>
    <t>20235</t>
  </si>
  <si>
    <t>Пирлинг П.О.</t>
  </si>
  <si>
    <t>Дмитрий Самозванец. Конец дома Рюриковичей. Легенда об императоре. Апогей и катастрофа. Поляки в Кремле</t>
  </si>
  <si>
    <t>978-5-227-09947-1</t>
  </si>
  <si>
    <t>17408</t>
  </si>
  <si>
    <t>Рогачев А.</t>
  </si>
  <si>
    <t>Дмитровское шоссе. Расцвет, упадок и большие надежды Дмитровского направления</t>
  </si>
  <si>
    <t>978-5-227-06633-6</t>
  </si>
  <si>
    <t>75х108 1/32</t>
  </si>
  <si>
    <t>19167</t>
  </si>
  <si>
    <t>Гончарова Т.И</t>
  </si>
  <si>
    <t>Дневник длиною в жизнь. История одной судьбы, в которой две войны и много мира. 1916–1991.</t>
  </si>
  <si>
    <t>978-5-227-09126-0</t>
  </si>
  <si>
    <t>21496</t>
  </si>
  <si>
    <t>Пабст Гельмут</t>
  </si>
  <si>
    <t>Дневник немецкого солдата. Военные будни на Восточном фронте. 1941—1943</t>
  </si>
  <si>
    <t>978-5-9524-6254-0</t>
  </si>
  <si>
    <t>Дневник Гельмута Пабста повествует о трех зимних и двух летних периодах жестоких боев группы армий «Центр», продвигавшейся на восток в направлении Белосток—Минск—Смоленск—Москва. Вы узнаете, как воспринималась война не только солдатом, исполняющим свой долг, но человеком, искренне симпатизировавшим русским и проявившим полное отвращение к нацистской идеологии.</t>
  </si>
  <si>
    <t>21497</t>
  </si>
  <si>
    <t>Лилье М.И.</t>
  </si>
  <si>
    <t>Дневник осады Порт-Артура. Полная хронология героической обороны. Свидетельства очевидца событий капитана военно-инженерной службы</t>
  </si>
  <si>
    <t>978-5-9524-6326-4</t>
  </si>
  <si>
    <t>Книга представляет собой дневник потомственного военного инженера М.И. Лилье, активного участника героической обороны Порт-Артура от первого дня до последнего. Читатель найдет в ней как общие оценки Русско-японской войны и действий генералитета, так и взгляд боевого офицера «из окопов»._x000D_
Издание имеет несомненное научное и публицистическое значение.</t>
  </si>
  <si>
    <t>21880</t>
  </si>
  <si>
    <t>Кноке Х.</t>
  </si>
  <si>
    <t>Дневник офицера люфтваффе. Летчик-истребитель о воздушных боях над Европой и Северным морем. 1939—19</t>
  </si>
  <si>
    <t>978-5-9524-6537-4</t>
  </si>
  <si>
    <t>На страницах дневника немецкого офицера, летчика-истребителя, Хайнца Кноке передана атмосфера сначала предвоенной, а затем и военной Германии. Непосредственный участник тех страшных и драматичных событий подробно описывает боевые вылеты и смерти товарищей, пирушки после удачных побед, слезы матерей и любимых, чувства, переживаемые бесстрашными асами в каждом полете, и горечь от утраты нацистских иллюзий.</t>
  </si>
  <si>
    <t>4085</t>
  </si>
  <si>
    <t>ДНЕВНИК</t>
  </si>
  <si>
    <t>Вид 8</t>
  </si>
  <si>
    <t>Дневник школьника</t>
  </si>
  <si>
    <t>5-9524-08</t>
  </si>
  <si>
    <t>11840</t>
  </si>
  <si>
    <t>НИ СРП</t>
  </si>
  <si>
    <t>Мартиди Е.</t>
  </si>
  <si>
    <t>Дневники Танго</t>
  </si>
  <si>
    <t>978-5-227-01953-0</t>
  </si>
  <si>
    <t>14760</t>
  </si>
  <si>
    <t>Клири А.</t>
  </si>
  <si>
    <t>Дни под солнцем</t>
  </si>
  <si>
    <t>978-5-227-04715-1</t>
  </si>
  <si>
    <t>19185</t>
  </si>
  <si>
    <t>Дни, когда все было…</t>
  </si>
  <si>
    <t>978-5-227-09100-0</t>
  </si>
  <si>
    <t>17903</t>
  </si>
  <si>
    <t>Добавь огня этой ночи</t>
  </si>
  <si>
    <t>978-5-227-07996-1</t>
  </si>
  <si>
    <t>18585</t>
  </si>
  <si>
    <t>Добейся меня, герой</t>
  </si>
  <si>
    <t>978-5-227-08514-6</t>
  </si>
  <si>
    <t>2458</t>
  </si>
  <si>
    <t>Доберман</t>
  </si>
  <si>
    <t>5-227-01104-4</t>
  </si>
  <si>
    <t>4305</t>
  </si>
  <si>
    <t>3335</t>
  </si>
  <si>
    <t>РЛС</t>
  </si>
  <si>
    <t>Доберман пинчер</t>
  </si>
  <si>
    <t>5-227-01808-1</t>
  </si>
  <si>
    <t>21409</t>
  </si>
  <si>
    <t>Безугольный А.Ю.</t>
  </si>
  <si>
    <t>Добровольцы и ополченцы в военной организации Советского государства. 1917—1945 гг.</t>
  </si>
  <si>
    <t>978-5-227-10854-8</t>
  </si>
  <si>
    <t>Работа доктора исторических наук А.Ю. Безугольного посвящена истории добровольческого способа комплектования войск Красной армии, а также военизированных формирований, создававшихся вне структуры военного ведомства, — народного ополчения, истребительных батальонов и иных подразделений, в основе своей укомплектованных гражданскими лицами. Интересы власти, вербующей добровольцев, и мотивация самих добровольцев, откликающихся на призыв власти; нормативное регулирование и социально-правовое положение добровольцев; принципы и формы комплектования добровольческих частей; деятельность центрального и местных партийно-государственных аппаратов и органов военного управления по вербовке добровольцев и организации добровольческих частей — все это предмет данного исследования. Книга основана на большом массиве документального материала, значительная часть которого вводится в научный оборот впервые.</t>
  </si>
  <si>
    <t>14960</t>
  </si>
  <si>
    <t>Скотт Б.</t>
  </si>
  <si>
    <t>Добропорядочный распутник</t>
  </si>
  <si>
    <t>978-5-227-04951-3</t>
  </si>
  <si>
    <t>18176</t>
  </si>
  <si>
    <t>Добытчик</t>
  </si>
  <si>
    <t>978-5-227-08239-8</t>
  </si>
  <si>
    <t>20416</t>
  </si>
  <si>
    <t>Доверься мне вновь</t>
  </si>
  <si>
    <t>978-5-227-10085-6</t>
  </si>
  <si>
    <t>Визажист Блэр Уэсткотт определенно не была похожа на злодейку. И все же Лукас Дешам, глава известного косметического бренда «Дешам», подозревает в ней шпионку, намеревающуюся разрушить его семейный бизнес. Лукас начинает следить за Блэр и вскоре знакомится с ней, чтобы наперед предугадать любое коварное действие с ее стороны. Но он и сам не замечает, как ненависть к этой красивой девушке постепенно уступает место нежному и трогательному отношению…</t>
  </si>
  <si>
    <t>14489</t>
  </si>
  <si>
    <t>FICTION</t>
  </si>
  <si>
    <t>Остин Дж.</t>
  </si>
  <si>
    <t>Доводы рассудка</t>
  </si>
  <si>
    <t>978-5-227-04495-2</t>
  </si>
  <si>
    <t>Энн Эллиот обладала привлекательной наружностью, тонким умом и мягким, спокойным нравом. Она могла бы стать счастливой, выйдя замуж за лейтенанта Фредерика Вентворта, с которым ее связывало глубокое и сильное чувство, но отказала ему, уступив благоразумным доводам родных и своего тщеславного отца, посчитавшего подобный брак крайне унизительным для благородного рода Эллиотов. Спустя восемь с половиной лет, в которые Энн ни одного дня не забывала о своей любви, она снова встречает Вентворта, теперь уже славного капитана и состоятельного человека, но не надеется найти в нем прежнее чувство и прощение за предательство…</t>
  </si>
  <si>
    <t>6040</t>
  </si>
  <si>
    <t>Доврачебная медицинская помощь</t>
  </si>
  <si>
    <t>5-9524-1863-5</t>
  </si>
  <si>
    <t>11563</t>
  </si>
  <si>
    <t>Хилл Д.</t>
  </si>
  <si>
    <t>Договорняк. Предельно откровенная книга о коррупции в мировом спорте</t>
  </si>
  <si>
    <t>978-5-9524-4700-4</t>
  </si>
  <si>
    <t>17545</t>
  </si>
  <si>
    <t>Дождись меня</t>
  </si>
  <si>
    <t>978-5-227-07322-8</t>
  </si>
  <si>
    <t>19437</t>
  </si>
  <si>
    <t>О’Лири Д.Л.</t>
  </si>
  <si>
    <t>Доисламская история арабов. Древние царства сынов Востока</t>
  </si>
  <si>
    <t>978-5-9524-5458-3</t>
  </si>
  <si>
    <t>21492</t>
  </si>
  <si>
    <t>Кларк Грэм</t>
  </si>
  <si>
    <t>Доисторический мир</t>
  </si>
  <si>
    <t>978-5-9524-6177-2</t>
  </si>
  <si>
    <t>Профессор археологии Кембриджского университета и знаток предыстории человечества Грэм Кларк раскладывает перед читателем пеструю мозаику описаний первобытных культур во всех уголках земного шара, пытаясь объяснить, почему появились первые поселения людей, рассказывая, как они распространялись по миру, какие ступени развития прошли известные нам древнейшие цивилизации, чем отличались и чем были похожи их культуры. Кларк дает нам возможность представить, насколько мир в доисторические времена был не похож на сегодняшний, в каком климате жили наши предки, как добывали пропитание, в каких жилищах обитали, во что одевались, как их чувства воплощались в первые произведения искусства, как постепенно, накапливая знания об окружающем мире, они совершенствовали свои технологии.</t>
  </si>
  <si>
    <t>21735</t>
  </si>
  <si>
    <t>Александер Э.</t>
  </si>
  <si>
    <t>Доказательство Рая. Реальный опыт нейрохирурга</t>
  </si>
  <si>
    <t>978-5-9524-6463-6</t>
  </si>
  <si>
    <t>"В этой книге доктор Эбен Александер, нейрохирург с 25-летним стажем, профессор, преподававший в Гарвардской медицинской школе и других крупных американских университетах, делится с читателем впечатлениями о своем путешествии на тот свет. 
Его случай уникален. Пораженный внезапной и необъяснимой формой бактериального менингита, он чудесным образом исцелился после семидневной комы. Высокообразованный медик с огромным практическим опытом, который прежде не только не верил в загробную жизнь, но и мысли о ней не допускал, испытал перемещение своего «я» в высшие миры и столкнулся там с такими поразительными явлениями и откровениями, что, вернувшись к земной жизни, счел своим долгом ученого и врачевателя поведать о них всему миру."</t>
  </si>
  <si>
    <t>17600</t>
  </si>
  <si>
    <t>Долг, оплаченный страстью</t>
  </si>
  <si>
    <t>978-5-227-07615-1</t>
  </si>
  <si>
    <t>19285</t>
  </si>
  <si>
    <t>ПОИСК</t>
  </si>
  <si>
    <t>Кузнецов И.</t>
  </si>
  <si>
    <t>Долг. Глубокий поиск</t>
  </si>
  <si>
    <t>978-5-227-09167-3</t>
  </si>
  <si>
    <t>16540</t>
  </si>
  <si>
    <t>Халилов Н</t>
  </si>
  <si>
    <t>Долгая дорога домой</t>
  </si>
  <si>
    <t>978-5-227-06418-9</t>
  </si>
  <si>
    <t>15709</t>
  </si>
  <si>
    <t>Долгий путь домой</t>
  </si>
  <si>
    <t>978-5-227-05649-8</t>
  </si>
  <si>
    <t>20150</t>
  </si>
  <si>
    <t>Фуллер Л</t>
  </si>
  <si>
    <t>Долгий путь к счастью</t>
  </si>
  <si>
    <t>978-5-227-09602-9</t>
  </si>
  <si>
    <t>16362</t>
  </si>
  <si>
    <t>Грейвс Пола</t>
  </si>
  <si>
    <t>Долина влюбленных</t>
  </si>
  <si>
    <t>978-5-227-06270-3</t>
  </si>
  <si>
    <t>7876</t>
  </si>
  <si>
    <t>Ковальчук Елена</t>
  </si>
  <si>
    <t>Долой послеродовую депрессию Пособие для будущих мам</t>
  </si>
  <si>
    <t>978-5-9524-2736-5</t>
  </si>
  <si>
    <t>15908</t>
  </si>
  <si>
    <t>Линдаут А., Корбетт С.</t>
  </si>
  <si>
    <t>Дом в небе</t>
  </si>
  <si>
    <t>978-5-227-05849-2</t>
  </si>
  <si>
    <t>18184</t>
  </si>
  <si>
    <t>Дом на холодном холме</t>
  </si>
  <si>
    <t>978-5-227-08229-9</t>
  </si>
  <si>
    <t>17318</t>
  </si>
  <si>
    <t>978-5-227-07344-0</t>
  </si>
  <si>
    <t>4481</t>
  </si>
  <si>
    <t>ГР</t>
  </si>
  <si>
    <t>Николь К.</t>
  </si>
  <si>
    <t>Дом на Ястребином мысу</t>
  </si>
  <si>
    <t>5-9524-0766-8</t>
  </si>
  <si>
    <t>19535</t>
  </si>
  <si>
    <t>Липатова Н.П</t>
  </si>
  <si>
    <t>Дом над облаками</t>
  </si>
  <si>
    <t>978-5-227-09232-8</t>
  </si>
  <si>
    <t>21125</t>
  </si>
  <si>
    <t>Фергюсон Н.</t>
  </si>
  <si>
    <t>Дом Ротшильдов. Пророки денег. 1798—1848</t>
  </si>
  <si>
    <t>978-5-227-10668-1</t>
  </si>
  <si>
    <t>Блестящий труд Н. Фергюсона основан на редких документах и десятках тысяч писем из семейного архива Ротшильдов. В этой увлекательнейшей семейной саге автор раскрывает тайны феноменального экономического успеха династии и ее доминирования в качестве мировой политической и финансовой силы на протяжении многих десятилетий с момента основания до середины XIX века.</t>
  </si>
  <si>
    <t>10699</t>
  </si>
  <si>
    <t>Дом с мезонином в наследство</t>
  </si>
  <si>
    <t>978-5-9524-3834-7</t>
  </si>
  <si>
    <t>18627</t>
  </si>
  <si>
    <t>Дом сбывшихся надежд</t>
  </si>
  <si>
    <t>978-5-227-08511-5</t>
  </si>
  <si>
    <t>21193</t>
  </si>
  <si>
    <t>Никитенко Г.Ю. , Соболь В.Д.</t>
  </si>
  <si>
    <t>Дома и люди Васильевского острова</t>
  </si>
  <si>
    <t>978-5-227-10726-8</t>
  </si>
  <si>
    <t>Это уникальное издание познакомит вас с Васильевским островом – центром науки, образования, средоточием музеев и крупной промышленной зоной. _x000D_
Вы узнаете мельчайшие подробности о каждой из улиц района,  историю ее названия, изменения  в нумерации зданий, биографию домов и сведения об их строителях, владельцах и интересных жильцах._x000D_
Книга построена по принципу энциклопедического справочника, где в алфавитном порядке можно проследить историю развития Васильевского острова. Адмиральский проезд, Биржевая площадь, переулок Декабристов, Университетская набережная, Шкиперский проток – раскроют вам свои тайны и секреты._x000D_
Авторы по крупицам собрали множество неизвестных фактов и материалов, которые заинтересуют всех, кому небезразлична  история Санкт-Петербурга.</t>
  </si>
  <si>
    <t>17527</t>
  </si>
  <si>
    <t>Домашние заготовки из мяса, рыбы, птицы. Рецепты колбас и ветчины, копчение и соление, вяление и консервирование</t>
  </si>
  <si>
    <t>978-5-227-07546-8</t>
  </si>
  <si>
    <t>21648</t>
  </si>
  <si>
    <t>Карлсон Д, Гиффин Д, _x000D_
Карлсон Л</t>
  </si>
  <si>
    <t>Домашний ветеринарный справочник для владельцев кошек</t>
  </si>
  <si>
    <t>978-5-9524-6194-9</t>
  </si>
  <si>
    <t>В книге описаны наиболее часто встречающиеся заболевания и врожденные пороки развития у кошек, наблюдающиеся от рождения до старости, методы их лечения и профилактики.</t>
  </si>
  <si>
    <t>21649</t>
  </si>
  <si>
    <t>Домашний ветеринарный справочник для владельцев собак</t>
  </si>
  <si>
    <t>978-5-9524-6195-6</t>
  </si>
  <si>
    <t>В книге отражены наиболее часто встречающиеся заболевания и врожденные пороки развития у собак, наблюдающиеся от рождения до старости, меры их лечения и профилактики._x000D_
Приведено 190 иллюстраций, схем и таблиц. Даны обиходные и международные названия заболеваний, симптомов, синдромов и лекарственных препаратов, которые можно приобрести в аптеках.</t>
  </si>
  <si>
    <t>14964</t>
  </si>
  <si>
    <t>Домашний педиатр. Все, что нужно знать о детских болезнях</t>
  </si>
  <si>
    <t>978-5-227-04838-7</t>
  </si>
  <si>
    <t>12045</t>
  </si>
  <si>
    <t>Домашний столяр</t>
  </si>
  <si>
    <t>978-5-227-02217-2</t>
  </si>
  <si>
    <t>16876</t>
  </si>
  <si>
    <t>Зорин И.</t>
  </si>
  <si>
    <t>Домашняя коптильня</t>
  </si>
  <si>
    <t>978-5-227-06916-0</t>
  </si>
  <si>
    <t>17304</t>
  </si>
  <si>
    <t>Дональд Трамп. Роль и маска. От ведущего реалити-шоу до хозяина Белого дома</t>
  </si>
  <si>
    <t>978-5-227-07359-4</t>
  </si>
  <si>
    <t>17313</t>
  </si>
  <si>
    <t>Юречко О.</t>
  </si>
  <si>
    <t>Донатас Банионис. Волны океана Соляриса</t>
  </si>
  <si>
    <t>978-5-227-06627-5</t>
  </si>
  <si>
    <t>16024</t>
  </si>
  <si>
    <t>УКРАИНА</t>
  </si>
  <si>
    <t>Северский В.</t>
  </si>
  <si>
    <t>Донбасс в огне: хроники необъявленной войны. Апрель-сентябрь 2014</t>
  </si>
  <si>
    <t>978-5-227-05970-3</t>
  </si>
  <si>
    <t>21156</t>
  </si>
  <si>
    <t>Донская армия в борьбе с большевиками</t>
  </si>
  <si>
    <t>978-5-227-10135-8</t>
  </si>
  <si>
    <t>Книга представляет собой 23-й том из серии, посвященной Белому движению в России, и рассматривает борьбу донского казачества против большевизма. В ней собраны материалы о собственно донских формированиях и их боевых действиях от знаменитого Степного похода под руководством генерала П.Х. Попова до конца существования Донской армии в составе ВСЮР. Большое внимание уделено воспоминаниям о рейде по тылам большевиков генерала К.К. Мамонтова, запискам генералов П.Н. Краснова и А.В. Голубинцева._x000D_
Недаром Область Всевеликого Войска Донского называли Русской Вандеей._x000D_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</si>
  <si>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20239</t>
  </si>
  <si>
    <t>Волвенко А.А.</t>
  </si>
  <si>
    <t>Донское казачество позднеимперской эпохи. Земля. Служба. Власть. 2­я половина XIX в. - начало XX в.</t>
  </si>
  <si>
    <t>978-5-227-10010-8</t>
  </si>
  <si>
    <t>10025</t>
  </si>
  <si>
    <t>ИНТ Б</t>
  </si>
  <si>
    <t>Эймс Дж.</t>
  </si>
  <si>
    <t>Дополнительный человек</t>
  </si>
  <si>
    <t>978-5-9524-3178-2</t>
  </si>
  <si>
    <t>15852</t>
  </si>
  <si>
    <t>Бакатин В.В.</t>
  </si>
  <si>
    <t>Дорога в прошедшем времени</t>
  </si>
  <si>
    <t>978-5-227-05726-6</t>
  </si>
  <si>
    <t>17725</t>
  </si>
  <si>
    <t>Дорога в страну наслаждения</t>
  </si>
  <si>
    <t>978-5-227-07719-6</t>
  </si>
  <si>
    <t>21788</t>
  </si>
  <si>
    <t>ЗАРУБ ДЕТЕКТИВ</t>
  </si>
  <si>
    <t>Дорога домой</t>
  </si>
  <si>
    <t>978-5-9524-6473-5</t>
  </si>
  <si>
    <t>Субботний вечер, начало одиннадцатого. Джулс Таннберг дежурит в волонтерской телефонной службе ночного сопровождения для женщин, которым стало страшно по пути домой, и они нуждаются в виртуальном попутчике. Легкой доброжелательной беседой он создаст впечатление, что женщина не одна в темных пустынных уголках города, а при необходимости вызовет помощь. Но при по-настоящему опасной для жизни ситуации сюда еще никто не обращался. До сегодняшнего вечера, когда Джулс ответил на звонок Клары. Молодая женщина до смерти напугана. Она утверждает, что ее преследует мужчина, который уже однажды напал на нее и кровью написал на стене спальни дату: день смерти Клары! И до наступления этого дня осталось менее двух часов...</t>
  </si>
  <si>
    <t>17212</t>
  </si>
  <si>
    <t>Дорога к убийству</t>
  </si>
  <si>
    <t>978-5-227-07153-8</t>
  </si>
  <si>
    <t>16423</t>
  </si>
  <si>
    <t>Дорога теней</t>
  </si>
  <si>
    <t>978-5-227-06364-9</t>
  </si>
  <si>
    <t>18291</t>
  </si>
  <si>
    <t>Дорогами миров</t>
  </si>
  <si>
    <t>978-5-227-08347-0</t>
  </si>
  <si>
    <t>8746</t>
  </si>
  <si>
    <t>Лобановская И.</t>
  </si>
  <si>
    <t>Дорогая кузина</t>
  </si>
  <si>
    <t>978-5-9524-2990-1</t>
  </si>
  <si>
    <t>12129</t>
  </si>
  <si>
    <t>THE BEST</t>
  </si>
  <si>
    <t>Новак Б.</t>
  </si>
  <si>
    <t>Дорогая Мэгги</t>
  </si>
  <si>
    <t>978-5-227-02253-0</t>
  </si>
  <si>
    <t>14580</t>
  </si>
  <si>
    <t>Дорогой, все будет по-моему!</t>
  </si>
  <si>
    <t>978-5-227-04621-5</t>
  </si>
  <si>
    <t>20096</t>
  </si>
  <si>
    <t>Робинсон Р.</t>
  </si>
  <si>
    <t>Доспехи народов Востока. История оборонительного вооружения</t>
  </si>
  <si>
    <t>978-5-9524-5667-9</t>
  </si>
  <si>
    <t>18197</t>
  </si>
  <si>
    <t>Достойный жених для Клэр</t>
  </si>
  <si>
    <t>978-5-227-08211-4</t>
  </si>
  <si>
    <t>18878</t>
  </si>
  <si>
    <t>Саган И., Кейн А.</t>
  </si>
  <si>
    <t>Дотянуться до престола</t>
  </si>
  <si>
    <t>978-5-227-08835-2</t>
  </si>
  <si>
    <t>12540</t>
  </si>
  <si>
    <t>ЛЕГЕНДЫ</t>
  </si>
  <si>
    <t>Дочь по крови</t>
  </si>
  <si>
    <t>978-5-227-02610-1</t>
  </si>
  <si>
    <t>18223</t>
  </si>
  <si>
    <t>Аннабел Э</t>
  </si>
  <si>
    <t>Дочь того самого Джойса</t>
  </si>
  <si>
    <t>978-5-227-08253-4</t>
  </si>
  <si>
    <t>15682</t>
  </si>
  <si>
    <t>Драгоценная ночь</t>
  </si>
  <si>
    <t>978-5-227-05658-0</t>
  </si>
  <si>
    <t>16813</t>
  </si>
  <si>
    <t>Вульф Т.А.</t>
  </si>
  <si>
    <t>Драгоценная страсть</t>
  </si>
  <si>
    <t>978-5-227-06801-9</t>
  </si>
  <si>
    <t>21494</t>
  </si>
  <si>
    <t>Кунц Дж.Ф.</t>
  </si>
  <si>
    <t>Драгоценные камни в мифах и легендах</t>
  </si>
  <si>
    <t>978-5-9524-6178-9</t>
  </si>
  <si>
    <t>Известный знаток и почитатель драгоценных камней Джордж Кунц собрал в своей книге уникальную коллекцию мифов, легенд и волшебных историй о минералах. Он увлекательно рассказывает о старинных верованиях, посвященных камням-амулетам и талисманам, об астрологических предсказаниях и мистических ощущениях, которые с древних времен люди основывали как на магических, так и на реальных свойствах самоцветов. Автор анализирует и объясняет необычайно сложную символику камней, в которую до такой степени верили во все времена, что порой драматическим образом менялись судьбы целых династий, а также предлагает читателям разобраться в прошедших сквозь века преданиях разных народов и воспользоваться их опытом, чтобы отыскать собственный камень-хранитель.</t>
  </si>
  <si>
    <t>17119</t>
  </si>
  <si>
    <t>Дразнящие ласки</t>
  </si>
  <si>
    <t>978-5-227-07125-5</t>
  </si>
  <si>
    <t>21090</t>
  </si>
  <si>
    <t>Драконы могучие и прекрасные. Легендарные ящеры. Огнедышащие, ледяные, водяные драконы в гороскопах, сказаниях и мифах</t>
  </si>
  <si>
    <t>978-5-9524-6061-4</t>
  </si>
  <si>
    <t>Драконы… Могучие и прекрасные, свирепые и добрые, несущие разрушение и великодушные. Они живут в мифах и легендах многих народов мира. Драконы — очень популярные персонажи в литературе в стиле фэнтези и видеоиграх, игрушечных драконов обожают дети… Драконья тема имеет огромное количество поклонников, а образ дракона также используется в фэншуй и астрологии. Дракон — единственное мифическое существо, которое встало в ряд восточного зодиакального круга рядом с одиннадцатью реальными животными. Не значит ли это, что когда-то драконы действительно жили на Земле? Драконы объединили в себе все четыре стихии: земля, воздух, вода и огонь. Это сделало их самыми удивительными, разумными, живучими и необыкновенными из сказочных созданий. Кроме разума, драконы были наделены и сверхъестественными способностями, что сделало их невероятно могущественными._x000D_
Читайте книгу, и вы узнаете много интересного об этих неповторимых магических существах.</t>
  </si>
  <si>
    <t>20470</t>
  </si>
  <si>
    <t>Драма по-королевски</t>
  </si>
  <si>
    <t>978-5-227-09856-6</t>
  </si>
  <si>
    <t>Александр – наследный принц Кордины, небольшого, но сказочно прекрасного средиземноморского  княжества. Казалось бы, все в его власти, любое желание исполнимо. Вот только Ева Гамильтон, которую он впервые увидел несколько лет назад и с тех пор не может забыть, слишком независима, самостоятельна и свободолюбива, чтобы ей можно было приказывать. Ева – преуспевающий театральный продюсер и приехала в Кордину из Америки, чтобы поставить на сцене Королевского театра любовную драму. Увле­ченная работой, она не подозревает, в какую ловушку угодило ее сердце…</t>
  </si>
  <si>
    <t>17743</t>
  </si>
  <si>
    <t>Древние греки. От возвышения Афин в эпоху греко-персидских войн</t>
  </si>
  <si>
    <t>978-5-9524-5281-7</t>
  </si>
  <si>
    <t>20797</t>
  </si>
  <si>
    <t>ДЦ НОВ</t>
  </si>
  <si>
    <t>Фахри А.</t>
  </si>
  <si>
    <t>Древние загадки фараонов</t>
  </si>
  <si>
    <t>978-5-9524-6010-2</t>
  </si>
  <si>
    <t>В Египте около сотни пирамид. Большие и маленькие, ступенчатые и идеально гладкие, они расположены по берегам Нила неподалеку от древней столицы страны. Но самые известные пирамиды Египта находятся в Гизе. Кто и с какой целью их возводил? Какие строительные материалы и технику использовали древние строители? Почему так сложна система внутренних ходов? В книге рассказывается обо всех самых значительных сооружениях Египта, и на основе открытий историков и археологов предстает грандиозная панорама религиозных и социально­экономических преобразований этой страны на протяжении огромного периода времени.</t>
  </si>
  <si>
    <t>21476</t>
  </si>
  <si>
    <t>Макговерн У.М.</t>
  </si>
  <si>
    <t>Древние империи Центральной Азии. Скифы и гунны в мировой истории</t>
  </si>
  <si>
    <t>978-5-9524-6252-6</t>
  </si>
  <si>
    <t>Уильям Монтгомери Макговерн — американский исследователь, профессор Северо-Западного университета, штат Иллинойс, антрополог, журналист и путешественник — представляет свой труд по истории Центральной Азии, отмечая ее значение в развитии цивилизаций Древнего мира. Макговерн обращает внимание на важную роль, которую играла Центральная Азия в культурной истории человечества и как центр, где развивались многие традиции и виды искусства, и как посредник между всеми крупными культурными центрами Древнего мира. Автор отмечает историческую значимость нашествий, совершенных различными центральноазиатскими народами. С самых ранних времен эту территорию населяли как минимум две отдельные и различные в расовом и языковом отношении группы, которые именуют скифами и гуннами.</t>
  </si>
  <si>
    <t>19256</t>
  </si>
  <si>
    <t>Мазуркевич С.А.</t>
  </si>
  <si>
    <t>Древние сексуальные руководства. Мифы, заблуждения и прочие удивительные и неожиданные сведения</t>
  </si>
  <si>
    <t>978-5-227-07828-5</t>
  </si>
  <si>
    <t>20919</t>
  </si>
  <si>
    <t>Дэвидсон Х.Э.</t>
  </si>
  <si>
    <t>Древние скандинавы. Сыны северных богов</t>
  </si>
  <si>
    <t>978-5-9524-6033-1</t>
  </si>
  <si>
    <t>Скандинавские страны — Исландия, Дания, Норвегия и Швеция, — несмотря на близость культур и традиций, все же очень отличаются друг от друга. Используя археологические отчеты, описания наскальных рисунков, анализируя и сопоставляя изделия древних ремесленников, Хильда Эллис Дэвидсон реконструировала целостную картину представлений об окружающем мире бесстрашного северного человека, создавшего пантеон языческих богов и превыше всего ценившего боевую славу и толкование мудрых рун.</t>
  </si>
  <si>
    <t>17744</t>
  </si>
  <si>
    <t>Старр Ч.</t>
  </si>
  <si>
    <t>Древние цивилизации Евразии. Исторический путь от возникновения человечества до крушения Римской империи</t>
  </si>
  <si>
    <t>978-5-9524-5277-0</t>
  </si>
  <si>
    <t>21290</t>
  </si>
  <si>
    <t>Киддер Д. Э.</t>
  </si>
  <si>
    <t>Древние японцы. Предки легендарных самураев</t>
  </si>
  <si>
    <t>978-5-9524-6140-6</t>
  </si>
  <si>
    <t>Археологические исследования кьёкемёдингов (раковинных куч), могильных курганов и анализ древних японских хроник позволяют восстановить структуру и быт японского общества в периоды Дзёмон и Яёй. Книга знакомит с ремеслами и архитектурой, верованиями и обрядами древних японцев и представляет плеяду императоров добуддийского периода и пантеон богов, возглавляемый богиней солнца Аматэрасу.</t>
  </si>
  <si>
    <t>21270</t>
  </si>
  <si>
    <t>Куланж Ф.де</t>
  </si>
  <si>
    <t>Древний город. Греческие и римские города-государства с начала их истории: религиозные верования, семейный уклад, общественные институты и правители</t>
  </si>
  <si>
    <t>978-5-227-10750-3</t>
  </si>
  <si>
    <t>Книга известного французского историка Фюстеля де Куланжа посвящена истории древних цивилизаций. Свое исследование автор начинает с изучения религии древних. По его мнению, «верования о душе и смерти» лежат в основе всех обычаев, обрядов, самого образа жизни древнего человека. Анализируя взаимоотношения между религией, законами и общественными институтами, Куланж пришел к выводу, что все более или менее значительные изменения в общественной жизни Греции и Рима были обусловлены изменениями, происходящими в сфере религиозных верований.</t>
  </si>
  <si>
    <t>21140</t>
  </si>
  <si>
    <t>Древний Египет. Духи, идолы, боги</t>
  </si>
  <si>
    <t>978-5-227-10037-5</t>
  </si>
  <si>
    <t>Этот труд стал подлинным итогом всей деятельности знаменитого британского историка Уоллиса Баджа. _x000D_
В его первой части подробно рассматриваются, сравниваются и анализируются верования додинастического периода, а также культы, теологические системы и религии династического периода Древнего Египта. Во второй части книги представлены своды торжественных гимнов, ритуальных и этиологических мифов и легенды о богах.</t>
  </si>
  <si>
    <t>21729</t>
  </si>
  <si>
    <t>Мертц Б.</t>
  </si>
  <si>
    <t>Древний Египет. Храмы, гробницы, иероглифы</t>
  </si>
  <si>
    <t>978-5-9524-6262-5</t>
  </si>
  <si>
    <t>В книге известного специалиста по истории Древнего Египта сопоставлены официальные археологические отчеты и околонаучные сплетни, легенды древней цивилизации и реальная жизнь людей далеких эпох, которая нередко оказывалась интереснее вымысла. Вы узнаете о жизни фараонов и цариц, художников и кудесников, чиновников и простолюдинов, а также получите представление о памятниках культуры, архитектуры и письменности. Яркий, живой язык повествования и прекрасные иллюстрации введут вас в мир древней цивилизации и дадут почувствовать загадочную атмосферу далекого прошлого.</t>
  </si>
  <si>
    <t>21881</t>
  </si>
  <si>
    <t>Липовский И. П.</t>
  </si>
  <si>
    <t>Древний Израиль и народы Ханаана. Этническая история Южного Леванта. III тыс. до н. э. — VII в.</t>
  </si>
  <si>
    <t>978-5-227-11184-5</t>
  </si>
  <si>
    <t>"Книга доктора исторических наук И.П. Липовского посвящена истории народов, живших в Палестине – колыбели человеческой цивилизации. Именно здесь появились первые города, первый алфавит и первые монотеистические религии — иудаизм и христианство. Эта земля на протяжении тысячелетий притягивала к себе умы и души человечества, и за обладание ею боролись все великие империи мира. Эта древнейшая страна имела много названий, но лишь четыре из них остались в истории: Ханаан, Израиль, Иудея и Палестина. Здесь жили разные народы, но со временем все они слились в один — иудейский. Корни этого народа уходят не только к библейским патриархам, но еще больше к коренным, изначальным жителям Ханаана. Древние евреи не истребили и не изгнали завоеванные ими народы Ханаана, как это считалось ранее, а полностью растворились среди них, передав им свое имя, свою историю, а самое главное — религию.
Эта книга для всех, кто интересуется историей Палестины и происхождением еврейского народа. Она рассказывает о том, как Ханаан превратился в «страну Израиля», а его население стало иудеями."</t>
  </si>
  <si>
    <t>21770</t>
  </si>
  <si>
    <t>Хойс А.</t>
  </si>
  <si>
    <t>Древняя и эллинистическая Греция. История от истоков до времен Александра Македонского</t>
  </si>
  <si>
    <t>978-5-9524-6314-1</t>
  </si>
  <si>
    <t>Исследование известного немецкого ученого доктора Альфреда Хойса, посвященное истории Древней Греции, начинается с возникновения и эволюции древних культур Эгейского района, островов Крит и Микен. В первом разделе книги Хойс представляет начало архаического периода истории Греции с Великого, или Эгейского, переселения народов с XII в. до н. э. до рубежа тысячелетий. Хойс описывает, как развивался греческий народ в области интеллектуального роста и социального существования в архаический период, как создавались греческая письменность и общее для всех греков небо богов, как строились отношения между местными культами. Второй раздел посвящен классической эпохе Греции – целому ряду войн и политическим событиям, в то же время это была эпоха высшего расцвета государственного устройства, достижений в области науки, архитектуры, искусства, поэзии. Свершения греков в этот период столь велики и значительны, что до сих пор вызывают у цивилизованных народов стремление брать их за образец.</t>
  </si>
  <si>
    <t>21893</t>
  </si>
  <si>
    <t>Шинаков Е.А.</t>
  </si>
  <si>
    <t>Древняя Русь. От «вождеств» к ранней государственности. IX—XI века.</t>
  </si>
  <si>
    <t>978-5-227-11137-1</t>
  </si>
  <si>
    <t>Книга известного археолога и историка доктора исторических наук Е.А. Шинакова посвящена одной из ключевых для истории России тем — образованию Древнерусского государства. Исследование базируется на комплексе источников – как письменных (русских и иностранных), так и вещественных (археологических и нумизматических), а также сравнительно-этнографических. Используются методология политической (социокультурной) антропологии, компаративистский подход, статистико-комбинаторные методы. Главный вывод книги: образование Древнерусского государства — не единовременный акт (призвание Рюрика или присоединение Олегом Киева), а растянувшийся на двести лет процесс, прошедший с IX по XI век в три этапа, содержание которых и анализирует автор. _x000D_
Издание предназначено не только для специалистов и студентов, но и широкого круга читателей, интересующихся первыми страницами истории русского народа, Древнерусского государства.</t>
  </si>
  <si>
    <t>17195</t>
  </si>
  <si>
    <t>Цветков С.Э.</t>
  </si>
  <si>
    <t>Древняя Русь. Эпоха междоусобиц. От Ярославичей до Всеволода Большое Гнездо.</t>
  </si>
  <si>
    <t>978-5-227-07136-1</t>
  </si>
  <si>
    <t>13570</t>
  </si>
  <si>
    <t>Шрайвер Л.</t>
  </si>
  <si>
    <t>Другая жизнь</t>
  </si>
  <si>
    <t>978-5-227-03584-4</t>
  </si>
  <si>
    <t>18562</t>
  </si>
  <si>
    <t>Юнгстедт М.</t>
  </si>
  <si>
    <t>Другое лицо</t>
  </si>
  <si>
    <t>978-5-227-08525-2</t>
  </si>
  <si>
    <t>21170</t>
  </si>
  <si>
    <t>978-5-227-10604-9</t>
  </si>
  <si>
    <t>Известный архитектор Хенрик Дальман, добропорядочный гражданин и отец большого семейства, найден мертвым в своем доме в курортном поселке Люгарн на шведском острове Готланд. Голым он был прикован к своей кровати и задушен. Сначала предположили, что имела место изощренная сексуальная игра, которая по неосторожности привела к смерти. Но следователь Андерс Кнутас и его помощница Карин Якобссон сразу в этом усомнились. И окончательно утвердились во мнении, что имело место убийство, после того как некоторое время спустя похожее преступление произошло на материке. История становится все более запутанной, ведь жертв ничто не объединяет, разве только неизвестная жгучая красотка, в чьей душе царит кромешная тьма. Собственное расследование громких убийств ведет и репортер Юхан Берг, который также попадает в смертельную ловушку.</t>
  </si>
  <si>
    <t>15967</t>
  </si>
  <si>
    <t>Дуглас М.</t>
  </si>
  <si>
    <t>Дружба без правил</t>
  </si>
  <si>
    <t>978-5-227-05921-5</t>
  </si>
  <si>
    <t>17130</t>
  </si>
  <si>
    <t>Пастухов Б.Н.</t>
  </si>
  <si>
    <t>Друзей моих прекрасные черты. Воспоминания</t>
  </si>
  <si>
    <t>978-5-227-06603-9</t>
  </si>
  <si>
    <t>18599</t>
  </si>
  <si>
    <t>Друзья: пес и котенок. Дневничок</t>
  </si>
  <si>
    <t>978-5-227-08499-6</t>
  </si>
  <si>
    <t>19648</t>
  </si>
  <si>
    <t>Пиготт С.</t>
  </si>
  <si>
    <t>Друиды. Поэты, ученые, прорицатели</t>
  </si>
  <si>
    <t>978-5-9524-5496-5</t>
  </si>
  <si>
    <t>17736</t>
  </si>
  <si>
    <t>Рэйд И.</t>
  </si>
  <si>
    <t>Думаю, как все закончить</t>
  </si>
  <si>
    <t>978-5-227-07749-3</t>
  </si>
  <si>
    <t>19845</t>
  </si>
  <si>
    <t>Дурная кровь</t>
  </si>
  <si>
    <t>978-5-227-09638-8</t>
  </si>
  <si>
    <t>17697</t>
  </si>
  <si>
    <t>978-5-227-07714-1</t>
  </si>
  <si>
    <t>10330</t>
  </si>
  <si>
    <t>Любавина К.</t>
  </si>
  <si>
    <t>Душенька</t>
  </si>
  <si>
    <t>978-5-9524-3483-7</t>
  </si>
  <si>
    <t>20713</t>
  </si>
  <si>
    <t>Стюарт Р.</t>
  </si>
  <si>
    <t>Дуэт пылающих сердец</t>
  </si>
  <si>
    <t>978-5-227-10308-6</t>
  </si>
  <si>
    <t>Бри Йоханссон сбежала из большого города, чтобы исцелить разбитое сердце работой в деревенской пекарне. В доме тетушки она чувствует себя уютно и привольно. Она считает, что романтические отношения теперь не для нее, пока в их глубинке не появляется известный миллиардер-сердцеед Тео Дюбуа, и Бри понимает, что не только ее маффины и пирожные горячие и сладкие. Красавец, словно сошедший с обложки журнала, пленит кого угодно, однако интригующе циничен в отношении любви...</t>
  </si>
  <si>
    <t>14147</t>
  </si>
  <si>
    <t>Майрон В.</t>
  </si>
  <si>
    <t>Дьюи. Кот из библиотеки, который потряс весь мир</t>
  </si>
  <si>
    <t>978-5-227-04160-9</t>
  </si>
  <si>
    <t>20055</t>
  </si>
  <si>
    <t>М БРАУН НОВ</t>
  </si>
  <si>
    <t>Дьявол</t>
  </si>
  <si>
    <t>978-5-227-09609-8</t>
  </si>
  <si>
    <t>17954</t>
  </si>
  <si>
    <t>Евангелие от Сатаны</t>
  </si>
  <si>
    <t>978-5-227-08032-5</t>
  </si>
  <si>
    <t>13632</t>
  </si>
  <si>
    <t>Группа авторов</t>
  </si>
  <si>
    <t>Евангельские сюжеты в иллюстрациях Юлиуса Шнорр</t>
  </si>
  <si>
    <t>978-5-227-03661-2</t>
  </si>
  <si>
    <t>21869</t>
  </si>
  <si>
    <t>Хабас Б.</t>
  </si>
  <si>
    <t>Еврейская иммиграция в Палестину</t>
  </si>
  <si>
    <t>978-5-9524-6526-8</t>
  </si>
  <si>
    <t>Браха Хабас, автор многочисленных книг, в настоящем издании касается трагических событий истории еврейской Палестинской общины, предшествовавших обретению независимости и государственности Израиля. Посвятив свой рассказ людям, которые организовывали «нелегальную» иммиграцию в эту страну представителей преследуемой расы, писатель повествует о поистине героических подвигах и тяжестях этого драматического начинания. Сталкиваясь с крайними опасностями, неминуемым арестом, пытками и казнями, эти молодые посланники ишува пробирались в страны, находящиеся под властью нацистской Германии, и в другие земли, связываясь с теми, кто стремился попасть в Палестину, и организовывая «подпольную переправку» беженцев к берегам Родной Земли, подчас заканчивающуюся гибелью эмигрантов.</t>
  </si>
  <si>
    <t>18635</t>
  </si>
  <si>
    <t>Мудрох И.А.</t>
  </si>
  <si>
    <t>Еврейская энциклопедия</t>
  </si>
  <si>
    <t>978-5-227-08311-1</t>
  </si>
  <si>
    <t>19823</t>
  </si>
  <si>
    <t>Кукридж Э.</t>
  </si>
  <si>
    <t>Европа в огне. Диверсии и шпионаж британских спецслужб на оккупированных территориях. 1940–1945</t>
  </si>
  <si>
    <t>978-5-9524-5593-1</t>
  </si>
  <si>
    <t>21826</t>
  </si>
  <si>
    <t>Перри Д.</t>
  </si>
  <si>
    <t>Европейские колониальные империи в XVIII веке. Борьба за господство и торговлю на разных континентах</t>
  </si>
  <si>
    <t>978-5-9524-6426-1</t>
  </si>
  <si>
    <t>К середине XVIII века каждая европейская страна, граничащая с Атлантикой, и даже некоторые государства, которые не граничили с ней, приобрели земли за морем. И поскольку эти имперские державы устремились захватывать колонии, мир стал слишком тесен для этих соперничающих авантюристов. Автор книги рассматривает вторую фазу колонизации — борьбу за расширение вновь обретенных территорий, активизацию торговли. Повествует о военных и политических столкновениях между основными игроками движения колонизации, внутренних мятежах, изменении курса и трансформации отношения к подчиненным расам.</t>
  </si>
  <si>
    <t>21477</t>
  </si>
  <si>
    <t>Египет времен Тутанхамона. История правления легендарного фараона</t>
  </si>
  <si>
    <t>978-5-227-10950-7</t>
  </si>
  <si>
    <t>В книге обстоятельно изложены история открытия гробницы Тутанхамона, факты, касающиеся правления легендарного фараона, а также данные о древнеегипетском монотеизме, культах Амона и Атона._x000D_
Книга содержит примерно пятьдесят иллюстраций и иероглифических текстов самых важных гимнов Амону и Атону, что делает ее чрезвычайно привлекательной как для интересующихся историей Древнего Египта, так и для всех тех, кому небезразлична мировая культура.</t>
  </si>
  <si>
    <t>20958</t>
  </si>
  <si>
    <t>Египет на заре цивилизации. Загадка происхождения древнего народа</t>
  </si>
  <si>
    <t>978-5-227-10061-0</t>
  </si>
  <si>
    <t>Известный английский востоковед и археолог, сотрудник Британского музея в течение многих лет Уоллис Бадж всю свою жизнь посвятил изучению Древнего Египта, о чем свидетельствуют около ста тридцати написанных им исследовательских работ._x000D__x000D_
В этой книге Бадж прослеживает жизнь Египта начиная с периода позднего неолита и заканчивает временем правления первых трех царских династий. Значительную часть повествования автор посвящает результатам археологических раскопок, которые послужили источником новых сведений о ходе истории Египта и древности его цивилизации. Внимательно и скрупулезно автор анализирует культурные традиции египтян: религиозные верования, погребальные обряды, особенности письменности, изучает предметы обихода, одежду и оружие. Особую главу Бадж посвящает хронологии правления царских династий.</t>
  </si>
  <si>
    <t>18402</t>
  </si>
  <si>
    <t>Элгуд П.</t>
  </si>
  <si>
    <t>Египет под властью Птолемеев. Иноземцы, сменившие древних фараонов. 325–30 гг. до н.э.</t>
  </si>
  <si>
    <t>978-5-9524-5336-4</t>
  </si>
  <si>
    <t>21214</t>
  </si>
  <si>
    <t>Египет. Классический путеводитель</t>
  </si>
  <si>
    <t>978-5-227-10040-5</t>
  </si>
  <si>
    <t>Известный египтолог Уоллис Бадж составил свой путеводитель для знаменитого туристического агентства «Томас Кук и сыновья».  Автор сосредоточился на памятниках архитектуры и истории, расположенных по обеим сторонам Нила, между Каиром и Вади-Хальфа. Краткий обзор египетской истории, включая великое прошлое Египта  4400—450 гг. до н.э, сопровождается яркими, живыми картинами жизни древних и современных автору египтян. Особое внимание Бадж посвятил египетскому иероглифическому письму и религиозным верованиям народа Египта. Глубокие знания ученого убеждают в достоверности сведений, оригинальный живой авторский взгляд сообщает особую прелесть описаниям памятников Александрии, Каира, Гелиополя, Суэцкого канала, пирамид Гизы и многих других достопримечательностей Египта.</t>
  </si>
  <si>
    <t>21603</t>
  </si>
  <si>
    <t>Мюррей А.</t>
  </si>
  <si>
    <t>Египетские храмы. Жилища таинственных богов</t>
  </si>
  <si>
    <t>978-5-9524-5971-7</t>
  </si>
  <si>
    <t>В книге рассказывается о храмах и храмовых комплексах самой древней и таинственной цивилизации мира — египетской. Автор, используя богатейшие данные археологических экспедиций, ярко и увлекательно повествует о характерных особенностях планировки, разнообразии материалов и стилистике украшений культовых сооружений Древнего, Среднего и Нового царств.</t>
  </si>
  <si>
    <t>19861</t>
  </si>
  <si>
    <t>Альдред С.</t>
  </si>
  <si>
    <t>Египтяне. Великие строители пирамид</t>
  </si>
  <si>
    <t>978-5-9524-5535-1</t>
  </si>
  <si>
    <t>21292</t>
  </si>
  <si>
    <t>Египтяне. От древней цивилизации до наших дней</t>
  </si>
  <si>
    <t>978-5-9524-6229-8</t>
  </si>
  <si>
    <t>В книге известного ученого и писателя-фантаста А. Азимова собраны ценнейшие научные данные об истории, политике, религии, науках, искусстве, сельском хозяйстве и ремеслах Египта со времен глубокой древности до наших дней. Вы получите полное и подробное представление о зарождении, развитии, расцвете и закате одной из самых глубоких и таинственных мировых культур.</t>
  </si>
  <si>
    <t>15875</t>
  </si>
  <si>
    <t>Его главный трофей</t>
  </si>
  <si>
    <t>978-5-227-05832-4</t>
  </si>
  <si>
    <t>20529</t>
  </si>
  <si>
    <t>Его дерзкая горничная</t>
  </si>
  <si>
    <t>978-5-227-10220-1</t>
  </si>
  <si>
    <t>Миллиардер Данте Шинина просыпается в номере отеля и видит перед собой бывшую возлюбленную, Алисию Доменика, с которой расстался десять лет назад. Девушка утверждает, что работает горничной в этом отеле, однако Данте не верит в совпадения и решает выяснить, что она затеяла…</t>
  </si>
  <si>
    <t>17587</t>
  </si>
  <si>
    <t>Его дерзкая пленница</t>
  </si>
  <si>
    <t>978-5-227-07614-4</t>
  </si>
  <si>
    <t>19527</t>
  </si>
  <si>
    <t>Его жадные объятия</t>
  </si>
  <si>
    <t>978-5-227-09157-4</t>
  </si>
  <si>
    <t>18336</t>
  </si>
  <si>
    <t>Его желанный триумф</t>
  </si>
  <si>
    <t>978-5-227-08335-7</t>
  </si>
  <si>
    <t>18263</t>
  </si>
  <si>
    <t>Его любимая скрипачка</t>
  </si>
  <si>
    <t>978-5-227-08222-0</t>
  </si>
  <si>
    <t>20050</t>
  </si>
  <si>
    <t>Его неукротимая муза</t>
  </si>
  <si>
    <t>978-5-227-09692-0</t>
  </si>
  <si>
    <t>19368</t>
  </si>
  <si>
    <t>Рэдли Т.</t>
  </si>
  <si>
    <t>Его удобная невеста</t>
  </si>
  <si>
    <t>978-5-227-09080-5</t>
  </si>
  <si>
    <t>15109</t>
  </si>
  <si>
    <t>Еда для камасутры. Все о здоровой жизни и кулинарии</t>
  </si>
  <si>
    <t>978-5-227-05161-5</t>
  </si>
  <si>
    <t>17910</t>
  </si>
  <si>
    <t>Снокстра А.</t>
  </si>
  <si>
    <t>Единственная дочь</t>
  </si>
  <si>
    <t>978-5-227-08006-6</t>
  </si>
  <si>
    <t>19646</t>
  </si>
  <si>
    <t>Единственная и незаменимая</t>
  </si>
  <si>
    <t>978-5-227-09277-9</t>
  </si>
  <si>
    <t>18109</t>
  </si>
  <si>
    <t>Лоранс К.</t>
  </si>
  <si>
    <t>Единственный, кому ты веришь</t>
  </si>
  <si>
    <t>978-5-227-08033-2</t>
  </si>
  <si>
    <t>16064</t>
  </si>
  <si>
    <t>Ее великолепный босс</t>
  </si>
  <si>
    <t>978-5-227-05979-6</t>
  </si>
  <si>
    <t>19945</t>
  </si>
  <si>
    <t>Ее любимый враг</t>
  </si>
  <si>
    <t>978-5-227-09506-0</t>
  </si>
  <si>
    <t>20508</t>
  </si>
  <si>
    <t>Ее надменный романтик</t>
  </si>
  <si>
    <t>978-5-227-10194-5</t>
  </si>
  <si>
    <t>Зеленоглазая  скромница Кити приехала на Бали вовсе не за отдыхом.  Она работает няней у весьма требовательной супружеской пары. Вдруг, в последний день отпуска, ей захотелось каких-то незабываемых впечатлений. Желание сбылось! Случайная встреча в пафосном баре дорогого отеля  с надменным красавцем перевернула всю ее жизнь. Только вот что теперь Кити делать с последствиями этой встречи?</t>
  </si>
  <si>
    <t>20892</t>
  </si>
  <si>
    <t>Эшенден Д.</t>
  </si>
  <si>
    <t>Ее незабываемый испанец</t>
  </si>
  <si>
    <t>978-5-227-10374-1</t>
  </si>
  <si>
    <t>Дженни — обычная девушка, работающая в благотворительном приюте. Константин — один из самых могущественных предпринимателей в Европе. Дженни всю жизнь любила только его, но Кон всегда был холоден с ней и лишь однажды не смог совладать со своими истинными чувствами...</t>
  </si>
  <si>
    <t>16459</t>
  </si>
  <si>
    <t>Лавлэйс М.</t>
  </si>
  <si>
    <t>Ее незабываемый любовник</t>
  </si>
  <si>
    <t>978-5-227-06366-3</t>
  </si>
  <si>
    <t>16964</t>
  </si>
  <si>
    <t>Ее неотразимый защитник</t>
  </si>
  <si>
    <t>978-5-227-06859-0</t>
  </si>
  <si>
    <t>20531</t>
  </si>
  <si>
    <t>Гастон Д.</t>
  </si>
  <si>
    <t>Ее отважный капитан</t>
  </si>
  <si>
    <t>978-5-227-10184-6</t>
  </si>
  <si>
    <t>1815 год. Леди Хелен Бейнс приехала в Брюссель накануне сражения при Ватерлоо, чтобы разыскать младшего брата Дэвида, ставшего графом после смерти их родителей. Но юнец хочет посмотреть на предстоящее великое сражение с Наполеоном. В сопровождении старого слуги Хелен обходит городские трактиры и наконец находит брата, который затевает ссору с местным жителем. Юношу спасает военный, в котором Хелен узнает Риса Лэндона, друга детства и свою любовь. Пять лет назад Хелен и Рис собирались бежать и пожениться, но отец Хелен, граф Ярфорд, узнав о планах дочери, запретил ей выходить за сына приходского священника. Он предложил Рису деньги на покупку офицерского чина, и Рис, посчитав, что Хелен предала его, навсегда покинул родные края, вступив в армию. Молодые люди расстались, но их чувства не остыли...</t>
  </si>
  <si>
    <t>16054</t>
  </si>
  <si>
    <t>Блейк Э.</t>
  </si>
  <si>
    <t>Ее самое горячее лето</t>
  </si>
  <si>
    <t>978-5-227-06069-3</t>
  </si>
  <si>
    <t>18500</t>
  </si>
  <si>
    <t>Ее сердце - главная мишень</t>
  </si>
  <si>
    <t>978-5-227-08417-0</t>
  </si>
  <si>
    <t>21489</t>
  </si>
  <si>
    <t>Ли Д.</t>
  </si>
  <si>
    <t>Ее страстный дебют</t>
  </si>
  <si>
    <t>978-5-227-10566-0</t>
  </si>
  <si>
    <t>Молодая скрипачка Меган Хан в эйфории после успешного сольного дебюта не устояла от искушения провести ночь с харизматичным незнакомцем. Под утро, сгорая от стыда и раскаяния, она тайком сбежала из номера гостиницы, даже не узнав имени страстного любовника. Меган постаралась бы забыть эту случайную связь, если бы вскоре не обнаружила, что беременна. Она приняла твердое решение в одиночку растить ребенка, но, опасаясь позора, не решалась сообщить об этом отцу и сестрам. Каково же было ее изумление, когда она встретила своего незнакомца в доме отца — генерального директора крупной корпорации…</t>
  </si>
  <si>
    <t>16358</t>
  </si>
  <si>
    <t>Ее тайный муж</t>
  </si>
  <si>
    <t>978-5-227-06255-0</t>
  </si>
  <si>
    <t>19702</t>
  </si>
  <si>
    <t>Ежевика. Мощный лекарь от ста недугов. Лечение онкологии, диабета, артрита, атеросклероза, варикоза, гастрита, заболеваний печени, ревматизма</t>
  </si>
  <si>
    <t>978-5-227-07550-5</t>
  </si>
  <si>
    <t>5727</t>
  </si>
  <si>
    <t>Берлова</t>
  </si>
  <si>
    <t>Ежик еженька ежок</t>
  </si>
  <si>
    <t>5-9524-1604-7</t>
  </si>
  <si>
    <t>5866</t>
  </si>
  <si>
    <t>Ежик надевай сапожки</t>
  </si>
  <si>
    <t>5-9524-1421-4</t>
  </si>
  <si>
    <t>21652</t>
  </si>
  <si>
    <t>Екатерина II. Как пополнялись и тратились личные средства. Кошелек императрицы. Повседневная жизнь Российского императорского двора</t>
  </si>
  <si>
    <t>978-5-227-11071-8</t>
  </si>
  <si>
    <t>Доктор исторических наук, профессор Игорь Викторович Зимин представляет очередную книгу из серии «Повседневная жизнь Российского императорского двора», в которой в увлекательной форме рассказывает, как пополнялись и тратились личные средства императрицы Екатерины II. Издание содержит огромное количество иллюстраций и подлинной информации. Императрица тратила огромные средства на свое образование и строительство, приобретала у петербургских ювелиров бесчисленные табакерки… Можно перечислять многие ее дела, которые в огромном количестве остались храниться в виде денежных счетов в Российском архиве…_x000D_
Денежные счета — это немые документальные свидетельства бесчисленных дел Екатерины Великой на протяжении 34 лет ее царствования, которые мы вспоминаем с благодарностью. И они очень разные — от финансирования закупок для Эрмитажа до приобретения «для Комнаты» личных вещей, и дел этих было столько, что они не вместились в предлагаемую вам для чтения книгу, и автор работает над продолжением истории. Книга не имеет аналогов на современном рынке и заслуживает самого широкого круга читателей.</t>
  </si>
  <si>
    <t>21808</t>
  </si>
  <si>
    <t>Аничков В.П.</t>
  </si>
  <si>
    <t>Екатеринбург — Владивосток. Свидетельства очевидца революции и гражданской войны. 1917—1922</t>
  </si>
  <si>
    <t>978-5-227-11154-8</t>
  </si>
  <si>
    <t>Владимир Петрович Аничков — русский банкир и предприниматель, долгое время возглавлял отделение Волжско-Камского банка и вследствие этого оказался в самом центре февральских и последующих событий на Урале и в Сибири. Вскоре после революции Аничков вошел в состав Комитета общественной безопасности. В своей книге автор рассказывает, как он пережидал красный террор в окрестностях города Екатеринбурга. После прихода к власти большевиков и национализации банков Аничков был арестован и позже бежал. Работал в Министерстве финансов правительства Колчака._x000D_
Произведение полно живых наблюдений и редких деталей. Повествование о событиях и исторических персонажах, которые не выдуманы, а абсолютно реальны, читается, без преувеличения, как приключенческий роман. Атмосфера того времени передана великолепно, а имена знакомы каждому, кто интересуется историей Отечества: ссыльные князья Сергей Михайлович, Константин и Игорь Константиновичи Романовы, следователь по убийству царской семьи Николай Соколов, камердинер императора Николая II Терентий Чемодуров и вереница современников, затянутых в круговерть революционного переворота…</t>
  </si>
  <si>
    <t>15526</t>
  </si>
  <si>
    <t>Мартон С.</t>
  </si>
  <si>
    <t>Если верить в чудеса</t>
  </si>
  <si>
    <t>978-5-227-05606-1</t>
  </si>
  <si>
    <t>15930</t>
  </si>
  <si>
    <t>Дмитричев Т.Ф.</t>
  </si>
  <si>
    <t>Есть ли жизнь за железным занавесом? Воспоминания советского дипломата</t>
  </si>
  <si>
    <t>978-5-227-05728-0</t>
  </si>
  <si>
    <t>8711</t>
  </si>
  <si>
    <t>Лютикова Л.</t>
  </si>
  <si>
    <t>Есть ли жизнь после свадьбы</t>
  </si>
  <si>
    <t>978-5-9524-2985-7</t>
  </si>
  <si>
    <t>18155</t>
  </si>
  <si>
    <t>Еще можно все вернуть</t>
  </si>
  <si>
    <t>978-5-227-08130-8</t>
  </si>
  <si>
    <t>19401</t>
  </si>
  <si>
    <t>Килер Х.</t>
  </si>
  <si>
    <t>Еще один день на войне. Свидетельства ефрейтора вермахта о боях на Восточном фронте. 1941—1942</t>
  </si>
  <si>
    <t>978-5-9524-5462-0</t>
  </si>
  <si>
    <t>15234</t>
  </si>
  <si>
    <t>Кинг Л.</t>
  </si>
  <si>
    <t>Еще одна бессонная ночь</t>
  </si>
  <si>
    <t>978-5-227-05270-4</t>
  </si>
  <si>
    <t>17013</t>
  </si>
  <si>
    <t>Еще одна помолвка</t>
  </si>
  <si>
    <t>978-5-227-07051-7</t>
  </si>
  <si>
    <t>13406</t>
  </si>
  <si>
    <t>Еще одна попытка</t>
  </si>
  <si>
    <t>978-5-227-03510-3</t>
  </si>
  <si>
    <t>0133</t>
  </si>
  <si>
    <t>978-5-227-06955-9</t>
  </si>
  <si>
    <t>17596</t>
  </si>
  <si>
    <t>Жандарм на пороге 20 века</t>
  </si>
  <si>
    <t>978-5-227-07628-1</t>
  </si>
  <si>
    <t>21774</t>
  </si>
  <si>
    <t>Заварзин П.П.</t>
  </si>
  <si>
    <t>Жандармы и революционеры. Секретные приемы политического сыска. Вербовка и засылка агентов. Противодействие террористам и государственным преступникам. Лучшие операции Особого корпуса жандармов</t>
  </si>
  <si>
    <t>978-5-227-11094-7</t>
  </si>
  <si>
    <t>Павел Павлович Заварзин — российский жандармский офицер, генерал-майор Отдельного корпуса жандармов. Занимал должности начальника разыскных отделений в Кишиневе, Гомеле, Одессе, Ростове-на-Дону, Варшаве, Москве и других местах. На основании колоссального опыта Заварзин знакомит читателя с теорией и техникой розыска, объясняет смысл, задачи и образ действий разыскных органов до революции, отмечая их отличие от деятельности ЧЕКА. Раскрывает особенности пограничной и таможенной службы, охраны высокопоставленных лиц, упоминая содействие военной разведке. Описывает последние дни Александра III, восшествие на престол Николая II, вспоминает свои встречи с генералами Рузским, Сухомлиновым, министром Плеве и другими. Возвращаясь мыслями к прошлому, автор поражается тому, как вяло российская власть реагировала на постоянные, в течение многих лет, убийства, совершаемые сначала народовольцами, а затем социалистами-революционерами, считая, что такое отношение способствует разгулу терроризма в стране.</t>
  </si>
  <si>
    <t>17233</t>
  </si>
  <si>
    <t>Жар ледяной страсти</t>
  </si>
  <si>
    <t>978-5-227-07208-5</t>
  </si>
  <si>
    <t>18221</t>
  </si>
  <si>
    <t>Жар настойчивых губ</t>
  </si>
  <si>
    <t>978-5-227-08202-2</t>
  </si>
  <si>
    <t>18759</t>
  </si>
  <si>
    <t>Коннелли К.</t>
  </si>
  <si>
    <t>Жаркая зима для двоих</t>
  </si>
  <si>
    <t>978-5-227-08660-0</t>
  </si>
  <si>
    <t>16406</t>
  </si>
  <si>
    <t>Голд К.</t>
  </si>
  <si>
    <t>Жаркая ночь</t>
  </si>
  <si>
    <t>978-5-227-06295-6</t>
  </si>
  <si>
    <t>19190</t>
  </si>
  <si>
    <t>Жаркие бразильские ночи</t>
  </si>
  <si>
    <t>978-5-227-09029-4</t>
  </si>
  <si>
    <t>16032</t>
  </si>
  <si>
    <t>Жаркие ночи</t>
  </si>
  <si>
    <t>978-5-227-05960-4</t>
  </si>
  <si>
    <t>17620</t>
  </si>
  <si>
    <t>Жаркие ночи в оазисе</t>
  </si>
  <si>
    <t>978-5-227-07636-6</t>
  </si>
  <si>
    <t>19059</t>
  </si>
  <si>
    <t>Орвиг С.</t>
  </si>
  <si>
    <t>Жаркие свидания</t>
  </si>
  <si>
    <t>978-5-227-08942-7</t>
  </si>
  <si>
    <t>20224</t>
  </si>
  <si>
    <t>Жаркие тайны пустыни</t>
  </si>
  <si>
    <t>978-5-227-09639-5</t>
  </si>
  <si>
    <t>21174</t>
  </si>
  <si>
    <t>Энтони К.</t>
  </si>
  <si>
    <t>Жаркое свидание в Лондоне</t>
  </si>
  <si>
    <t>978-5-227-10517-2</t>
  </si>
  <si>
    <t>Из-за репутации плейбоя Лэнс Астилл стал легендой бульварной прессы. Он всю жизнь бунтовал против своего строгого аристократического воспитания и попадал в скандальные истории. Пока не встретил Сару Конрад... Соблазнить и поразвлечься с девушкой, ищущей у него убежища, было бы слишком бесчестно. Даже для него. К тому же Сара страстно умоляет его помочь ей избежать устроенного брака, такого же, от которого Лэнсу не удалось спасти свою сестру. Неожиданно для самого себя Лэнс предлагает Саре руку и сердце…</t>
  </si>
  <si>
    <t>20435</t>
  </si>
  <si>
    <t>Жаркое свидание в Майами</t>
  </si>
  <si>
    <t>978-5-227-10087-0</t>
  </si>
  <si>
    <t>Работницу галереи Энджел Луис и кинозвезду Алессандро Карденеса связывает не только кубинское прошлое их предков, но и кубинское искусство. Вокруг картин дедушки Алессандро разворачивается почти детективная история. Знает ли работница галереи, что продает подделки? Выяснит ли Алессандро, кто подделывает картины его деда? И главное, смогут ли эти двое противостоять невероятному любовному притяжению?</t>
  </si>
  <si>
    <t>18522</t>
  </si>
  <si>
    <t>Жгучая клятва сицилийца</t>
  </si>
  <si>
    <t>978-5-227-08413-2</t>
  </si>
  <si>
    <t>19272</t>
  </si>
  <si>
    <t>Жгучие карибские ночи</t>
  </si>
  <si>
    <t>978-5-227-09057-7</t>
  </si>
  <si>
    <t>18863</t>
  </si>
  <si>
    <t>Ждала тебя всю жизнь</t>
  </si>
  <si>
    <t>978-5-227-08727-0</t>
  </si>
  <si>
    <t>16431</t>
  </si>
  <si>
    <t>Пемброк С.</t>
  </si>
  <si>
    <t>Ждала только тебя</t>
  </si>
  <si>
    <t>978-5-227-06292-5</t>
  </si>
  <si>
    <t>20661</t>
  </si>
  <si>
    <t>Жду тебя всегда</t>
  </si>
  <si>
    <t>978-5-227-10306-2</t>
  </si>
  <si>
    <t>Принцесса Ильза сбегает в Монако после очередной неудачной помолвки. Ей хочется почувствовать себя красивой, желанной и привлекательной. Возможно, ее давний знакомый Ной поможет ей вновь научиться радоваться жизни. Правда, в их отношениях не все так просто...</t>
  </si>
  <si>
    <t>18657</t>
  </si>
  <si>
    <t>Жду тебя у алтаря</t>
  </si>
  <si>
    <t>978-5-227-08546-7</t>
  </si>
  <si>
    <t>10804</t>
  </si>
  <si>
    <t>Жду, надеюсь, люблю</t>
  </si>
  <si>
    <t>978-5-9524-3888-0</t>
  </si>
  <si>
    <t>16000</t>
  </si>
  <si>
    <t>Майклз К.</t>
  </si>
  <si>
    <t>Жду, надеюсь, люблю.</t>
  </si>
  <si>
    <t>978-5-227-05962-8</t>
  </si>
  <si>
    <t>16498</t>
  </si>
  <si>
    <t>Уолкер К.</t>
  </si>
  <si>
    <t>Желанная месть</t>
  </si>
  <si>
    <t>978-5-227-06393-9</t>
  </si>
  <si>
    <t>17804</t>
  </si>
  <si>
    <t>Желанная награда для холостяка</t>
  </si>
  <si>
    <t>978-5-227-07753-0</t>
  </si>
  <si>
    <t>20394</t>
  </si>
  <si>
    <t>Желанная недотрога</t>
  </si>
  <si>
    <t>978-5-227-10072-6</t>
  </si>
  <si>
    <t>Данте Романо успешно управляет корпорацией, построенной несколькими поколениями его семьи, — вот только его родным до всего есть дело, не исключая его личную жизнь, которая, к слову, чересчур насыщенна. Однажды в приемной отца он встречает сногсшибательную красотку и уже готов открыть охоту, но… Мало того что Миа Гамильтон — секретарша отца, она еще и его будущая жена! Вот только Данте уже не в силах совладать с собственным желанием…</t>
  </si>
  <si>
    <t>19507</t>
  </si>
  <si>
    <t>Желанная провокация</t>
  </si>
  <si>
    <t>978-5-227-09155-0</t>
  </si>
  <si>
    <t>19418</t>
  </si>
  <si>
    <t>Желанная распутница</t>
  </si>
  <si>
    <t>978-5-227-09108-6</t>
  </si>
  <si>
    <t>20271</t>
  </si>
  <si>
    <t>Желанный скандал</t>
  </si>
  <si>
    <t>978-5-227-09808-5</t>
  </si>
  <si>
    <t>16357</t>
  </si>
  <si>
    <t>Желанный трофей</t>
  </si>
  <si>
    <t>978-5-227-06249-9</t>
  </si>
  <si>
    <t>19115</t>
  </si>
  <si>
    <t>Желая страстного возмездия</t>
  </si>
  <si>
    <t>978-5-227-08945-8</t>
  </si>
  <si>
    <t>18859</t>
  </si>
  <si>
    <t>Железная хватка графа Соколова</t>
  </si>
  <si>
    <t>978-5-227-07905-3</t>
  </si>
  <si>
    <t>16990</t>
  </si>
  <si>
    <t>Железные гробы Сталина</t>
  </si>
  <si>
    <t>978-5-227-07063-0</t>
  </si>
  <si>
    <t>1904</t>
  </si>
  <si>
    <t>ССЗ</t>
  </si>
  <si>
    <t>Зиновьев</t>
  </si>
  <si>
    <t>Желтый дом 2</t>
  </si>
  <si>
    <t>5-227-00714-4</t>
  </si>
  <si>
    <t>17037</t>
  </si>
  <si>
    <t>Левин А.</t>
  </si>
  <si>
    <t>Желтый дракон Цзяо</t>
  </si>
  <si>
    <t>978-5-227-06595-7</t>
  </si>
  <si>
    <t>6197</t>
  </si>
  <si>
    <t>Н СД</t>
  </si>
  <si>
    <t>Ван Гулик Роберт</t>
  </si>
  <si>
    <t>Жемчужина императора</t>
  </si>
  <si>
    <t>5-9524-1968-2</t>
  </si>
  <si>
    <t>17279</t>
  </si>
  <si>
    <t>Уилсон С.</t>
  </si>
  <si>
    <t>Жемчужина на счастье</t>
  </si>
  <si>
    <t>978-5-227-07284-9</t>
  </si>
  <si>
    <t>15521</t>
  </si>
  <si>
    <t>Жена и любовница</t>
  </si>
  <si>
    <t>978-5-227-05485-2</t>
  </si>
  <si>
    <t>10716</t>
  </si>
  <si>
    <t>Жена моего любовника</t>
  </si>
  <si>
    <t>978-5-9524-3832-3</t>
  </si>
  <si>
    <t>11232</t>
  </si>
  <si>
    <t>Паркс А.</t>
  </si>
  <si>
    <t>Жена моего мужа</t>
  </si>
  <si>
    <t>978-5-9524-4338-9</t>
  </si>
  <si>
    <t>15708</t>
  </si>
  <si>
    <t>Жена на замену</t>
  </si>
  <si>
    <t>978-5-227-05648-1</t>
  </si>
  <si>
    <t>16707</t>
  </si>
  <si>
    <t>Жена на сутки</t>
  </si>
  <si>
    <t>978-5-227-06743-2</t>
  </si>
  <si>
    <t>18100</t>
  </si>
  <si>
    <t>Жена по почтовому каталогу</t>
  </si>
  <si>
    <t>978-5-227-08096-7</t>
  </si>
  <si>
    <t>16976</t>
  </si>
  <si>
    <t>Женатый холостяк</t>
  </si>
  <si>
    <t>978-5-227-06860-6</t>
  </si>
  <si>
    <t>19525</t>
  </si>
  <si>
    <t>Женись на мне немедленно!</t>
  </si>
  <si>
    <t>978-5-227-09177-2</t>
  </si>
  <si>
    <t>17732</t>
  </si>
  <si>
    <t>Жениться ради мести</t>
  </si>
  <si>
    <t>978-5-227-07721-9</t>
  </si>
  <si>
    <t>17610</t>
  </si>
  <si>
    <t>Жених - незнакомец</t>
  </si>
  <si>
    <t>978-5-227-07634-2</t>
  </si>
  <si>
    <t>19731</t>
  </si>
  <si>
    <t>Жених из прошлого</t>
  </si>
  <si>
    <t>978-5-227-09357-8</t>
  </si>
  <si>
    <t>18384</t>
  </si>
  <si>
    <t>Жених на неделю</t>
  </si>
  <si>
    <t>978-5-227-08372-2</t>
  </si>
  <si>
    <t>18411</t>
  </si>
  <si>
    <t>Жених только на словах</t>
  </si>
  <si>
    <t>978-5-227-08364-7</t>
  </si>
  <si>
    <t>17977</t>
  </si>
  <si>
    <t>Сорокин Ю.</t>
  </si>
  <si>
    <t>Женский алкоголизм</t>
  </si>
  <si>
    <t>978-5-227-07815-5</t>
  </si>
  <si>
    <t>10280</t>
  </si>
  <si>
    <t>Рахманова Е.</t>
  </si>
  <si>
    <t>Женское счастье</t>
  </si>
  <si>
    <t>978-5-9524-3454-7</t>
  </si>
  <si>
    <t>14670</t>
  </si>
  <si>
    <t>Женщина без воображения</t>
  </si>
  <si>
    <t>978-5-227-04664-2</t>
  </si>
  <si>
    <t>17492</t>
  </si>
  <si>
    <t>Женщина с солнечной улыбкой</t>
  </si>
  <si>
    <t>978-5-227-07476-8</t>
  </si>
  <si>
    <t>19156</t>
  </si>
  <si>
    <t>Женщина­загадка</t>
  </si>
  <si>
    <t>978-5-227-09041-6</t>
  </si>
  <si>
    <t>19124</t>
  </si>
  <si>
    <t>Женщины графа Ланзбури</t>
  </si>
  <si>
    <t>978-5-227-08950-2</t>
  </si>
  <si>
    <t>17068</t>
  </si>
  <si>
    <t>Бэлсдон Джон Перси</t>
  </si>
  <si>
    <t>Женщины Древнего Рима. Увлекательные истории жизни римлянок всех сословий</t>
  </si>
  <si>
    <t>978-5-9524-5209-1</t>
  </si>
  <si>
    <t>18375</t>
  </si>
  <si>
    <t>Женщины-легенды. Мифические богини и библейские жены. Прекрасные и мудрые, карающие и милосердные…</t>
  </si>
  <si>
    <t>978-5-227-07662-5</t>
  </si>
  <si>
    <t>20323</t>
  </si>
  <si>
    <t>Жены и любовницы Наполеона: Исторические портреты</t>
  </si>
  <si>
    <t>978-5-9524-5830-7</t>
  </si>
  <si>
    <t>Прошло уже почти два столетия с тех пор, как тело Наполеона Бонапарта предали земле, но образ его продолжает завораживать каждое новое поколение. Данная книга раскрывает одну из сторон этой удивительной легендарной личности. Наполеон здесь не осуждается и не оправдывается — автор лишь показывает многогранность его натуры. Это рассказ об одиссее, длинном и насыщенном событиями путешествии, проделанном одиноким человеком в поисках идеальной спутницы...</t>
  </si>
  <si>
    <t>17530</t>
  </si>
  <si>
    <t>Женьшень. Секреты целительной силы и лучшие рецепты</t>
  </si>
  <si>
    <t>978-5-227-06870-5</t>
  </si>
  <si>
    <t>12930</t>
  </si>
  <si>
    <t>М МОР</t>
  </si>
  <si>
    <t>Харви К. Дж.</t>
  </si>
  <si>
    <t>Жертва</t>
  </si>
  <si>
    <t>978-5-227-03108-2</t>
  </si>
  <si>
    <t>18752</t>
  </si>
  <si>
    <t>Диас Л</t>
  </si>
  <si>
    <t>Жертва ради любви</t>
  </si>
  <si>
    <t>978-5-227-08675-4</t>
  </si>
  <si>
    <t>19543</t>
  </si>
  <si>
    <t>Градинар Д.С</t>
  </si>
  <si>
    <t>Жестокая гвардия неба</t>
  </si>
  <si>
    <t>978-5-227-09361-5</t>
  </si>
  <si>
    <t>14115</t>
  </si>
  <si>
    <t>NEW CPF</t>
  </si>
  <si>
    <t>Андерсон К.Л.</t>
  </si>
  <si>
    <t>Жестокие ангелы</t>
  </si>
  <si>
    <t>978-5-227-04004-6</t>
  </si>
  <si>
    <t>8780</t>
  </si>
  <si>
    <t>МНП</t>
  </si>
  <si>
    <t>Жестокие игры</t>
  </si>
  <si>
    <t>978-5-9524-3035-8</t>
  </si>
  <si>
    <t>14411</t>
  </si>
  <si>
    <t>Жестокость любви</t>
  </si>
  <si>
    <t>978-5-227-04456-3</t>
  </si>
  <si>
    <t>15547</t>
  </si>
  <si>
    <t>Джамп Ш.</t>
  </si>
  <si>
    <t>Живи на грани</t>
  </si>
  <si>
    <t>978-5-227-05609-2</t>
  </si>
  <si>
    <t>12394</t>
  </si>
  <si>
    <t>Живые мысли. Таблетка на каждый день</t>
  </si>
  <si>
    <t>978-5-227-02565-4</t>
  </si>
  <si>
    <t>12780</t>
  </si>
  <si>
    <t>20147</t>
  </si>
  <si>
    <t>978-5-227-09889-4</t>
  </si>
  <si>
    <t>17181</t>
  </si>
  <si>
    <t>Новый FICTION</t>
  </si>
  <si>
    <t>Спилман Л.Н.</t>
  </si>
  <si>
    <t>Жизненный план</t>
  </si>
  <si>
    <t>978-5-227-07149-1</t>
  </si>
  <si>
    <t>14683</t>
  </si>
  <si>
    <t>978-5-227-04619-2</t>
  </si>
  <si>
    <t>15376</t>
  </si>
  <si>
    <t>Чернявский Г., Станчев М., Тортика М.</t>
  </si>
  <si>
    <t>Жизненный путь Христиана Раковского</t>
  </si>
  <si>
    <t>978-5-227-05277-3</t>
  </si>
  <si>
    <t>20217</t>
  </si>
  <si>
    <t>Жизнь без страха</t>
  </si>
  <si>
    <t>978-5-227-09897-9</t>
  </si>
  <si>
    <t>5421</t>
  </si>
  <si>
    <t>ЗВ</t>
  </si>
  <si>
    <t>Гладкий В.</t>
  </si>
  <si>
    <t>Жизнь взаймы</t>
  </si>
  <si>
    <t>5-9524-1457-5</t>
  </si>
  <si>
    <t>20244</t>
  </si>
  <si>
    <t>Петелин В.В.</t>
  </si>
  <si>
    <t>Жизнь графа Николая Румянцева. На службе Российскому трону</t>
  </si>
  <si>
    <t>978-5-227-09695-1</t>
  </si>
  <si>
    <t>17145</t>
  </si>
  <si>
    <t>Робб Г.</t>
  </si>
  <si>
    <t>Жизнь Гюго</t>
  </si>
  <si>
    <t>978-5-227-05847-8</t>
  </si>
  <si>
    <t>21012</t>
  </si>
  <si>
    <t>Светоний Г. Т.</t>
  </si>
  <si>
    <t>Жизнь двенадцати цезарей</t>
  </si>
  <si>
    <t>978-5-227-10615-5</t>
  </si>
  <si>
    <t>Ценнейший литературный памятник, принадлежащий древнеримскому писателю Светонию (ок. 70 — ок. 140) — историку, ученому-энциклопедисту, личному секретарю императора Адриана. Собрание исторических биографий содержит сведения о происхождении двенадцати знаменитых правителей от Юлия Цезаря до Домициана. Рассказано о ранних годах их жизни, приходе к власти, общественной деятельности. Портреты цезарей щедро дополнены  событиями их частной жизни, описаниями свойств характера, особенностей внешности. Завершает каждую биографию рассказ об обстоятельствах смерти императора.</t>
  </si>
  <si>
    <t>15368</t>
  </si>
  <si>
    <t>Жизнь дешевле спичек</t>
  </si>
  <si>
    <t>978-5-227-05392-3</t>
  </si>
  <si>
    <t>0164</t>
  </si>
  <si>
    <t>978-5-227-06956-6</t>
  </si>
  <si>
    <t>20636</t>
  </si>
  <si>
    <t>Хорти М.</t>
  </si>
  <si>
    <t>Жизнь для Венгрии. Адмирал Миклош Хорти. Мемуары. 1920—1944</t>
  </si>
  <si>
    <t>978-5-9524-5616-7</t>
  </si>
  <si>
    <t>Адмирал Николас Хорти занимал пост регента Королевства Венгрия с 1 марта 1920 года по 15 октября 1944 года. Исполняя обязанности регента, Хорти пытался проводить политику восстановления Венгрии в ее прежних, до крушения Австро-Венгерской империи границах. Эта политика, в конечном счете, привела его к союзу с Гитлером. В результате Венгрия вернула себе часть своих исконных земель в Сербии, Хорватии, Словакии и Румынии. Но за это надо было платить, и венгерские соединения отправились на Восточный фронт, где понесли значительные потери. Вскоре Хорти понял неотвратимость поражения войск стран «оси» и начал тайные переговоры с союзниками. Однако вывести страну из войны ему не удалось. Война закончилась для Венгрии только с приходом советских войск, которые Хорти считал врагами и оккупантами._x000D_
Мемуары Хорти — это рассказ регента королевства без короля и адмирала без флота о своей жизни и о том, как он вел борьбу за свою страну в господствовавшей в Европе атмосфере конфликтов, зависти и ненависти.</t>
  </si>
  <si>
    <t>7417</t>
  </si>
  <si>
    <t>Лукьянова Н.</t>
  </si>
  <si>
    <t>Жизнь зебра полосатая</t>
  </si>
  <si>
    <t>5-9524-2428-7</t>
  </si>
  <si>
    <t>21330</t>
  </si>
  <si>
    <t>Жизнь и дипломатическая деятельность графа Семена Романовича Воронцова. Из истории российско-британских отношений</t>
  </si>
  <si>
    <t>978-5-227-10827-2</t>
  </si>
  <si>
    <t>Книга посвящена представителю старинного дворянского рода Воронцовых. В ней прослеживается военная и дипломатическая деятельность графа С.Р. Воронцова, внесшего неоценимый вклад в развитие русско-английских отношений в конце XVIII — первой четверти XIX века. Для С.Р. Воронцова честь и доброе имя были дороже жизни, дороже всех материальных благ. Эти принципы он передал своему сыну — генерал-фельдмаршалу, светлейшему князю М.С. Воронцову. На основании ранее не опубликованных архивных материалов в книге приводятся интересные и малоосвещенные факты из истории российско-британских политических, экономических и культурных связей.</t>
  </si>
  <si>
    <t>21462</t>
  </si>
  <si>
    <t>Буксгевден С.К.</t>
  </si>
  <si>
    <t>Жизнь и трагедия императрицы Александры Федоровны. Рассказ фрейлины и близкой подруги, бывшей рядом с российской царской семьей в годы правления и трагические дни ссылки</t>
  </si>
  <si>
    <t>978-5-9524-6317-2</t>
  </si>
  <si>
    <t>Баронесса Буксгевден (1883—1956), первый биограф русской императрицы, долгие годы была не только фрейлиной, но и преданным другом царской семьи. София Карловна, дочь русского посланника в Дании, с большой любовью, но беспристрастно рассказывает о жизни гессенской принцессы с раннего детства до последних дней. Иза, как называли баронессу при дворе, с 1913 г. неотлучно пребывала при Александре Федоровне до ссылки Романовых в Тобольск, а затем последовала за ними. Софии Карловне удалось запечатлеть множество зарисовок из жизни патронессы в счастливые времена и в дни великих печалей и горестей, сохранить бесценные сведения о взаимоотношениях в семье, подметить черты характера августейшей четы и их детей, описать особенности быта и передать атмосферу жизни при дворе. На страницах книги Александра Федоровна предстает не только как государыня, но, прежде всего, как любящая мать и жена, добрый друг и щедрая благотворительница, неустанно трудившаяся на благо своей страны и принявшая мученическую смерть вместе со всей семьей.</t>
  </si>
  <si>
    <t>15145</t>
  </si>
  <si>
    <t>Жизнь как загадка</t>
  </si>
  <si>
    <t>978-5-227-05015-1</t>
  </si>
  <si>
    <t>20842</t>
  </si>
  <si>
    <t>Мэйхью Г.</t>
  </si>
  <si>
    <t>Жизнь лондонского дна в Викторианскую эпоху. Подлинные истории, рассказанные нищими, ворами и продаж</t>
  </si>
  <si>
    <t>978-5-227-10291-1</t>
  </si>
  <si>
    <t>Перед вами первое и наиболее полное исследование преступного мира Лондона, предпринятое издателем и журналистом Генри Мэйхью в середине ХIХ века. Вместе со своими помощниками автор посетил трущобы Ист-Энда и собрал правдивые рассказы воров, продажных женщин и прочих изгоев общества, которые зарабатывают на жизнь бесчестным путем, наживаясь на пороке или доверчивости более обеспеченных жителей города. Эта книга — источник бесценных сведений для социологов, историков и криминалистов, в ней вы найдете поистине диккенсовские сюжеты и убедитесь, что за прошедшие полтора столетия нравы горожан и приемы мошенников изменились не так уж сильно.</t>
  </si>
  <si>
    <t>17148</t>
  </si>
  <si>
    <t>Жизнь Рембо</t>
  </si>
  <si>
    <t>978-5-227-06939-9</t>
  </si>
  <si>
    <t>20939</t>
  </si>
  <si>
    <t>Морисон С.Э.</t>
  </si>
  <si>
    <t>Жизнь Христофора Колумба. Великие путешествия и открытия, которые изменили мир</t>
  </si>
  <si>
    <t>978-5-9524-6053-9</t>
  </si>
  <si>
    <t>С.Э. Морисон, будучи не только профессиональным историком, но и военным моряком, стал первым биографом Колумба, который пересек Атлантический океан на парусном судне, повторив маршрут прославленного морехода. В книге, удостоенной Пулитцеровской премии за достоверное и увлекательное жизнеописание Христофора Колумба, большое внимание уделено четырем морским экспедициям, в ходе которых были открыты морской путь в Индию и Новый Свет, рассмотрены особенности кораблестроения и навигационного дела того времени и отражен дух эпохи Великих географических открытий в целом.</t>
  </si>
  <si>
    <t>21298</t>
  </si>
  <si>
    <t>Жители долины Нила. Подробности культуры, верований и быта древних египтян</t>
  </si>
  <si>
    <t>978-5-227-10036-8</t>
  </si>
  <si>
    <t>Первым централизованным государством в истории человечества, несомненно, был Египет, рожденный Нилом, с единой религией и культурой, с общими для всех жителей этическими ценностями и табу. В книге Уоллиса Баджа описана жизнь древнего египтянина от колыбели до могилы. Он повествует о становлении и развитии власти царей над объединенным Египтом, перечисляя имена, которые известны благодаря сохранившимся памятникам. Ученый создает панораму повседневной жизни различных слоев египетского общества: жрецов, придворных, полководцев и воинов, писцов, гончаров, музыкантов и крестьян. Приводит в доказательство своих воззрений мнения многих исследователей, излагает их теории, подкрепляя цитатами из папирусов и сведениями последних археологических находок. Особенно ярко Бадж рисует таинственный мир верований, ритуалов и церемоний древних египтян</t>
  </si>
  <si>
    <t>20161</t>
  </si>
  <si>
    <t>Жить лишь тобой</t>
  </si>
  <si>
    <t>978-5-227-09671-5</t>
  </si>
  <si>
    <t>17208</t>
  </si>
  <si>
    <t>Жить настоящим</t>
  </si>
  <si>
    <t>978-5-227-07207-8</t>
  </si>
  <si>
    <t>21235</t>
  </si>
  <si>
    <t>Жить только тобой</t>
  </si>
  <si>
    <t>978-5-227-10519-6</t>
  </si>
  <si>
    <t>Эмили — стеснительная и скромная девушка, у которой в один момент рушится жизнь. Благодаря подруге у нее появляется возможность снова заняться любимым делом — фотографией, а кроме того, съездить в Херес, в Испанию, чтобы сделать сайт для винной лавки семьи Ромеро. Подруга сразу предупреждает Эмили, что братья Ромеро — красавцы и с ними нужно быть осторожнее...</t>
  </si>
  <si>
    <t>18513</t>
  </si>
  <si>
    <t>Жнец</t>
  </si>
  <si>
    <t>978-5-227-08519-1</t>
  </si>
  <si>
    <t>21528</t>
  </si>
  <si>
    <t>СПОРТ</t>
  </si>
  <si>
    <t>Бизли Р.</t>
  </si>
  <si>
    <t>Жозе Моуринью с близкого расстояния</t>
  </si>
  <si>
    <t>978-5-227-10967-5</t>
  </si>
  <si>
    <t>Жозе Моуринью — один из самых харизматичных и противоречивых профессионалов в современном футболе, с именем которого связаны не только многочисленные победы, но и многочисленные скандалы. Автор книги — главный футбольный обозреватель «Ньюс оф зе уорлд» и главный спортивный корреспондент «Сан» — друг  Моуринью и его биограф. Он представляет читателю Жозе настоящего — такого, каким его знают лишь немногие близкие друзья и родные. Р. Бизли также позволяет заглянуть за кулисы самых знаменитых клубов, знакомит с подробностями непростых отношений  Моуринью с Романом Абрамовичем, Рафаэлем Бенитесом и тренером «Арсенала» Арсеном Венгером и объясняет, почему легендарный футбольный тренер всегда ставит семью и друзей выше футбола…</t>
  </si>
  <si>
    <t>0134</t>
  </si>
  <si>
    <t>За все надо платить</t>
  </si>
  <si>
    <t>978-5-227-06957-3</t>
  </si>
  <si>
    <t>16193</t>
  </si>
  <si>
    <t>Миллер Дж. Стив</t>
  </si>
  <si>
    <t>За гранью земной жизни. Доказательство рая, подтвержденное очевидцами</t>
  </si>
  <si>
    <t>978-5-227-06237-6</t>
  </si>
  <si>
    <t>20530</t>
  </si>
  <si>
    <t>Синелли А.</t>
  </si>
  <si>
    <t>За гранью соблазна</t>
  </si>
  <si>
    <t>978-5-227-10160-0</t>
  </si>
  <si>
    <t>Ксандер давно решил, что никогда не свяжет свою жизнь с женщиной. Все его силы отнимала работа. Но он получит наследство, только если женится и проживет с женой год. Конечно же, он тут же нашел выход – фиктивный брак. Но то, что начиналось как просто договоренность между взрослыми людьми, вдруг переросло во что-то большее. Справится ли он с этим, или ему придется пересмотреть свои взгляды на любовь и брак?</t>
  </si>
  <si>
    <t>16119</t>
  </si>
  <si>
    <t>За закрытыми дверями</t>
  </si>
  <si>
    <t>978-5-227-06126-3</t>
  </si>
  <si>
    <t>1818</t>
  </si>
  <si>
    <t>Хилькевич</t>
  </si>
  <si>
    <t>За кадром</t>
  </si>
  <si>
    <t>5-227-00627-X</t>
  </si>
  <si>
    <t>18713</t>
  </si>
  <si>
    <t>За миг до блаженства</t>
  </si>
  <si>
    <t>978-5-227-08582-5</t>
  </si>
  <si>
    <t>19994</t>
  </si>
  <si>
    <t>За милых дам! Весёлые байки, анекдоты, рассказы и повести о женщинах и для женщин</t>
  </si>
  <si>
    <t>978-5-227-09541-1</t>
  </si>
  <si>
    <t>17984</t>
  </si>
  <si>
    <t>Леннокс М.</t>
  </si>
  <si>
    <t>За ним на край света</t>
  </si>
  <si>
    <t>978-5-227-08018-9</t>
  </si>
  <si>
    <t>11735</t>
  </si>
  <si>
    <t>Чалова Е.</t>
  </si>
  <si>
    <t>За облаками солнце</t>
  </si>
  <si>
    <t>978-5-9524-4883-4</t>
  </si>
  <si>
    <t>15281</t>
  </si>
  <si>
    <t>За последней чертой</t>
  </si>
  <si>
    <t>978-5-227-05232-2</t>
  </si>
  <si>
    <t>0176</t>
  </si>
  <si>
    <t>978-5-227-06958-0</t>
  </si>
  <si>
    <t>16508</t>
  </si>
  <si>
    <t>Прокудин Н.</t>
  </si>
  <si>
    <t>За речкой шла война...</t>
  </si>
  <si>
    <t>978-5-227-06441-7</t>
  </si>
  <si>
    <t>21465</t>
  </si>
  <si>
    <t>КУХНЯ</t>
  </si>
  <si>
    <t>За столом с Булгаковым. Дух времени в произведениях великого Мастера и кулинарных книгах. Кухня на разломе эпох между императорской и советской Россией</t>
  </si>
  <si>
    <t>978-5-227-10882-1</t>
  </si>
  <si>
    <t>Судьба Булгакова «сшивает» разлом между двумя эпохами, между Россией императорской и Россией советской. Ценность творчества Михаила Афанасьевича не в том, что он был летописцем своего времени, а в том, что он писал для всех времен. Его произведения разобраны на цитаты, и многие из них именно кулинарные: «Осетрина второй свежести», «Не читайте советских газет перед обедом», «Ключница водку делала»… Произведения Булгакова помогают понять то сложное и полное противоречий время, в котором он жил. А документы того времени, порой не имеющие к творчеству Булгакова никакого отношения, например, кулинарные книги, помогают понять его произведения, погрузиться в их атмосферу. Булгаков был эстетом и знатоком гастрономических шедевров. Его привлекали сатирические и фантастические сюжеты, он так же легко, как и Гоголь, превращал повседневную жизнь в фантасмагорию, выявлял ее абсурдность. И одновременно он был певцом высоких радостей творчества и любви, дружной семьи, собирающейся за одним столом. А вот о том, что в те времена подавали на стол, читайте в этой удивительно интересной книге.</t>
  </si>
  <si>
    <t>20815</t>
  </si>
  <si>
    <t>За столом с Гоголем. Любимые блюда великого писателя, воспетые в его бессмертных произведениях. Кухня XIX века</t>
  </si>
  <si>
    <t>978-5-227-10395-6</t>
  </si>
  <si>
    <t>Мало кто знает, что Николай Васильевич Гоголь очень любил вкусно поесть. Его литературные творения полны описаний трапез и застолий и даже дают рецепты блюд русской, украинской и европейской кухни. Еда и ее вкушение занимают значительное место во многих произведениях, и описывается это так аппетитно, что, читая, начинаешь завидовать едокам…_x000D_
Характер Гоголя был сложным: едкий сатирик нередко впадал в апатию и меланхолию, но в лучшие свои дни он бывал гурманом и хлебосольным хозяином. О любимых блюдах Гоголя, о том, как они помогают понять его творчество и Россию XIX в., увиденную его глазами, расскажет эта книга._x000D_
Некоторые блюда, которые описывает Гоголь в своих произведениях, мало известны современникам или совсем забыты. Сегодня автор книги исправляет это упущение и дает огромное количество уникальных рецептов блюд, которые подавались в то время.</t>
  </si>
  <si>
    <t>21850</t>
  </si>
  <si>
    <t>Лазерсон И.И., Синельников С.М., Соломоник Т.Г.</t>
  </si>
  <si>
    <t>За столом с Ниро Вульфом, или Секреты кухни великого сыщика. Кулинарный детектив</t>
  </si>
  <si>
    <t>978-5-227-11160-9</t>
  </si>
  <si>
    <t>Занимательное, поучительное и живое пособие по интернациональной кулинарии, в котором приведены рецепты блюд, взятых из любимых в нашей стране историй о Ниро Вульфе, непревзойденном сыщике и величайшем чревоугоднике. Вы убедитесь, что они не так сложны по составу ингредиентов и технологии приготовления, как их интригующе-загадочные названия. Так что попробуйте и вы приобщиться к кулинарным тайнам повара Фрица Бреннера и разнообразьте ваше меню новыми блюдами, которые обязательно заинтересуют тех, кто любит готовить и вкусно поесть. Вы убедитесь, что подзаголовок «Кулинарный детектив» — не лукавая авторская уловка, он обоснован. Поиск и аналитические сопоставления разных вариантов переводов текстов Рекса Стаута, обращения к иным источникам информации по затронутой теме весьма схожи с методами криминалистов при расследованиях. Блистательное трио авторов из прекрасного переводчика Татьяны Соломоник, знатока школ мировой кулинарии Сергея Синельникова и известного петербургского шеф-повара высочайшей квалификации Ильи Лазерсона сделали эту книгу поистине уникальной.</t>
  </si>
  <si>
    <t>20599</t>
  </si>
  <si>
    <t>За столом с Обломовым. Кухня Российской империи. Обеды повседневные и парадные. Для высшего света и бедноты. Русская кухня второй половины XIX века</t>
  </si>
  <si>
    <t>978-5-227-10105-1</t>
  </si>
  <si>
    <t>Вторая половина XIX века была для России во многом переломным временем. Дворяне стояли на страже традиций старинной русской и высокой французской кухни. Купеческие семьи активно «прорывались» в высший свет, осваивая его меню и стремясь перещеголять дворян в роскоши и мотовстве. Фабричные и заводские рабочие нуждались в простой, дешевой и одновременно сытной пище. Все большее число людей разных сословий ездило за границу, привозя оттуда кулинарные новинки. Открывались фабрики по производству конфет, новые дорогие рестораны, чайные, кофейни и дешевые кухмистерские…_x000D_
Герой нашей книги Илья Ильич Обломов, как никто другой, умеет ценить простые радости — мягкий диван, покойный сон, удобный халат и конечно — вкусную еду. Мы узнаем, что подавали на завтраки домашние и торжественные, обеды повседневные и парадные, что ели на провинциальных застольях и что хранилось в погребке у «феи домоводства» Агафьи Матвеевны... В книге вы найдете огромное количество уникальных рецептов блюд, которые подавались в то время.</t>
  </si>
  <si>
    <t>20682</t>
  </si>
  <si>
    <t>За столом с Пушкиным. Чем угощали великого поэта. Любимые блюда, воспетые в стихах, высмеянные в письмах и эпиграммах. Русская кухня первой половины XIX века</t>
  </si>
  <si>
    <t>978-5-227-10383-3</t>
  </si>
  <si>
    <t>Жизнь Пушкина, какой бы короткой она ни была и как бы трагически ни закончилась, стала для нас ключом ко всему XIX веку. Сквозь призму биографии легендарного русского поэта можно изучать многие проблемы, которые волновали его современников. Но Елена Первушина неожиданно обратилась не к теме творчества Александра Сергеевича, не к внутренней политике Российской империи, не к вопросам книгоиздания… Автор решила раскрыть читателям тему «Пушкин и кухня XIX века», и через нее мы сможем поближе узнать поэта и время, в которое он жил._x000D_
В XIX веке дворянская кухня отличалась исключительным разнообразием. На нее значительно влияли мода и политика. В столичных ресторанах царила высокая французская кухня, а в дорожных трактирах приходилось перекусывать холодной телятиной и почитать за счастье, если тебе наливали горячих щей… Пушкин никогда не бывал за границей, но ему довелось немало постранствовать по России. О том, какими деликатесами его угощали, какие блюда он любил, а какие нет, какие воспел в стихах, а какие высмеял в письмах и эпиграммах, расскажет эта увлекательная книга. В ней вы найдете огромное количество уникальных рецептов блюд, которые подавались в пушкинское время.</t>
  </si>
  <si>
    <t>21507</t>
  </si>
  <si>
    <t>За столом с Чеховым. Что было на столе гениального писателя и героев его книг. Русская кухня XIX века</t>
  </si>
  <si>
    <t>978-5-227-10890-6</t>
  </si>
  <si>
    <t>«Кто не придает должного значения питанию, не может считаться по-настоящему интеллигентным человеком», — говорил гений русской литературы А.П. Чехов. Он был великолепным рассказчиком и ценителем вкусной еды. Самым любимым блюдом писателя были караси в сметане: «Из рыб безгласных самая лучшая — это жареный карась…» Хлебосольство Антона Павловича доходило до страсти. За его обеденным столом всегда много людей и угощений, а еду в своих произведениях он описывает с особым трепетом: «…подавали соус из голубей, что-то из потрохов, жареного поросенка, утку, куропаток, цветную капусту, вареники, творог с молоком, кисель и, под конец, блинчики с вареньем». Некоторые строки невозможно читать, не захлебнувшись слюной: «Кулебяка должна быть аппетитная, бесстыдная, во всей своей наготе, чтоб соблазн был. ‹…› Станешь ее есть, а с нее масло, как слезы, начинка жирная, сочная, с яйцами, с потрохами, с луком...» А еще писатель обожал блины: «Как пекут блины? Неизвестно… Об этом узнает только отдаленное будущее…» В. Похлебкин отмечал, что Чехов делал кулинарный антураж составной частью своих пьес, и ему это удавалось. Купите эту интересную книгу, и вы получите удовольствие от чтения и прекрасной подборки рецептов того времени.</t>
  </si>
  <si>
    <t>21041</t>
  </si>
  <si>
    <t>За столом со Сталиным. История эпохи в рецептах и меню. Что было на столе колхозника и первого секретаря? Неподкупные свидетели: кулинарные книги конца XIX — середины XX в.</t>
  </si>
  <si>
    <t>978-5-227-10645-2</t>
  </si>
  <si>
    <t>Озвученный автором промежуток истории кажется близким к нам, о нем сохранилось множество документов и воспоминаний, еще живы свидетели той поры, о ней идет немало споров. И в частности: была ли эта эпоха, исключая, разве что военные годы, периодом невиданного изобилия? Или, напротив, — для народа это было время лишений, а все «сливки» снимала лишь партийная элита? _x000D_
В этой книге мы дадим слово неподкупным свидетелям — кулинарным книгам и меню 1880—1930-х гг., и они расскажут нам, как менялось представление о «вкусной и здоровой пище», о голоде и изобилии в этот период и от каких политических и экономических процессов зависело, что появится на столе простого рабочего или колхозника и первого секретаря — Иосифа Виссарионовича Сталина. Вас ждет большое количество рецептов блюд, многие из которых были любимы вождем народов, и еще много интересного.</t>
  </si>
  <si>
    <t>7228</t>
  </si>
  <si>
    <t>Мазунин</t>
  </si>
  <si>
    <t>Заболевания глаз Профилактика и методы лечения</t>
  </si>
  <si>
    <t>5-9524-2304-3</t>
  </si>
  <si>
    <t>16098</t>
  </si>
  <si>
    <t>Заболевания кожи</t>
  </si>
  <si>
    <t>978-5-227-05904-8</t>
  </si>
  <si>
    <t>5346</t>
  </si>
  <si>
    <t>Алясова</t>
  </si>
  <si>
    <t>Заболевания молочной железы Профилактика и лечение</t>
  </si>
  <si>
    <t>5-9524-1398-6</t>
  </si>
  <si>
    <t>6453</t>
  </si>
  <si>
    <t>Дощанников</t>
  </si>
  <si>
    <t>Заболевания органов дыхания Профилактика и методы лечения</t>
  </si>
  <si>
    <t>5-9524-2175-X</t>
  </si>
  <si>
    <t>19615</t>
  </si>
  <si>
    <t>Де Пало А.</t>
  </si>
  <si>
    <t>Забытая ночь</t>
  </si>
  <si>
    <t>978-5-227-09275-5</t>
  </si>
  <si>
    <t>21690</t>
  </si>
  <si>
    <t>Сыров А.А</t>
  </si>
  <si>
    <t>Забытые достопримечательности южного берега Финского залива. От Санкт-Петербурга до Кургальского полуострова. Путеводитель</t>
  </si>
  <si>
    <t>978-5-227-11072-5</t>
  </si>
  <si>
    <t>В путеводителе описаны малоизвестные петербуржцам и приезжим туристам достопримечатель¬ные объекты, расположенные вдоль южного побережья Финского залива от Санкт-Петербурга до Кургальского полуострова и верховьев реки Нарвы. Издание рассчитано на широкий круг читателей.</t>
  </si>
  <si>
    <t>20250</t>
  </si>
  <si>
    <t>Евдокимов В.И.</t>
  </si>
  <si>
    <t>Забытый берег</t>
  </si>
  <si>
    <t>978-5-227-09174-1</t>
  </si>
  <si>
    <t>21204</t>
  </si>
  <si>
    <t>Хэн Б.</t>
  </si>
  <si>
    <t>Забытый секрет</t>
  </si>
  <si>
    <t>978-5-227-10631-5</t>
  </si>
  <si>
    <t>Алиса, находящаяся на позднем сроке беременности, приходит в себя в грязном трейлере и слышит, как за стеной переговариваются два бандита, и они собираются ее пытать, чтобы узнать что-то важное для них. Ей удается бежать, и бежит она к мужу, Блейку О’Коннору, представителю одной из богатейших семей в Техасе и сотруднику полиции. Но оказывается, Алиса несколько месяцев назад развелась с ним, хотя этого не помнит. Как не может вспомнить, что нужно от нее преступникам. Узнав о похищении бывшей жены, Блейк решает ей помочь, но в его прошлом тоже есть тайна: много лет назад неизвестные похитили его маленькую сестру…</t>
  </si>
  <si>
    <t>21217</t>
  </si>
  <si>
    <t>СЭГ</t>
  </si>
  <si>
    <t>Бейли Г.</t>
  </si>
  <si>
    <t>Забытый язык символов. Расшифровка знаков и эмблем мистических обществ Средневековья</t>
  </si>
  <si>
    <t>978-5-9524-6057-7</t>
  </si>
  <si>
    <t>Известный английский исследователь Гарольд Бейли в своей книге предлагает оригинальную теорию прочтения языка символов. Он считает, что символы были средством общения и взаимного ободрения для всех посвященных в тайны определенной секты._x000D_
Автор изучает сложные фигуры и символы гностиков, иероглифические рисунки масонских знаков, эмблемы печатников, торговые знаки в виде символических изображений животных и предметов, рассматривая их как важные исторические документы, проливающие свет на развитие европейской мысли и на многие неясные проблемы прошлого.</t>
  </si>
  <si>
    <t>16822</t>
  </si>
  <si>
    <t>Заветная победа</t>
  </si>
  <si>
    <t>978-5-227-06788-3</t>
  </si>
  <si>
    <t>19483</t>
  </si>
  <si>
    <t>Завладеть сердцем шейха</t>
  </si>
  <si>
    <t>978-5-227-09117-8</t>
  </si>
  <si>
    <t>21744</t>
  </si>
  <si>
    <t>Хемминг Д.</t>
  </si>
  <si>
    <t>Завоевание империи инков. Трагическая и загадочная история покорения испанцами перуанских индейцев</t>
  </si>
  <si>
    <t>978-5-9524-6163-5</t>
  </si>
  <si>
    <t>В книге рассказывается о завоевании цветущей могущественной империи инков испанскими конкистадорами, о том, как развитая цивилизация постепенно превращалась в зависимую провинцию Испании и какими методами завоеватели насаждали свою деспотию. Автор рисует портреты целой плеяды Великих Инков, военачальников и полководцев-иноземцев, с именами которых связана трагическая и загадочная история перуанских индейцев, с искусством, религией, достижениями, традициями и обрядами великого народа.</t>
  </si>
  <si>
    <t>21650</t>
  </si>
  <si>
    <t>КВ+</t>
  </si>
  <si>
    <t>Баддели Д.</t>
  </si>
  <si>
    <t>Завоевание Кавказа русскими. 1720-1860</t>
  </si>
  <si>
    <t>978-5-227-11049-7</t>
  </si>
  <si>
    <t>Кавказ можно сравнить с мощной крепостью, защищенной самой природой, поэтому?борьба русских за овладение им растянулась на многие десятилетия. В этой книге представлена хроника завоевания Кавказа от появления первых экспедиций в конце XVII?века до развертывания полномасштабной войны. В отличие от многотомного труда генерала Потто, Баддели сумел в одном издании несколько расширить рамки повествования, охватив период кавказской войны и после 30-х годов XIX века, описав противостояние русской армии и мюридов имама Шамиля. Прекрасный знаток традиций и быта горцев, автор приводит множество интереснейших фактов, редких свидетельств и данных военной статистики.</t>
  </si>
  <si>
    <t>21778</t>
  </si>
  <si>
    <t>Завоевание Туркестана. Рассказы военной истории, очерки природы, быта и нравов туземцев в общедоступном изложении</t>
  </si>
  <si>
    <t>978-5-227-11150-0</t>
  </si>
  <si>
    <t>Книга военного писателя и педагога Константина Абазы знакомит современного читателя с историей присоединения к Российской империи обширных территорий Центральной Азии. Процесс проникновения русских в эти древние земли начался ещё при Петре I. Поход в Хивинское ханство отряда Бековича-Черкасского оказался неудачным, и после этого, почти на сто лет прекратилось активное продвижение в этот регион. Начиная с 30-х годов ХIХ века Российская империя начала активно действовать в Туркестане, где было три основных государства — Хива, Коканд и Бухара, и к 1881 году основные земли Туркестана вошли в состав империи в виде семи областей. Книга живо рисует историю завоевания края, на территории которого в настоящее время появилось пять независимых государств, активному развитию которых способствовало их вхождение как в состав Российской империи, так и СССР.</t>
  </si>
  <si>
    <t>20964</t>
  </si>
  <si>
    <t>Завоеватели. Как португальцы построили первую мировую империю</t>
  </si>
  <si>
    <t>978-5-227-10563-9</t>
  </si>
  <si>
    <t>Книга британского историка Роджера Кроули посвящена эпохе великих завоеваний и географических открытий XV—XVI вв. За неполные тридцать лет правления короля Мануэла I португальским мореходам удалось укротить ветра Атлантики, покорить океаны и утвердиться в неизведанных землях — Васко да Гама открыл морской путь в Индию, Педру Кабрал достиг берегов Южной Америки, Франсишку ди Алмейда стал первым вице-королем Индии, Афонсу ди Албукерк основал колонии в Персидском заливе и Малакке. Автор живо и ярко описывает жизнь и подвиги этих бесстрашных мореплавателей, кораблекрушения, морские сражения и другие суровые испытания, выпавшие на долю основателей первой мировой империи. Роджер Кроули также рассказывает о навигации и кораблестроении, торговле, дипломатии и развитии науки в период португальской экспансии, который ознаменовал начало Нового времени.</t>
  </si>
  <si>
    <t>18648</t>
  </si>
  <si>
    <t>Завоевать его сердце дважды</t>
  </si>
  <si>
    <t>978-5-227-08544-3</t>
  </si>
  <si>
    <t>20499</t>
  </si>
  <si>
    <t>Завоевать жену у алтаря</t>
  </si>
  <si>
    <t>978-5-227-10192-1</t>
  </si>
  <si>
    <t>Гэбриел Каррингтон, владелец ранчо, пережив несчастную любовь, хочет найти себе жену с помощью агентства и построить брак исключительно на деловой основе. Ведь жена нужна ему для того, чтобы родить наследника. На одном из приемов в местном клубе Гэйб знакомится с Розалиндой Бэнкс, дизайнером модной одежды. Они проводят ночь и расстаются. Спустя пять недель Розалинда сообщает, что беременна. Гэбриел тут же предлагает ей выйти за него замуж…</t>
  </si>
  <si>
    <t>14573</t>
  </si>
  <si>
    <t>Дарси Э.</t>
  </si>
  <si>
    <t>Завоевать Лауру</t>
  </si>
  <si>
    <t>978-5-227-04518-8</t>
  </si>
  <si>
    <t>18630</t>
  </si>
  <si>
    <t>Завороженные. Дар Донованов</t>
  </si>
  <si>
    <t>978-5-227-08594-8</t>
  </si>
  <si>
    <t>14944</t>
  </si>
  <si>
    <t>978-5-227-04884-4</t>
  </si>
  <si>
    <t>17952</t>
  </si>
  <si>
    <t>Фрэнсис Б.</t>
  </si>
  <si>
    <t>Завоюй меня снова</t>
  </si>
  <si>
    <t>978-5-227-07995-4</t>
  </si>
  <si>
    <t>17521</t>
  </si>
  <si>
    <t>Загадка ее чар</t>
  </si>
  <si>
    <t>978-5-227-07578-9</t>
  </si>
  <si>
    <t>18112</t>
  </si>
  <si>
    <t>Загадка завещания Ивана Калиты. Присоединение Галича, Углича и Белоозера к Московскому княжеству в X</t>
  </si>
  <si>
    <t>978-5-227-08108-7</t>
  </si>
  <si>
    <t>19413</t>
  </si>
  <si>
    <t>Каревин А.С.</t>
  </si>
  <si>
    <t>Загадки малорусской истории. От Богдана Хмельницкого до Петра Порошенко</t>
  </si>
  <si>
    <t>978-5-227-07461-4</t>
  </si>
  <si>
    <t>21422</t>
  </si>
  <si>
    <t>Загадки мироздания. Известные и неизвестные факты</t>
  </si>
  <si>
    <t>978-5-9524-6309-7</t>
  </si>
  <si>
    <t>В этой книге Азимов рассказывает об удивительных явлениях, грандиозных мистификациях и ошибках ученых, которые вводили в заблуждение многие поколения. Он опровергает россказни о летающих тарелках, но предполагает, какими будут колонии на Луне и когда станут осваивать Марс...</t>
  </si>
  <si>
    <t>20694</t>
  </si>
  <si>
    <t>Загадки русской истории. Собрание сочинений. Том 5.</t>
  </si>
  <si>
    <t>978-5-227-10384-0</t>
  </si>
  <si>
    <t>Михаил Задорнов — всеми горячо любимый писатель-сатирик, драматург и эссеист. Замечательный, остроумный, невероятно образованный и очень увлечённый родной историей человек. Его устное творчество знает вся наша огромная страна и жители зарубежья, его книги мгновенно разлетаются с прилавков, а многие выражения ушли в народ и стали крылатыми._x000D_
Впервые читателям предоставляется уникальная возможность приобрести собрание сочинений этого удивительного человека. Пятый том раскрывает читателям авторский взгляд на древнерусскую историю, созвучный взглядам историков, не принявших норманскую теорию. Также здесь собраны тексты интервью с Михаилом Николаевичем об истории и его отце, писателе Николае Задорнове. Пьеса «Амур-батюшка» публикуется впервые.</t>
  </si>
  <si>
    <t>18442</t>
  </si>
  <si>
    <t>Снелл Тайлер Энн</t>
  </si>
  <si>
    <t>Загадочное прошлое любимой</t>
  </si>
  <si>
    <t>978-5-227-08403-3</t>
  </si>
  <si>
    <t>17809</t>
  </si>
  <si>
    <t>КАРТИНЫ-ПАЗЛЫ</t>
  </si>
  <si>
    <t>Павитт Т</t>
  </si>
  <si>
    <t>Загадочные кошки. Картины-пазлы</t>
  </si>
  <si>
    <t>978-5-227-07765-3</t>
  </si>
  <si>
    <t>280х400</t>
  </si>
  <si>
    <t>19904</t>
  </si>
  <si>
    <t>Загляни в свое сердце</t>
  </si>
  <si>
    <t>978-5-227-09502-2</t>
  </si>
  <si>
    <t>20292</t>
  </si>
  <si>
    <t>Бёгле Н.</t>
  </si>
  <si>
    <t>Заговор</t>
  </si>
  <si>
    <t>978-5-227-10081-8</t>
  </si>
  <si>
    <t>18861</t>
  </si>
  <si>
    <t>978-5-227-08767-6</t>
  </si>
  <si>
    <t>20210</t>
  </si>
  <si>
    <t>Заговор двух сердец</t>
  </si>
  <si>
    <t>978-5-227-09690-6</t>
  </si>
  <si>
    <t>16246</t>
  </si>
  <si>
    <t>Заговоры и молитвы на счастье и любовь. Секреты мира и благополучия</t>
  </si>
  <si>
    <t>978-5-227-05875-1</t>
  </si>
  <si>
    <t>20946</t>
  </si>
  <si>
    <t>Заговоры и молитвы на удачу и богатство. Секреты успеха и благополучия</t>
  </si>
  <si>
    <t>978-5-227-10388-8</t>
  </si>
  <si>
    <t>Новая книга Лоры Мелик рассматривает удачу с разных сторон: как везение в повседневной жизни, так и успех в своем деле и на работе, раскрытие своего потенциала, придающие каждому дню радость и смысл. Мощные молитвы и заговоры, спасавшие наших предков в течение многих поколений, помогут обрести подлинное счастье, будут оберегать в дороге и защитят от коварных происков недоброжелателей, в том числе помогут снять порчу и сглаз. Способствуют они и избавлению от бедности и привлечению в жизнь достатка, в том числе не материального, а духовного богатства. Расскажет автор и об амулетах и талисманах, которые стоит носить с собой не только для того, чтобы приманить удачу, но и чтобы развить сильные стороны характера владельца.</t>
  </si>
  <si>
    <t>18363</t>
  </si>
  <si>
    <t>Заговоры и молитвы о здоровье и благополучии детей. Мощная защита для вашего ребенка</t>
  </si>
  <si>
    <t>978-5-227-08284-8</t>
  </si>
  <si>
    <t>16778</t>
  </si>
  <si>
    <t>Заговоры на сохранение семьи</t>
  </si>
  <si>
    <t>978-5-227-06861-3</t>
  </si>
  <si>
    <t>19677</t>
  </si>
  <si>
    <t>Загородный проспект</t>
  </si>
  <si>
    <t>978-5-227-09478-0</t>
  </si>
  <si>
    <t>20843</t>
  </si>
  <si>
    <t>Задорное чтиво</t>
  </si>
  <si>
    <t>978-5-227-10482-3</t>
  </si>
  <si>
    <t>В своей новой книге любимец российской публики, писатель­сатирик, драматург, юморист — Михаил Задорнов говорит обо всём: о различии в понятиях «родина» и «государство», о чиновниках, об истории и псевдоисториках, о происхождении и истинном значении русского языка, об образовании и подрастающем поколении, о наших правителях и правителях других стран, о гламуре, о церкви. И конечно же о нашем национальном характере, о любви и о душе, о том, что есть в каждом русском человеке. Здесь собраны новые забавные истории, которые зрители присылают Михаилу Николаевичу на его почту, и короткие «новос­ти», иногда настолько мимолётные, что, если б не шутки Задорнова, вряд ли остались бы в памяти потомков… Мы желаем вам, дорогие читатели, приятного чтения и… смеха!</t>
  </si>
  <si>
    <t>18346</t>
  </si>
  <si>
    <t>Задорный неФормат</t>
  </si>
  <si>
    <t>978-5-227-08267-1</t>
  </si>
  <si>
    <t>16548</t>
  </si>
  <si>
    <t>Джордано Адриенна</t>
  </si>
  <si>
    <t>Заказ на большую любовь</t>
  </si>
  <si>
    <t>978-5-227-06502-5</t>
  </si>
  <si>
    <t>20747</t>
  </si>
  <si>
    <t>Глезеров С.Е.</t>
  </si>
  <si>
    <t>Закат блистательного Петербурга. Быт и нравы Северной столицы Серебряного века</t>
  </si>
  <si>
    <t>978-5-227-10413-7</t>
  </si>
  <si>
    <t>Подборка разнообразных публикаций и других источников начала предыдущего столетия подробно прокомментирована и позволяет представить Северную столицу в неожиданном и непривычном ракурсе, узнать о быте и нравах того времени, узнать, как жили горожане, увидеть всю многогранность бытия большого города, где роскошь соседствовала с уродливой нищетой. О чем думали и грезили петербуржцы? Какие мечты, планы и надежды строили? Какие тайные роковые страсти их обуревали? Каким кумирам поклонялись и кого безудержно порицали, низвергали с пьедесталов? Каков же, наконец, был город в пору, о которой сегодня принято говорить с придыханием?_x000D_
Прочитав книгу, вы узнаете много интересного и сможете провести поразительные параллели между нравами той эпохи и нашим временем.</t>
  </si>
  <si>
    <t>20814</t>
  </si>
  <si>
    <t>Мартьянова Л.М.,Пигулевская И.С.</t>
  </si>
  <si>
    <t>Закон достойных — творить добро. Лучшие цитаты из китайской мудрости</t>
  </si>
  <si>
    <t>978-5-9524-5521-4</t>
  </si>
  <si>
    <t>Китай — страна с древнейшей историей, на протяжении которой она являла миру великих мудрецов. Это знаменитый мыслитель и основатель этико-политического учения Конфуций, стратег и мыслитель Сунь-цзы, легендарный даосский мыслитель Гуаньлин Инь Си, философы Лао-цзы и Шан Ян, основоположник ханьского конфуцианства Сюнь-цзы, поэт Ли Бай и многие другие. В сборнике вы найдёте изречения о любви и семье, мудрости и жизни, дружбе, природе, возрасте, труде. Получите мудрые советы о взаимодействии с подчинёнными, об отношении к миру и научитесь философскому взгляду на жизнь.</t>
  </si>
  <si>
    <t>18685</t>
  </si>
  <si>
    <t>Закон подлости</t>
  </si>
  <si>
    <t>978-5-227-08617-4</t>
  </si>
  <si>
    <t>16440</t>
  </si>
  <si>
    <t>Кольер Роберт</t>
  </si>
  <si>
    <t>Закон притяжения. Как получить всё, чего вы хотите</t>
  </si>
  <si>
    <t>978-5-9524-5169-8</t>
  </si>
  <si>
    <t>21047</t>
  </si>
  <si>
    <t>МВО</t>
  </si>
  <si>
    <t>Меньшикова К.Е.</t>
  </si>
  <si>
    <t>Законы магии. Как читать магическую литературу. Иной взгляд на реальность. Два основных закона магии: Закон знания и Закон самопознания</t>
  </si>
  <si>
    <t>978-5-227-10641-4</t>
  </si>
  <si>
    <t>Перед вами двенадцатая книга серии «Магия в вопросах и ответах», и каждая из них поможет читателю узнать что-то сокровенное.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вопросы…_x000D_
В этой книге мы рассмотрим два первых и основных магических закона — Закон знания и Закон самопознания. Не думайте, что если вы далеки от магии, то эти знания вам не пригодятся. Законы эти сформулированы многими поколениями практикующих магов и ежедневно отражаются в жизни как магического практика, так и всех остальных людей. Без исключения! Помните старое правило? — «Незнание законов не освобождает от ответственности…» Также попробуем понять, что такое магическая литература и как её правильно читать, чтобы, как старатель, извлекать золотые крупицы знаний из потока информации.</t>
  </si>
  <si>
    <t>5815</t>
  </si>
  <si>
    <t>Закуски к пиву</t>
  </si>
  <si>
    <t>5-9524-1745-0</t>
  </si>
  <si>
    <t>18816</t>
  </si>
  <si>
    <t>Ненашев М.Ф</t>
  </si>
  <si>
    <t>Заложник времени. Заметки. Размышления. Свидетельства</t>
  </si>
  <si>
    <t>978-5-227-07903-9</t>
  </si>
  <si>
    <t>19850</t>
  </si>
  <si>
    <t>Кэссиди К.</t>
  </si>
  <si>
    <t>Заложники любви</t>
  </si>
  <si>
    <t>978-5-227-09511-4</t>
  </si>
  <si>
    <t>19191</t>
  </si>
  <si>
    <t>Заманчивая свадебная клятва</t>
  </si>
  <si>
    <t>978-5-227-09030-0</t>
  </si>
  <si>
    <t>18410</t>
  </si>
  <si>
    <t>Заманчивое наказание</t>
  </si>
  <si>
    <t>978-5-227-08358-6</t>
  </si>
  <si>
    <t>17114</t>
  </si>
  <si>
    <t>Паркер В.</t>
  </si>
  <si>
    <t>Заменить тобой весь мир</t>
  </si>
  <si>
    <t>978-5-227-07073-9</t>
  </si>
  <si>
    <t>17251</t>
  </si>
  <si>
    <t>Мясоедов В.М.</t>
  </si>
  <si>
    <t>Заместитель для демиурга</t>
  </si>
  <si>
    <t>978-5-227-07340-2</t>
  </si>
  <si>
    <t>19659</t>
  </si>
  <si>
    <t>ХВЗ</t>
  </si>
  <si>
    <t>Стародумов М.</t>
  </si>
  <si>
    <t>Замечательные изобретения известных людей, авторство которых забыто</t>
  </si>
  <si>
    <t>978-5-227-09447-6</t>
  </si>
  <si>
    <t>18973</t>
  </si>
  <si>
    <t>Замуж за бывшего мужа</t>
  </si>
  <si>
    <t>978-5-227-08885-7</t>
  </si>
  <si>
    <t>16651</t>
  </si>
  <si>
    <t>Андерсон К.</t>
  </si>
  <si>
    <t>Замуж за лучшего друга</t>
  </si>
  <si>
    <t>978-5-227-06559-9</t>
  </si>
  <si>
    <t>16348</t>
  </si>
  <si>
    <t>Замуж за принца</t>
  </si>
  <si>
    <t>978-5-227-06247-5</t>
  </si>
  <si>
    <t>19270</t>
  </si>
  <si>
    <t>Замуж любой ценой</t>
  </si>
  <si>
    <t>978-5-227-09051-5</t>
  </si>
  <si>
    <t>18323</t>
  </si>
  <si>
    <t>Замуж назло  любовнику</t>
  </si>
  <si>
    <t>978-5-227-08323-4</t>
  </si>
  <si>
    <t>19014</t>
  </si>
  <si>
    <t>Хэйс Э.</t>
  </si>
  <si>
    <t>Замуж со второй попытки</t>
  </si>
  <si>
    <t>978-5-227-08910-6</t>
  </si>
  <si>
    <t>17178</t>
  </si>
  <si>
    <t>Замужем за врагом</t>
  </si>
  <si>
    <t>978-5-227-07203-0</t>
  </si>
  <si>
    <t>6408</t>
  </si>
  <si>
    <t>Роум</t>
  </si>
  <si>
    <t>Замужество Кэролайн</t>
  </si>
  <si>
    <t>5-9524-2127-X</t>
  </si>
  <si>
    <t>17453</t>
  </si>
  <si>
    <t>Переяславцев А.</t>
  </si>
  <si>
    <t>Замыкание спирали</t>
  </si>
  <si>
    <t>978-5-227-07464-5</t>
  </si>
  <si>
    <t>21640</t>
  </si>
  <si>
    <t>Занимательная арифметика. От сложного к простому</t>
  </si>
  <si>
    <t>978-5-9524-6365-3</t>
  </si>
  <si>
    <t>В книге описываются доступные способы упрощения и ускорения расчетов. Практические советы автора по превращению сложных задач в простые помогут дополнить школьные знания, развить скорость и точность вычислений, научат с удовольствием, без труда и ошибок манипулировать с числами.</t>
  </si>
  <si>
    <t>20635</t>
  </si>
  <si>
    <t>Аржанов С.</t>
  </si>
  <si>
    <t>Занимательная география</t>
  </si>
  <si>
    <t>978-5-9524-5513-9</t>
  </si>
  <si>
    <t>Сергей Аржанов рассказывает о том, как географические закономерности проявляются вокруг нас и каким законам подчиняется окружающий мир. В книге затронуты самые интересные вопросы, которые способны увлечь собой ребенка: это и количество людей на Земле, и интересные заблуждения, в которые верят практически все. Вы узнаете, в какую сторону текут реки, почему долина знаменитой реки Нил очень плодородна, как появляются и исчезают озера, как ветер влияет на климат, какой из двух полюсов нашей планеты холоднее, какие «универсальные» животные и растения могут встречаться в разных точках планеты… И хотя книга написана почти сто лет назад, она полна самых занимательных очерков, которые понравятся всем, кто интересуется естественными науками.</t>
  </si>
  <si>
    <t>16243</t>
  </si>
  <si>
    <t>Перельман Я.И.</t>
  </si>
  <si>
    <t>Занимательная геометрия на вольном воздухе и дома</t>
  </si>
  <si>
    <t>978-5-9524-5179-7</t>
  </si>
  <si>
    <t>17375</t>
  </si>
  <si>
    <t>978-5-9524-5229-9</t>
  </si>
  <si>
    <t>20684</t>
  </si>
  <si>
    <t>Никольский А.М.</t>
  </si>
  <si>
    <t>Занимательная зоология</t>
  </si>
  <si>
    <t>978-5-9524-5511-5</t>
  </si>
  <si>
    <t>Предлагаемая юным читателям книга имеет давнюю историю. И хотя за долгие годы после ее написания наука ушла далеко вперед, а мнения ученых относительно некоторых фактов поменялись, книга по-прежнему остается очень занимательной для пытливых умов. Текст подан в легкой, доступной форме и изобилует увлекательными фактами. Задачей автора было не написание учебника по зоологии для людей определенного возраста, не создание учебного пособия для какого-то класса обучения. Автор просто хотел дать читателям интересные знания. Он предлагает множество тем для практических занятий, призывает проверить правдивость некоторых сведений путем наблюдения за природой. Издание будет интересно очень широкому кругу читателей, как юным биологам, так и их педагогам и родителям.</t>
  </si>
  <si>
    <t>4323</t>
  </si>
  <si>
    <t>СРК</t>
  </si>
  <si>
    <t>Похлебкин В.В.</t>
  </si>
  <si>
    <t>Занимательная кулинария</t>
  </si>
  <si>
    <t>5-9524-0627-0</t>
  </si>
  <si>
    <t>10228</t>
  </si>
  <si>
    <t>ВК+</t>
  </si>
  <si>
    <t>Занимательная кулинария Советы и рекомендации всемирно известного кулинара</t>
  </si>
  <si>
    <t>978-5-9524-3405-9</t>
  </si>
  <si>
    <t>17802</t>
  </si>
  <si>
    <t>Занимательная механика</t>
  </si>
  <si>
    <t>978-5-9524-5241-1</t>
  </si>
  <si>
    <t>21294</t>
  </si>
  <si>
    <t>Занимательная мифология. Новая жизнь древних слов</t>
  </si>
  <si>
    <t>978-5-9524-6230-4</t>
  </si>
  <si>
    <t>В книге знаменитого фантаста, ученого с мировым именем А. Азимова ярко и увлекательно повествуется о древних именах и словах из восхитительных и занимательных сказаний о богах и людях, о героических свершениях и трагедиях, сложенных одним из самых совершенных воображений, которое только знало человечество. Вы совершите захватывающее путешествие в мир прошлого, откроете для себя чудо и магию языка, пришедшего, как по нити Ариадны, в современность из далекой эпохи.</t>
  </si>
  <si>
    <t>17618</t>
  </si>
  <si>
    <t>Занимательная физика</t>
  </si>
  <si>
    <t>978-5-9524-5237-4</t>
  </si>
  <si>
    <t>17004</t>
  </si>
  <si>
    <t>Рюмин В.В.</t>
  </si>
  <si>
    <t>Занимательная электротехника на дому</t>
  </si>
  <si>
    <t>978-5-9524-5184-1</t>
  </si>
  <si>
    <t>18215</t>
  </si>
  <si>
    <t>Нечаев А.</t>
  </si>
  <si>
    <t>Занимательные опыты, или Чудеса без чудес. Увлекательная физика для маленьких учёных</t>
  </si>
  <si>
    <t>978-5-9524-5346-3</t>
  </si>
  <si>
    <t>0167</t>
  </si>
  <si>
    <t>Занятие для мужчин</t>
  </si>
  <si>
    <t>978-5-227-06959-7</t>
  </si>
  <si>
    <t>15221</t>
  </si>
  <si>
    <t>Западня для лорда</t>
  </si>
  <si>
    <t>978-5-227-05245-2</t>
  </si>
  <si>
    <t>17339</t>
  </si>
  <si>
    <t>Западня туманных гор</t>
  </si>
  <si>
    <t>978-5-227-07326-6</t>
  </si>
  <si>
    <t>15276</t>
  </si>
  <si>
    <t>Аштон Л.</t>
  </si>
  <si>
    <t>Запасной вариант</t>
  </si>
  <si>
    <t>978-5-227-05271-1</t>
  </si>
  <si>
    <t>17714</t>
  </si>
  <si>
    <t>Донохью Э.</t>
  </si>
  <si>
    <t>Запечатанное письмо</t>
  </si>
  <si>
    <t>978-5-227-07595-6</t>
  </si>
  <si>
    <t>14292</t>
  </si>
  <si>
    <t>978-5-227-04322-1</t>
  </si>
  <si>
    <t>19277</t>
  </si>
  <si>
    <t>Юль Ю.</t>
  </si>
  <si>
    <t>Записки датского посланника при Петре Великом. 1709-1711</t>
  </si>
  <si>
    <t>978-5-227-09193-2</t>
  </si>
  <si>
    <t>17278</t>
  </si>
  <si>
    <t>Записки из твиттера</t>
  </si>
  <si>
    <t>978-5-227-07254-2</t>
  </si>
  <si>
    <t>20905</t>
  </si>
  <si>
    <t>Сукнев М.И.</t>
  </si>
  <si>
    <t>Записки командира штрафбата. Воспоминания комбата. 1941—1945</t>
  </si>
  <si>
    <t>978-5-227-10514-1</t>
  </si>
  <si>
    <t>Воспоминания М.И. Сукнева, наверно, единственные в нашей военной литературе мемуары, написанные офицером, который командовал штрафбатом. Более трех лет М.И. Сукнев воевал на передовой, несколько раз был ранен. Среди немногих дважды награжден орденом Александра Невского, а также рядом других боевых орденов и медалей._x000D__x000D_
Автор писал книгу в 2000 г., на закате жизни, предельно откровенно. Поэтому его воспоминания являются исключительно ценным свидетельством о войне 1941—1945 гг.</t>
  </si>
  <si>
    <t>20886</t>
  </si>
  <si>
    <t>978-5-227-10513-4</t>
  </si>
  <si>
    <t>19205</t>
  </si>
  <si>
    <t>Конев И.С.</t>
  </si>
  <si>
    <t>Записки командующего фронтом</t>
  </si>
  <si>
    <t>978-5-227-07917-6</t>
  </si>
  <si>
    <t>12675</t>
  </si>
  <si>
    <t>ОИ ВП</t>
  </si>
  <si>
    <t>Сидоров М.</t>
  </si>
  <si>
    <t>Записки на кардиограммах</t>
  </si>
  <si>
    <t>978-5-227-02785-6</t>
  </si>
  <si>
    <t>21285</t>
  </si>
  <si>
    <t>Видок Э.-Ф.</t>
  </si>
  <si>
    <t>Записки начальника Парижской тайной полиции</t>
  </si>
  <si>
    <t>978-5-227-10789-3</t>
  </si>
  <si>
    <t>Опасный преступник, впоследствии ставший сыщиком, одним из известнейших частных детективов, буквально «отцом уголовного розыска» во Франции, в истории своей жизни описывает, как попал в криминальный мир, за что был не раз посажен за решетку. Прозванный «королем риска», а потом «оборотнем», так как создал особую бригаду из уголовников, «частную полицию», работавшую по принципу «Только преступник может побороть преступление», Видок в мемуарах излагает массу сюжетов своих «подвигов» и подробности расследований, которые читаются как захватывающие детективы.</t>
  </si>
  <si>
    <t>21027</t>
  </si>
  <si>
    <t>Александрович А.Д.</t>
  </si>
  <si>
    <t>Записки певца. Воспоминания прославленного тенора, артиста оперы Мариинского театра, участника «Русских сезонов» Сергея Дягилева в Париже и Лондоне</t>
  </si>
  <si>
    <t>978-5-9524-6095-9</t>
  </si>
  <si>
    <t>Александр Дмитриевич Александрович (Покровский) — известный оперный певец, лирический тенор — описывает свою жизнь и творческий путь на фоне глобальных событий, происходящих в мире и в России. Без надрыва и излишней патетики Александрович рассказывает о том, как трудно было в эту пору сохранять русское культурное наследие, какие препятствия преодолевали и лишения терпели преданные музыке образованные, поистине творческие люди. Он рассказывает о своих учителях, о выступлениях на мировых сценах, об интересных оперных постановках, концертах, особое внимание уделяя русской музыке, и о замечательных исполнителях. Отдельные главы автор посвящает великим деятелям искусства С.П. Дягилеву и Ф.И. Шаляпину.</t>
  </si>
  <si>
    <t>20454</t>
  </si>
  <si>
    <t>Кастильоне Б.</t>
  </si>
  <si>
    <t>Записки придворного. Изысканные обычаи, интеллектуальные игры и развлечения итальянского общества эпохи Возрождения</t>
  </si>
  <si>
    <t>978-5-227-10189-1</t>
  </si>
  <si>
    <t>Граф Бальдассаре Кастильоне (1478—1529) — дипломат, философ, поэт, друг Рафаэля, современник Цезаря Борджиа и Лодовико Моро._x000D_
В книге, состоящей из диалогов и остроумных бесед героев, складывается яркая картина изысканных обычаев итальянского общества эпохи Возрождения. Веселые и одновременно глубокие беседы, которые ведут придворные, герои произведения, касаются всех сторон общественной и частной жизни людей XVI века.</t>
  </si>
  <si>
    <t>18388</t>
  </si>
  <si>
    <t>Солоневич Т.В</t>
  </si>
  <si>
    <t>Записки советской переводчицы. Три года в Берлинском торгпредстве. 1928—1930</t>
  </si>
  <si>
    <t>978-5-227-07844-5</t>
  </si>
  <si>
    <t>6327</t>
  </si>
  <si>
    <t>АНТИСТЕРВА</t>
  </si>
  <si>
    <t>Графова</t>
  </si>
  <si>
    <t>Заповеди счастливой женщины</t>
  </si>
  <si>
    <t>5-9524-2100-8</t>
  </si>
  <si>
    <t>16997</t>
  </si>
  <si>
    <t>Запомни: ты моя</t>
  </si>
  <si>
    <t>978-5-227-07036-4</t>
  </si>
  <si>
    <t>16526</t>
  </si>
  <si>
    <t>Запредельная нежность</t>
  </si>
  <si>
    <t>978-5-227-06487-5</t>
  </si>
  <si>
    <t>17832</t>
  </si>
  <si>
    <t>Запредельный накал страсти</t>
  </si>
  <si>
    <t>978-5-227-07757-8</t>
  </si>
  <si>
    <t>14482</t>
  </si>
  <si>
    <t>Запретная драгоценность</t>
  </si>
  <si>
    <t>978-5-227-04510-2</t>
  </si>
  <si>
    <t>16057</t>
  </si>
  <si>
    <t>Запретная тема</t>
  </si>
  <si>
    <t>978-5-227-06073-0</t>
  </si>
  <si>
    <t>17494</t>
  </si>
  <si>
    <t>Мейджер Э.</t>
  </si>
  <si>
    <t>Запретное искушение</t>
  </si>
  <si>
    <t>978-5-227-07561-1</t>
  </si>
  <si>
    <t>17235</t>
  </si>
  <si>
    <t>Запретные чувства</t>
  </si>
  <si>
    <t>978-5-227-07215-3</t>
  </si>
  <si>
    <t>15997</t>
  </si>
  <si>
    <t>Запретный плод</t>
  </si>
  <si>
    <t>978-5-227-05959-8</t>
  </si>
  <si>
    <t>16934</t>
  </si>
  <si>
    <t>Запретный союз</t>
  </si>
  <si>
    <t>978-5-227-06855-2</t>
  </si>
  <si>
    <t>17188</t>
  </si>
  <si>
    <t>Запутанная история</t>
  </si>
  <si>
    <t>978-5-227-07227-6</t>
  </si>
  <si>
    <t>15036</t>
  </si>
  <si>
    <t>Запятнанная репутация</t>
  </si>
  <si>
    <t>978-5-227-04987-2</t>
  </si>
  <si>
    <t>20647</t>
  </si>
  <si>
    <t>Зарождение добровольческой армии</t>
  </si>
  <si>
    <t>978-5-227-09959-4</t>
  </si>
  <si>
    <t>Книга «Зарождение добровольческой армии» представляет собой первый том из серии, посвященной Белому движению в России, и знакомит читателя с воспоминаниями участников событий на Дону и Кубани в конце 1917 — начале 1918 г._x000D_
В книге впервые с такой полнотой представлены свидетельства не только руководителей антикоммунистической борьбы, но и ее рядовых участников, позволяющие наглядно представить обстановку и атмосферу того времени, психологию и духовный облик первых добровольцев. За небольшим исключением помещенные в томе материалы в России никогда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</si>
  <si>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21833</t>
  </si>
  <si>
    <t>Зароки и обеты. Магический смысл гейсов. Богиня Геката. Откаты в колдовстве. Магические хранители. Функции магического алтаря. Смысл зароков, клятв и обетов</t>
  </si>
  <si>
    <t>978-5-227-11149-4</t>
  </si>
  <si>
    <t>Перед вами шестая книга серии «Магия в вопросах и ответах», и каждая из них поможет читателю узнать что­то сокровенное.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вопросы…_x000D_
В этой книге мы поговорим о богине Гекате и её чёрных псах. О магическом смысле гейсов. Обсудим тему откатов в колдовстве и попробуем понять, зачем в нашей жизни появляются провокаторы. Прочтём много интересного о магических хранителях и о боге Локи. Узнаем, какую функцию выполняет магический алтарь и вредна ли религия для магии. Поговорим о магическом смысле зароков, клятв и обетов, а также о том, какую литературу стоит читать начинающим в магии.</t>
  </si>
  <si>
    <t>17827</t>
  </si>
  <si>
    <t>Засланцы</t>
  </si>
  <si>
    <t>978-5-227-07964-0</t>
  </si>
  <si>
    <t>10232</t>
  </si>
  <si>
    <t>РП С CD</t>
  </si>
  <si>
    <t>Куликова</t>
  </si>
  <si>
    <t>Заставьте время работать на вас с СD</t>
  </si>
  <si>
    <t>978-5-9524-3402-8</t>
  </si>
  <si>
    <t>0132</t>
  </si>
  <si>
    <t>Заставьте танцевать мертвеца</t>
  </si>
  <si>
    <t>978-5-227-06960-3</t>
  </si>
  <si>
    <t>20498</t>
  </si>
  <si>
    <t>Перссон Лейф Г.В.</t>
  </si>
  <si>
    <t>Застенчивый убийца</t>
  </si>
  <si>
    <t>978-5-227-10186-0</t>
  </si>
  <si>
    <t>Ларс Мартин Юханссон — легенда шведской полиции, детектив от Бога, три года назад ушедший на пенсию, — попал в больницу с сердечным приступом. День за днем возвращаясь к жизни, он, неожиданно для самого себя, начинает негласное расследование одного из самых гнусных преступлений — изнасилования и убийства девятилетней девочки. Юханссон узнает все подробности бездарного ведения следствия и отлично понимает, почему убийца не был найден. Бывшего шефа полиции не останавливает то, что преступление было совершено двадцать пять лет назад, он знает, что раскроет его и убийца будет наказан.</t>
  </si>
  <si>
    <t>18356</t>
  </si>
  <si>
    <t>Коротич В.А</t>
  </si>
  <si>
    <t>Застолье в застой</t>
  </si>
  <si>
    <t>978-5-9524-5307-4</t>
  </si>
  <si>
    <t>20417</t>
  </si>
  <si>
    <t>Затмение страсти</t>
  </si>
  <si>
    <t>978-5-227-10073-3</t>
  </si>
  <si>
    <t>После короткого, но бурного романа с Кейт Эверетт из провинциального городка Северной Каролины шотландец Броуди Стюарт возвращается на родину. Ни он, ни она не ждут продолжения отношений. Но спустя четыре месяца Броуди снова прилетает в Америку. Что ж, у Кейт для него серьезные новости…</t>
  </si>
  <si>
    <t>21819</t>
  </si>
  <si>
    <t>Арним Э. фон</t>
  </si>
  <si>
    <t>Зачарованный апрель</t>
  </si>
  <si>
    <t>978-5-227-11131-9</t>
  </si>
  <si>
    <t>Лотти Уилкинс и Роза Арбитнот не были счастливы в браке. Обе почти смирились со своей участью, но однажды в «Таймс» они прочли объявление о сдаче внаем небольшого средневекового замка в Италии. Высокую арендную плату дамы решили поделить на четверых и нашли еще двух компаньонок. Вскоре, покинув хмурый, дождливый Лондон, четыре леди отправились в Италию. Окруженный чудесным садом замок оказал на женщин волшебное воздействие, здесь они вдруг осознали, как прекрасна жизнь, и почувствовали, что могут и должны быть счастливыми…</t>
  </si>
  <si>
    <t>20008</t>
  </si>
  <si>
    <t>СУПЕР</t>
  </si>
  <si>
    <t>Казакевич А.</t>
  </si>
  <si>
    <t>Зачем жить. Объясняющая книга</t>
  </si>
  <si>
    <t>978-5-227-09731-6</t>
  </si>
  <si>
    <t>17961</t>
  </si>
  <si>
    <t>Зачем скрывать любовь</t>
  </si>
  <si>
    <t>978-5-227-08039-4</t>
  </si>
  <si>
    <t>20262</t>
  </si>
  <si>
    <t>Зачетная книжка жизни. Учимся любить</t>
  </si>
  <si>
    <t>978-5-227-09734-7</t>
  </si>
  <si>
    <t>12548</t>
  </si>
  <si>
    <t>ПС</t>
  </si>
  <si>
    <t>978-5-227-02637-8</t>
  </si>
  <si>
    <t>12519</t>
  </si>
  <si>
    <t>Зачётная книжка жизни. Учимся любить</t>
  </si>
  <si>
    <t>978-5-227-02636-1</t>
  </si>
  <si>
    <t>20693</t>
  </si>
  <si>
    <t>Ковалев В.Н.</t>
  </si>
  <si>
    <t>Защитник Донбасса</t>
  </si>
  <si>
    <t>978-5-227-10368-0</t>
  </si>
  <si>
    <t>Максим Найденов — сирота, вырос в детском доме, после школы связал свою жизнь с армией. В составе ЧВК воевал в горячих точках в Африке и Сирии, затем в Донбассе. Женитьба и ребенок все изменили. Максим решил осесть в Крыму, здесь он принял предложение занять должность начальника службы безопасности процветающего винодельческого хозяйства. Но началась специальная военная операция, и Максим не смог оставаться в стороне от поля боя, где на сей раз решалась не только его личная судьба…</t>
  </si>
  <si>
    <t>12147</t>
  </si>
  <si>
    <t>ЮР</t>
  </si>
  <si>
    <t>Рогожин М.Ю.</t>
  </si>
  <si>
    <t>Заявления и жалобы в суд. Образцы документов с комментариями</t>
  </si>
  <si>
    <t>978-5-227-02306-3</t>
  </si>
  <si>
    <t>19055</t>
  </si>
  <si>
    <t>Эдельман Н.В</t>
  </si>
  <si>
    <t>Звездный час</t>
  </si>
  <si>
    <t>978-5-227-09025-6</t>
  </si>
  <si>
    <t>16892</t>
  </si>
  <si>
    <t>Звездный час любви</t>
  </si>
  <si>
    <t>978-5-227-06842-2</t>
  </si>
  <si>
    <t>18116</t>
  </si>
  <si>
    <t>Старостин Н.П</t>
  </si>
  <si>
    <t>Звезды большого футбола</t>
  </si>
  <si>
    <t>978-5-227-07843-8</t>
  </si>
  <si>
    <t>17586</t>
  </si>
  <si>
    <t>Звезды сошлись на Бали</t>
  </si>
  <si>
    <t>978-5-227-07613-7</t>
  </si>
  <si>
    <t>20130</t>
  </si>
  <si>
    <t>ОИ УВЛ</t>
  </si>
  <si>
    <t>Аллен Р. Х.</t>
  </si>
  <si>
    <t>Звезды. Легенды и научные факты о происхождении астрономических имен</t>
  </si>
  <si>
    <t>978-5-9524-5719-5</t>
  </si>
  <si>
    <t>19857</t>
  </si>
  <si>
    <t>Звери у двери</t>
  </si>
  <si>
    <t>978-5-227-09663-0</t>
  </si>
  <si>
    <t>5978</t>
  </si>
  <si>
    <t>Звериная карусель</t>
  </si>
  <si>
    <t>5-9524-1557-1</t>
  </si>
  <si>
    <t>0138</t>
  </si>
  <si>
    <t>Звонок мертвеца</t>
  </si>
  <si>
    <t>978-5-227-06961-0</t>
  </si>
  <si>
    <t>16337</t>
  </si>
  <si>
    <t>Герритсен Т.</t>
  </si>
  <si>
    <t>Звонок после полуночи</t>
  </si>
  <si>
    <t>978-5-227-06214-7</t>
  </si>
  <si>
    <t>21669</t>
  </si>
  <si>
    <t>978-5-227-11050-3</t>
  </si>
  <si>
    <t>Полночный звонок телефона разбудил и испугал Сару Фонтейн. Она ждала звонка своего мужа из Лондона, но вместо этого услышала в трубке совершенно незнакомый голос. Ник О’Хара из департамента иностранных дел США принес ей страшную новость — ее молодой муж Джеффри Фонтейн погиб при пожаре в одном из отелей Берлина... Но Сара убеждена, что ее муж жив! И они вместе с Ником перевернут всю Европу, разыскивая его! Пытаясь остановить опасного убийцу, они попадают в сеть таинственного международного шпионажа, рискуя всем, чтобы получить ответы на свои вопросы...</t>
  </si>
  <si>
    <t>18227</t>
  </si>
  <si>
    <t>Здесь живет наша любовь</t>
  </si>
  <si>
    <t>978-5-227-08224-4</t>
  </si>
  <si>
    <t>21178</t>
  </si>
  <si>
    <t>Здоровая печень. Избавляемся от проблем самого большого органа. Гепатит. Гепатоз. Жировая дистрофия. Цирроз…</t>
  </si>
  <si>
    <t>978-5-227-10326-0</t>
  </si>
  <si>
    <t>Печень — поистине уникальный орган, который способен выполнять свои функции даже при трети сохранённой ткани. И этого хватает, чтобы организм функционировал нормально. Но это не должно расхолаживать человека и настраивать на оптимистический лад. Все многочисленные заболевания печени — а их насчитывается до полусотни — объединены одним, очень коварным признаком — долго остаются незаметными. Лечение заболеваний печени — задача очень сложная, так как почти при любом из них бывают затронуты многие другие системы и органы._x000D_
Из книги вы узнаете всё, что нужно знать о печени: каким заболеваниям она подвержена, каковы их признаки и принципы лечения, пройдёте тест для предварительного определения состояния печени и узнаете огромное количество народных и кулинарных рецептов для поддержания здоровья печени, её очистки и восстановления. Будьте здоровы и пусть ваше знакомство с болезнями печени состоится только на бумаге!</t>
  </si>
  <si>
    <t>17474</t>
  </si>
  <si>
    <t>Здоровое пищеварение без лекарств</t>
  </si>
  <si>
    <t>978-5-227-07534-5</t>
  </si>
  <si>
    <t>21333</t>
  </si>
  <si>
    <t>Здоровое сердце. Залог активности и вечной молодости. Аритмия. Инфаркт. Кардиомиопатия…</t>
  </si>
  <si>
    <t>978-5-227-10279-9</t>
  </si>
  <si>
    <t>Заболевания сердца и сосудов — бич современности. Часто мы не думаем о своём сердце и не заботимся о нём до тех пор, пока оно работает исправно. Гром не грянет, мужик не перекрестится… Но стоит ли ждать грома? Не лучше позаботиться о своем «пламенном моторе» заранее, ведь от его правильной работы зависит наша жизнь. Читайте книгу, она познакомит вас с различными способами оздоровления сердечно-сосудистой системы и научит применять эти советы на практике. Она расскажет, как сохранить здоровье и бодрость на долгие годы, даст рекомендации по сохранению и восстановлению функций сердца. Здесь нет лишних сведений, вся информация проста и понятна. Вы узнаете, как оказать первую помощь при обмороке, каковы факторы риска, прочтёте всё необходимое о правильном питании при сердечно-сосудистых заболеваниях. Здесь же вы найдёте лучшие рецепты народной медицины, комплексы лечебной гимнастики, научитесь ментальному расслаблению, прогрессивной релаксации и многому другому…_x000D_
Желаем вам крепкого здоровья, и пусть ваши сердца бьются учащённо только от радости и замирают только от восторга и любви!</t>
  </si>
  <si>
    <t>20885</t>
  </si>
  <si>
    <t>Здоровые суставы. Гарантия подвижности и бодрости. Артрит. Артроз. Бурсит. Подагра…</t>
  </si>
  <si>
    <t>978-5-227-10401-4</t>
  </si>
  <si>
    <t>Суставы постоянно испытывают нагрузку, они подвержены рискам, и проблемы с ними могут начаться в любом возрасте. В нашем организме около двухсот суставов, и от их здоровья напрямую зависит мобильность. Заболеваний суставов много, и болеть могут любые суставы, от челюстных до коленных. Широко распространенные артриты и артрозы, признаки которых находят даже у мумий великих фараонов, знакомы человечеству с древних времен. А еще спондилез, подагра, периартрит, синовит и бурсит… Плюс такие состояния, как артропатия и артралгия…_x000D__x000D_
Чтобы ваши суставы были здоровы, читайте нашу книгу, изучите правила бережного отношения к суставам, получите рецепты народной медицины для профилактики и лечения. В разделе о питании приведены диеты и обширный список продуктов, которые обладают свойством снижать воспаление суставов. Вспомогательными средствами будут мази, растирания, компрессы, лечебные ванны, физические упражнения…</t>
  </si>
  <si>
    <t>20680</t>
  </si>
  <si>
    <t>Здоровый кишечник. Гарантия прекрасного самочувствия. Колит. Дуоденит. Энтерит. Язва. Проктит…</t>
  </si>
  <si>
    <t>978-5-227-10338-3</t>
  </si>
  <si>
    <t>Пожалуйста, отнеситесь бережно к своему организму. Если вам поставили неприятный диагноз, связанный с заболеванием кишечника, не затягивайте, ведь здоровый кишечник — гарантия нормального функционирования всего организма. Своевременное медикаментозное лечение и народные рецепты помогут вам свести неприятности от заболеваний к минимуму. Как устроен желудочно-кишечный тракт, каковы симптомы язвенной болезни кишечника, энтерита, аппендицита, колита, проктита, сигмоидита, тифлита, илеита, еюнита, целиакии, дисбактериоза и прочих недугов кишечника, вы узнаете из этой книги._x000D_
О том, какие методы диагностики применяют, как и чем лечиться, как правильно принимать лекарства, какие минеральные воды необходимо употреблять в разных случаях, расскажет наша книга. Особое внимание уделено лечебному питанию при различных кишечных проблемах, поскольку диета играет очень важную роль в поддержании нормального самочувствия и восстановлении пораженного кишечника.</t>
  </si>
  <si>
    <t>17686</t>
  </si>
  <si>
    <t>Здоровье кишечника</t>
  </si>
  <si>
    <t>978-5-227-07379-2</t>
  </si>
  <si>
    <t>21668</t>
  </si>
  <si>
    <t>Здоровье физическое и энергетическое. Причины болезней. Энергопоражения. Порча. Сглаз. Приворот. Вампиризм. Чистка</t>
  </si>
  <si>
    <t>978-5-227-11067-1</t>
  </si>
  <si>
    <t>Мы вновь продолжаем путешествие в таинственный мир магии, который хоть и не видим, но окружает нас повсюду. Перед вами третья книга серии «Магия в вопросах и ответах», и каждая из них поможет читателю узнать что-то сокровенное._x000D_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 Сегодня мы обратимся к теме здоровья, как физического, так и энергетического, ведь одно от другого не отделимо._x000D_
Вас ждут ответы на следующие вопросы: Как определить причины болезней? Могут ли болезни быть перенесены из прошлых жизней? Что такое энергопоражения: сглаз, крадник, порча, приворот, родовой подселенец, проклятие, вампиризм? Как их диагностировать, корректировать, предупредить? Как проводить магическую чистку? Чем питать тонкие тела? Как сила стихий влияет на здоровье? Как правильно отдавать старые вещи, чтобы это не нанесло вреда дарителю? Милостыня: всегда ли во благо?..</t>
  </si>
  <si>
    <t>21282</t>
  </si>
  <si>
    <t>ШМК</t>
  </si>
  <si>
    <t>Здоровье через силу стихий</t>
  </si>
  <si>
    <t>978-5-227-10764-0</t>
  </si>
  <si>
    <t>Здоровье — это сила земли, сила природы, и каждый рождённый имеет право на эту силу лишь на основании факта своего рождения здесь — все живые в равной степени. Это очень важно понять: потенциально на поток здоровья как на источник жизненной силы каждый живущий равно имеет право. Потенциально. То, что человек оказывается не способен взять силу жизни совсем или не в том объёме, который нужен ему для нормальной работы своего тела и сознания, зависит исключительно от психического устройства самого человека, а также от среды, в которой он живёт._x000D_
Почему с течением времени поток силы жизни начинает иссякать? Кто или что перекрывает эту силу и ограничивает святое право рождённого на неё? Что нужно сделать, чтобы восстановить утраченное здоровье? Ответы на эти и многие другие вопросы вы найдёте в этой книге.</t>
  </si>
  <si>
    <t>17239</t>
  </si>
  <si>
    <t>Колобродов А.Ю.</t>
  </si>
  <si>
    <t>Здравые смыслы. Настоящая литература настоящего времени</t>
  </si>
  <si>
    <t>978-5-227-06615-2</t>
  </si>
  <si>
    <t>20966</t>
  </si>
  <si>
    <t>Зеленое движение в Гражданской войне в России. Крестьянский фронт между красными и белыми. 1918—1922</t>
  </si>
  <si>
    <t>978-5-227-10523-3</t>
  </si>
  <si>
    <t>Книга доктора исторических наук, специалиста по истории Гражданской войны в России А.В. Посадского посвящена массовому крестьянскому вооруженному движению в 1918—1922 гг. Оно получило название «зеленого» и представляло собой самооборону крестьян против вторжений в их жизнь и быт различных участников Гражданской войны, форму вооруженной борьбы деревни за свои интересы. В изменчивых обстоятельствах Гражданской войны зеленое движение могло превращаться в красно­зеленое и бело­зеленое. Однако главная его сила заключалась в массовости. Грандиозная «зеленая» волна мая—августа 1919 г. в русских губерниях продемонстрировала отношение деревни к коммунистам, разверстке, мобилизациям. Слабоструктурированный крестьянский  протест хотя и не имел шансов на военную победу, однако представлял собой форму самостоятельного крестьянского участия в Гражданской войне. Автор на большом архивном и мемуарном материале показывает отношение к зеленым белого и красного лагерей, сторонних наблюдателей, уделяет внимание образу зеленых в пропаганде и литературе. В работе проанализирована взаимосвязь зеленого движения с миллионным потоком дезертиров из РККА и белых армий.</t>
  </si>
  <si>
    <t>19025</t>
  </si>
  <si>
    <t>Мироненко А.А</t>
  </si>
  <si>
    <t>Земля — лишь ферма</t>
  </si>
  <si>
    <t>978-5-227-08948-9</t>
  </si>
  <si>
    <t>17639</t>
  </si>
  <si>
    <t>Земля и космос. От реальности к гипотезе</t>
  </si>
  <si>
    <t>978-5-227-07232-0</t>
  </si>
  <si>
    <t>21595</t>
  </si>
  <si>
    <t>Земля Ханаанская. Родина иудаизма и христианства</t>
  </si>
  <si>
    <t>978-5-9524-6366-0</t>
  </si>
  <si>
    <t>В книге повествуется о Ханаане — зоне взаимодействия древнейших цивилизаций, находившейся на пересечении важных торговых путей, соединявших Месопотамию и Малую Азию с Египтом. Азимов, опираясь на богатый документальный материал, данные археологических исследований и анализ древних источников, воссоздает подробную и объективную картину появления и исчезновения могущественных империй, бесчисленных войн и зарождения двух мировых религий: иудаизма и христианства.</t>
  </si>
  <si>
    <t>2649</t>
  </si>
  <si>
    <t>Земля шорохов</t>
  </si>
  <si>
    <t>5-227-01311-X</t>
  </si>
  <si>
    <t>10803</t>
  </si>
  <si>
    <t>Кочелаева Н.</t>
  </si>
  <si>
    <t>Зерна граната</t>
  </si>
  <si>
    <t>978-5-9524-3892-7</t>
  </si>
  <si>
    <t>20320</t>
  </si>
  <si>
    <t>Шур М.</t>
  </si>
  <si>
    <t>Зигмунд Фрейд: жизнь и смерть</t>
  </si>
  <si>
    <t>978-5-9524-5697-6</t>
  </si>
  <si>
    <t>Подробное жизнеописание и одновременно глубокое исследование творчества Зигмунда Фрейда составлено его лечащим врачом, другом и единомышленником. Макс Шур представляет читателям не только глубоко страдающего пациента, но и человека огромной духовной силы и выдержки, которому даже собственные страдания служили материалом для научных изысканий._x000D_
Книга ценна не только впечатлениями очевидца, но и приведенной в ней обширной перепиской Фрейда, сопровожденной исчерпывающими комментариями.</t>
  </si>
  <si>
    <t>18459</t>
  </si>
  <si>
    <t>Зимний дворец, Дворцовая набережная и Эрмитаж. Прогулки по Петербургу</t>
  </si>
  <si>
    <t>978-5-227-08295-4</t>
  </si>
  <si>
    <t>21741</t>
  </si>
  <si>
    <t>Зимний дворец. Люди и стены. История императорской резиденции. 1762—1917</t>
  </si>
  <si>
    <t>978-5-227-11114-2</t>
  </si>
  <si>
    <t>"Зимний дворец был не только главной парадной резиденцией российских монархов, но и хранилищем бесценных национальных сокровищ, которые начала собирать Екатерина II. Он выполнял великое множество функций: представительскую, жилую, культурную и административно-хозяйственную, которой в книге также уделяется особенное внимание.
За годы своей жизни Зимний дворец видел многое: человеческое счастье и горе, смерти, возвышение и падение государственных деятелей, штурм, смену интерьеров в угоду новой власти, пережил блокаду Ленинграда... Дух этого места был соткан из происходящих в нем событий, живших в нем людей, тайн, которыми он был овеян. С ним связано огромное количество легенд, и сам он — легенда.
В этой книге автор постарался раскрыть для читателя двери Зимнего дворца и показать те старые стены, в которых прошла жизнь людей, во многом определивших судьбу страны: от ризалитов до фасадов, охватывая все три этажа. Повествование сопровождается картинами, фотографиями и документами."</t>
  </si>
  <si>
    <t>21274</t>
  </si>
  <si>
    <t>Таннер В.</t>
  </si>
  <si>
    <t>Зимняя война. Дипломатическое противостояние Советского Союза и Финляндии. 1939—1940</t>
  </si>
  <si>
    <t>978-5-9524-6203-8</t>
  </si>
  <si>
    <t>Книга Вяйнё Таннера освещает историю одной из «малых войн» прошлого века и рассказывает о причинах, приведших Финляндию и Советский Союз к противостоянию в 1939—1940 гг. Автор с неожиданной точки зрения показывает методы советской дипломатической процедуры и закулисье международной политической кухни, основываясь на знании исторических реалий и собственных записях того времени. Большая часть приведенного материала публикуется в российской печати впервые.</t>
  </si>
  <si>
    <t>11557</t>
  </si>
  <si>
    <t>Стожкова Н.</t>
  </si>
  <si>
    <t>Зло вчерашнего дня</t>
  </si>
  <si>
    <t>978-5-9524-4704-2</t>
  </si>
  <si>
    <t>18313</t>
  </si>
  <si>
    <t>Аксенова М.Д.</t>
  </si>
  <si>
    <t>Знаем ли мы всё о классиках мировой литературы?</t>
  </si>
  <si>
    <t>978-5-227-07865-0</t>
  </si>
  <si>
    <t>6300</t>
  </si>
  <si>
    <t>Терентьева Н.</t>
  </si>
  <si>
    <t>Знак неравенства</t>
  </si>
  <si>
    <t>5-9524-2082-6</t>
  </si>
  <si>
    <t>7436</t>
  </si>
  <si>
    <t>12348</t>
  </si>
  <si>
    <t>Хван Д.</t>
  </si>
  <si>
    <t>Знак сокола</t>
  </si>
  <si>
    <t>978-5-227-02506-7</t>
  </si>
  <si>
    <t>20698</t>
  </si>
  <si>
    <t>КАТАЛОГИ И МАРКИ</t>
  </si>
  <si>
    <t>Жуков И.А.,Марфой Р.А.</t>
  </si>
  <si>
    <t>Знаки и жетоны профессиональных союзов СССР до 1941 г.</t>
  </si>
  <si>
    <t>978-5-227-10367-3</t>
  </si>
  <si>
    <t>В фотокаталог включены 660 наименований подлинных знаков и жетонов профсоюзной тематики, выпущенных с 20-х по 40-е годы прошлого века. Это отраслевые членские значки профсоюзных объединений, наградные и юбилейные знаки к различным знаменательным датам, призовые спортивные знаки или жетоны, изготовленные на различных фабриках и отличающиеся по исполнению, металлу, размерам и цветам эмали. Для каждого из знаков, в основном содержащихся в личных коллекциях, приведено изображение, подробное описание, историческая справка и назначение._x000D_
Издание предназначено как фалеристам, интересующимся советским периодом, так и всем любителям истории нашей страны.</t>
  </si>
  <si>
    <t>19076</t>
  </si>
  <si>
    <t>Знаки судьбы</t>
  </si>
  <si>
    <t>978-5-227-08951-9</t>
  </si>
  <si>
    <t>17951</t>
  </si>
  <si>
    <t>Знаю, позовешь меня</t>
  </si>
  <si>
    <t>978-5-227-07994-7</t>
  </si>
  <si>
    <t>17691</t>
  </si>
  <si>
    <t>Знаю, ты меня ждал</t>
  </si>
  <si>
    <t>978-5-227-07704-2</t>
  </si>
  <si>
    <t>18164</t>
  </si>
  <si>
    <t>Знаю, ты рядом</t>
  </si>
  <si>
    <t>978-5-227-08132-2</t>
  </si>
  <si>
    <t>18994</t>
  </si>
  <si>
    <t>Зов желаний</t>
  </si>
  <si>
    <t>978-5-227-08882-6</t>
  </si>
  <si>
    <t>17579</t>
  </si>
  <si>
    <t>Зов наслаждений</t>
  </si>
  <si>
    <t>978-5-227-07618-2</t>
  </si>
  <si>
    <t>1931</t>
  </si>
  <si>
    <t>Тресилиан</t>
  </si>
  <si>
    <t>Зодиак для кошек</t>
  </si>
  <si>
    <t>5-227-00720-9</t>
  </si>
  <si>
    <t>1930</t>
  </si>
  <si>
    <t>Зодиак для собак</t>
  </si>
  <si>
    <t>5-227-00724-1</t>
  </si>
  <si>
    <t>21038</t>
  </si>
  <si>
    <t>Золотая Орда. Монголы на Руси. 1223–1502</t>
  </si>
  <si>
    <t>978-5-9524-6111-6</t>
  </si>
  <si>
    <t>Книга немецкого историка, востоковеда, тюрколога, специалиста по истории монголов Бертольда Шпулера посвящена истории и культуре Золотой Орды. Опираясь на широкий круг источников и литературы, автор исследует широкий спектр вопросов: помимо политической истории он рассматривает религиозные отношения, государственный строй, право, военное дело, экономику, искусство, питание и одежду.</t>
  </si>
  <si>
    <t>21315</t>
  </si>
  <si>
    <t>Джеймс Г.</t>
  </si>
  <si>
    <t>Золотая чаша</t>
  </si>
  <si>
    <t>978-5-227-10813-5</t>
  </si>
  <si>
    <t>Мегги Вервер, дочь американского миллионера Адама Вервера, коллекционера и тонкого ценителя художественных ценностей, выходит замуж за князя Америго — молодого итальянца из обедневшего аристократического рода. Мегги влюблена и счастлива, однако ее тревожит мысль, что ее давно овдовевший отец, увлеченный совершенствованием своей коллекции, останется совсем один. Накануне свадьбы Мегги знакомит отца с давней подругой — очаровательной американкой Шарлоттой Стэнт, полагая, что тому пойдет на пользу общество молодой особы. Мегги не осознает, что, впуская в дом обольстительную женщину, рискует быть преданной и обманутой… Генри Джеймс (1843—1916), признанный классик американской литературы, мастер психологической прозы, описывает сложные взаимоотношения двух пар, связанных по прихоти судьбы узами любви, и отвечает на извечный вопрос: богатство — дар судьбы или проклятье?..</t>
  </si>
  <si>
    <t>18914</t>
  </si>
  <si>
    <t>Золото мертвецов</t>
  </si>
  <si>
    <t>978-5-227-08721-8</t>
  </si>
  <si>
    <t>18378</t>
  </si>
  <si>
    <t>Золото Удерея</t>
  </si>
  <si>
    <t>978-5-227-08294-7</t>
  </si>
  <si>
    <t>18395</t>
  </si>
  <si>
    <t>Золото Удерея (красная)</t>
  </si>
  <si>
    <t>978-5-9524-5350-0</t>
  </si>
  <si>
    <t>21504</t>
  </si>
  <si>
    <t>Золотой век Бразилии. От заокеанской колонии к процветающему государству. 1695—1750</t>
  </si>
  <si>
    <t>978-5-9524-6246-5</t>
  </si>
  <si>
    <t>Британский историк, профессор Йельского университета Чарлз Боксер в настоящем исследовании описывает развитие Бразилии, являвшейся в первой половине XVIII века огромной колонией Португалии, что в корне повлияло на рост экономики американского государства. Труд негров-рабов, завезенных из Западной Африки, позволил начать выращивать в колонии табак и производить сахар, развитие скотоводства и открытие и последующая эксплуатация месторождений золота и алмазов привели к значительным изменениям в жизни и занятиях населения Португальской Америки и слиянию трех рас — европейской, африканской и индейской. Все это послужило основой формирования независимости бразильцев как самостоятельного народа и позволило назвать то время золотым веком Бразилии.</t>
  </si>
  <si>
    <t>21672</t>
  </si>
  <si>
    <t>Лейн Ф.</t>
  </si>
  <si>
    <t>Золотой век Венецианской республики. Завоеватели, торговцы и первые банкиры Европы</t>
  </si>
  <si>
    <t>978-5-9524-6428-5</t>
  </si>
  <si>
    <t>Фредерик Лейн — авторитетный американский исследователь — посвятил свой труд  истории Венеции с самого ее основания в VI веке. Это рассказ о взлете и падении одной из первых европейских империй — уникальной в своем роде благодаря особому местоположению. Мореплавание, морские войны, государственное устройство, торговля, финансы, экономика, религия, искусство и ремесла — вот неполный перечень тем, которые рассматривает автор, представляя читателю образ блистательной Венецианской республики. Его также инте¬ресует повседневная жизнь венецианцев, политика, демография и многое другое, включая мифы, легенды и народные предания, которые чрезвычайно оживляют сухой перечень фактов и дат.</t>
  </si>
  <si>
    <t>21621</t>
  </si>
  <si>
    <t>СОННИКИ</t>
  </si>
  <si>
    <t>Миллер Г.Х.</t>
  </si>
  <si>
    <t>Золотой сонник Миллера. Сновидения от А до Я</t>
  </si>
  <si>
    <t>978-5-227-11007-7</t>
  </si>
  <si>
    <t>В основу создания этого уникального сонника легло древнее искусство толкования сновидений и современные методы взаимодействия с таинственным миром снов. В книге приведены алгоритмы их понимания, подсказки, предупреждения, прогнозы и возможности активно воздействовать на свою жизнь. Сонник Миллера будет полезен и интересен всем тем, кто хочет узнать что-то новое о своем внутреннем мире, предвидеть будущее и легко решать непростые житейские проблемы.</t>
  </si>
  <si>
    <t>12449</t>
  </si>
  <si>
    <t>ИР+</t>
  </si>
  <si>
    <t>Золушка для герцога</t>
  </si>
  <si>
    <t>978-5-227-02600-2</t>
  </si>
  <si>
    <t>17862</t>
  </si>
  <si>
    <t>Золушка с приданым</t>
  </si>
  <si>
    <t>978-5-227-07783-7</t>
  </si>
  <si>
    <t>11493</t>
  </si>
  <si>
    <t>Зона теней</t>
  </si>
  <si>
    <t>978-5-9524-4589-5</t>
  </si>
  <si>
    <t>12889</t>
  </si>
  <si>
    <t>Бьюкес Л.</t>
  </si>
  <si>
    <t>Зоосити</t>
  </si>
  <si>
    <t>978-5-227-03109-9</t>
  </si>
  <si>
    <t>Они не знают, какое животное получат за совершенное преступление. Кому-то достанется мышь, а кто-то будет «награжден» гиеной или скорпионом. Они живут в Зоосити, куда не любит заглядывать полиция. Грабеж, насилие, убийства — здесь обычное дело. Зинзи Лелету, бывшая журналистка, в наркотическом бреду застрелившая своего брата, таскает на спине ленивца, ее друг Бенуа — мангуста. Зоолюди не могут расстаться со своим воплощением греха, поэтому их так легко узнать._x000D_
У Зинзи дар — отыскивать потерянные вещи, но однажды знаменитый продюсер за большие деньги нанимает ее с тем, чтобы она нашла человека, неожиданно пропавшую юную звезду шоу-бизнеса. Зинзи чувствует, что ввязывается в опасное и грязное дело, но слишком велико искушение вырваться из цепких лап кредитора, и она соглашается…</t>
  </si>
  <si>
    <t>21605</t>
  </si>
  <si>
    <t>Кирст Х.Х.</t>
  </si>
  <si>
    <t>Зорге, которого мы не знали. Жизнь и гибель великого разведчика в Японии</t>
  </si>
  <si>
    <t>978-5-9524-6398-1</t>
  </si>
  <si>
    <t>Книга известного немецкого прозаика Х.Х. Кирста выделяется из почти шести десятков произведений, посвященных Рихарду Зорге. Опираясь на документальные материалы, автор нарисовал образ не твердолобого коммуниста, не супершпиона и не героя-великомученика, каким представляли нам прежде Зорге, а человека, наделенного свойственными обыкновенным людям слабостями и недостатками. Он отнюдь не отличался ангельским характером, час то и крепко выпивал, страстно любил женщин, чрезмерно грубо вел себя с членами своей разведгруппы. Но никто не может оспорить того факта, что Рамзай-Зорге был выдающейся личностью.</t>
  </si>
  <si>
    <t>0139</t>
  </si>
  <si>
    <t>И мы очистим город</t>
  </si>
  <si>
    <t>978-5-227-06962-7</t>
  </si>
  <si>
    <t>12542</t>
  </si>
  <si>
    <t>И небеса разверзлись</t>
  </si>
  <si>
    <t>978-5-227-02668-2</t>
  </si>
  <si>
    <t>19207</t>
  </si>
  <si>
    <t>Сайбер Н.</t>
  </si>
  <si>
    <t>И полвека в придачу</t>
  </si>
  <si>
    <t>978-5-227-09145-1</t>
  </si>
  <si>
    <t>21185</t>
  </si>
  <si>
    <t>Платонов С.Ф.</t>
  </si>
  <si>
    <t>Иван Грозный. Борис Годунов. История правления первого русского царя и его избранного преемника</t>
  </si>
  <si>
    <t>978-5-227-10749-7</t>
  </si>
  <si>
    <t>В книге выдающегося русского историка представлены его работы, посвященные Ивану Грозному и Борису Годунову. Первый — величайший правитель и государственный деятель, дипломат, реформатор, умный, образованный, расчетливый и смелый человек. Но личность чрезвычайно сложная и противоречивая. Автор обрисовал главные моменты жизни и деятельности Грозного в сложнейший период времени и некоторые достоверные черты его характера и ума. Второй — фигура также неоднозначная: личные свойства и дела этого политического деятеля вызывали у его современников как похвалы, так и осуждение, переходившее в клевету. С.Ф. Платонов сумел рассмотреть в Борисе не одни черты драматического злодея, но и качества истинно государственного деятеля.</t>
  </si>
  <si>
    <t>21513</t>
  </si>
  <si>
    <t>Иван Грозный. Начало пути. Очерки русской истории 30—40-х годов XVI века</t>
  </si>
  <si>
    <t>978-5-227-10949-1</t>
  </si>
  <si>
    <t>Новая книга российского историка В.В. Пенского  посвящена сложному и противоречивому времени в истории Российского государства и человеку, ставшему символом этого времени, — Ивану Грозному. Долгое правление Ивана IV, по существу, подвело итоги пребывания династии Рюриковичей на вершине власти русского политического олимпа. Первый русский царь завершил дело, начатое его прадедом Василием II и дедом Иваном III, — собирание земель и власти. Он достроил здание русского «служилого государства», которое затем неоднократно перестраивалось, в особенности при Петре Великом, и просуществовало до второй половины XVIII века, когда при Екатерине II начался его постепенный демонтаж. Этот процесс был сложным и отнюдь не прямолинейным — после рывка вперед, сделанного при Иване III, наступило затишье при Василии III, когда и страна, и власть как будто готовились, копили силы и энергию перед новым прыжком. Неожиданная смерть Василия III отложила этот процесс на некоторое время. Автор рассказывает о годах «боярского правления», наступившего после кончины отца Ивана IV, периоде «междуцарствия» и безвременья, когда формировалась личность и характер будущего грозного царя, и как начинался его путь к власти._x000D_
Автор включил в свой труд многочисленные цитаты из летописей и грамот времен Ивана Грозного с тем, чтобы как можно лучше передать дух эпохи.</t>
  </si>
  <si>
    <t>6418</t>
  </si>
  <si>
    <t>Иван Царевич и Серый Волк</t>
  </si>
  <si>
    <t>5-9524-2080-X</t>
  </si>
  <si>
    <t>16741</t>
  </si>
  <si>
    <t>Игра без правил</t>
  </si>
  <si>
    <t>978-5-227-06729-6</t>
  </si>
  <si>
    <t>18017</t>
  </si>
  <si>
    <t>Гарбера К.</t>
  </si>
  <si>
    <t>Игра в обольщение</t>
  </si>
  <si>
    <t>978-5-227-08111-7</t>
  </si>
  <si>
    <t>17155</t>
  </si>
  <si>
    <t>Игра в соблазнение</t>
  </si>
  <si>
    <t>978-5-227-07121-7</t>
  </si>
  <si>
    <t>18919</t>
  </si>
  <si>
    <t>Рас А.</t>
  </si>
  <si>
    <t>Игра колибри</t>
  </si>
  <si>
    <t>978-5-227-08901-4</t>
  </si>
  <si>
    <t>19741</t>
  </si>
  <si>
    <t>Фараго Л.</t>
  </si>
  <si>
    <t>Игра лисиц. Секретные операции абвера в США и Великобритании</t>
  </si>
  <si>
    <t>978-5-9524-5575-7</t>
  </si>
  <si>
    <t>18179</t>
  </si>
  <si>
    <t>Игра лишь для двоих</t>
  </si>
  <si>
    <t>978-5-227-08151-3</t>
  </si>
  <si>
    <t>16429</t>
  </si>
  <si>
    <t>Уайт Н.</t>
  </si>
  <si>
    <t>Игра на выбывание</t>
  </si>
  <si>
    <t>978-5-227-06243-7</t>
  </si>
  <si>
    <t>18325</t>
  </si>
  <si>
    <t>Джеймс С.</t>
  </si>
  <si>
    <t>Игра по ее правилам</t>
  </si>
  <si>
    <t>978-5-227-08331-9</t>
  </si>
  <si>
    <t>0169</t>
  </si>
  <si>
    <t>Игра по-крупному</t>
  </si>
  <si>
    <t>978-5-227-06963-4</t>
  </si>
  <si>
    <t>4579</t>
  </si>
  <si>
    <t>Гайворонская Е.</t>
  </si>
  <si>
    <t>Игра с огнем</t>
  </si>
  <si>
    <t>5-9524-0327-1</t>
  </si>
  <si>
    <t>3853</t>
  </si>
  <si>
    <t>5541</t>
  </si>
  <si>
    <t>20867</t>
  </si>
  <si>
    <t>Херрон Р.</t>
  </si>
  <si>
    <t>978-5-227-10203-4</t>
  </si>
  <si>
    <t>Прошло пять лет с тех пор, как отец агента ФБР Лиама Маверика погиб при пожаре, а он так и не нашел виновного. Возможно, правду знает медсестра Пэйтон Уэйс, но кто-то очень не хочет, чтобы она заговорила. Жизнь Пэйтон под угрозой. Сможет ли Лиам защитить ее и раскрыть дело? И сможет ли он устоять перед чувствами, которые Пэйтон неожиданно пробуждает в его сердце?</t>
  </si>
  <si>
    <t>6323</t>
  </si>
  <si>
    <t>ИУ</t>
  </si>
  <si>
    <t>Выпуск 4</t>
  </si>
  <si>
    <t>Играя учимся</t>
  </si>
  <si>
    <t>5-9524-2090-7</t>
  </si>
  <si>
    <t>6321</t>
  </si>
  <si>
    <t>Выпуск 6</t>
  </si>
  <si>
    <t>5-9524-2092-3</t>
  </si>
  <si>
    <t>6405</t>
  </si>
  <si>
    <t>Выпуск 7</t>
  </si>
  <si>
    <t>5-9524-2130-X</t>
  </si>
  <si>
    <t>6406</t>
  </si>
  <si>
    <t>Выпуск 8</t>
  </si>
  <si>
    <t>5-9524-2132-6</t>
  </si>
  <si>
    <t>6424</t>
  </si>
  <si>
    <t>Выпуск 9</t>
  </si>
  <si>
    <t>5-9524-2134-2</t>
  </si>
  <si>
    <t>16684</t>
  </si>
  <si>
    <t>Игрушка в его руках</t>
  </si>
  <si>
    <t>978-5-227-06703-6</t>
  </si>
  <si>
    <t>16078</t>
  </si>
  <si>
    <t>Иванов А.А.</t>
  </si>
  <si>
    <t>Игрушки Анкалимы</t>
  </si>
  <si>
    <t>978-5-227-06094-5</t>
  </si>
  <si>
    <t>14969</t>
  </si>
  <si>
    <t>Кусков С.</t>
  </si>
  <si>
    <t>Игрушки для императоров: Иллюзия выбора</t>
  </si>
  <si>
    <t>978-5-227-04960-5</t>
  </si>
  <si>
    <t>13673</t>
  </si>
  <si>
    <t>ЖД ПН</t>
  </si>
  <si>
    <t>Гордина Е.</t>
  </si>
  <si>
    <t>Идеальная ложь</t>
  </si>
  <si>
    <t>978-5-227-03819-7</t>
  </si>
  <si>
    <t>18417</t>
  </si>
  <si>
    <t>М ДЖОЙС</t>
  </si>
  <si>
    <t>Джойс Б.</t>
  </si>
  <si>
    <t>Идеальная невеста</t>
  </si>
  <si>
    <t>978-5-227-08424-8</t>
  </si>
  <si>
    <t>14837</t>
  </si>
  <si>
    <t>Идеальная партия</t>
  </si>
  <si>
    <t>978-5-227-04845-5</t>
  </si>
  <si>
    <t>17351</t>
  </si>
  <si>
    <t>Идеальная сделка</t>
  </si>
  <si>
    <t>978-5-227-07315-0</t>
  </si>
  <si>
    <t>18428</t>
  </si>
  <si>
    <t>Идеальная фиктивная жена</t>
  </si>
  <si>
    <t>978-5-227-08383-8</t>
  </si>
  <si>
    <t>19009</t>
  </si>
  <si>
    <t>Идеальное венчание</t>
  </si>
  <si>
    <t>978-5-227-08907-6</t>
  </si>
  <si>
    <t>20841</t>
  </si>
  <si>
    <t>Идеальное давление. Залог долголетия и бодрости. Избавляемся от гипертонии и гипотонии…</t>
  </si>
  <si>
    <t>978-5-227-10280-5</t>
  </si>
  <si>
    <t>Увы, сегодня гипертония приняла характер всемирной эпидемии. Проблемы с давлением настолько распространены, что практически нереально найти взрослого человека, который бы ни разу не почувствовал на себе его «скачки». Нередко гипертония сочетается с другими болезнями типа сахарного диабета, ожирения… Одно влияет на другое, и привести давление в норму бывает сложно… При этом повышенное давление является пусковым механизмом для развития разных заболеваний и осложнений, некоторые из них могут быть опасными для жизни. Именно поэтому гипертонию нельзя запускать. _x000D_
Гипотония вредит мозгу и другим органам, ведь при низком давлении кровь плохо доходит до капилляров, и начинается кислородное голодание. Автор рассказывает всё, что нужно знать о «неправильном» давлении. Вы узнаете: причины возникновения и методы профилактики недуга; как оказать первую помощь. Изучите правила измерения давления; получите рецепты народной медицины, правильного питания и многое другое.</t>
  </si>
  <si>
    <t>11490</t>
  </si>
  <si>
    <t>ОИ ФЭНТЕЗИ</t>
  </si>
  <si>
    <t>Хаер Р.</t>
  </si>
  <si>
    <t>Идеальное дело</t>
  </si>
  <si>
    <t>978-5-9524-4569-7</t>
  </si>
  <si>
    <t>17157</t>
  </si>
  <si>
    <t>Идеальное свидание</t>
  </si>
  <si>
    <t>978-5-227-07143-9</t>
  </si>
  <si>
    <t>20000</t>
  </si>
  <si>
    <t>Идеальное соблазнение</t>
  </si>
  <si>
    <t>978-5-227-09562-6</t>
  </si>
  <si>
    <t>17280</t>
  </si>
  <si>
    <t>Идеальны друг для друга</t>
  </si>
  <si>
    <t>978-5-227-07285-6</t>
  </si>
  <si>
    <t>15905</t>
  </si>
  <si>
    <t>Идеальный кандидат</t>
  </si>
  <si>
    <t>978-5-227-05842-3</t>
  </si>
  <si>
    <t>19199</t>
  </si>
  <si>
    <t>Идущие на смерть</t>
  </si>
  <si>
    <t>978-5-227-08823-9</t>
  </si>
  <si>
    <t>20829</t>
  </si>
  <si>
    <t>Бёмер Г.</t>
  </si>
  <si>
    <t>Иезуиты. История духовного ордена Римской церкви</t>
  </si>
  <si>
    <t>978-5-227-10478-6</t>
  </si>
  <si>
    <t>Объективное научное исследование почти пятивековой истории иезуитов (Общества Иисуса) — мужского духовного ордена Римской церкви, основанного в 1540 году и существующего до наших дней. Автор описывает возникновение ордена и отмечает все важнейшие этапы, через которые прошло его развитие. Рассказывает о том, как своего рода католическая армия спасения под верховным командованием папы распространяла свое учение в Европе, а затем, усилиями миссионеров, в Америке, Японии, Китае и Африке. Не упуская из вида все отрицательные стороны деятельности иезуитов, Генрих Бёмер в то же время старается защитить их от несправедливых нападок.</t>
  </si>
  <si>
    <t>18386</t>
  </si>
  <si>
    <t>Из гарема к алтарю</t>
  </si>
  <si>
    <t>978-5-227-08366-1</t>
  </si>
  <si>
    <t>7627</t>
  </si>
  <si>
    <t>Из жизни Ксюши Белкиной</t>
  </si>
  <si>
    <t>5-9524-2589-5</t>
  </si>
  <si>
    <t>20205</t>
  </si>
  <si>
    <t>Коковцов В.Н.</t>
  </si>
  <si>
    <t>Из моего прошлого. Воспоминания выдающегося государственного деятеля Российской империи о трагически</t>
  </si>
  <si>
    <t>978-5-227-09862-7</t>
  </si>
  <si>
    <t>20569</t>
  </si>
  <si>
    <t>Александровский Б.Н.</t>
  </si>
  <si>
    <t>Из пережитого в чужих краях. Воспоминания и думы бывшего эмигранта</t>
  </si>
  <si>
    <t>978-5-227-09873-3</t>
  </si>
  <si>
    <t>Воспоминания бывшего эмигранта, вернувшегося на родину в 1947 году._x000D_
Молодость Бориса Александровского пришлась на сложное время: Первая мировая война, революция, Гражданская война… Судьба делала крутые изгибы – выпускник медицинского факультета Московского университета вместо научной деятельности был призван на фронт Первой мировой войны, потом был призван в качестве военного врача в Красную армию, потом, попав в плен, перешел к белым… После разгрома Белой армии – «эвакуация» с врангелевскими частями морем в Турцию и обычный горький путь эмигранта, потерявшего родину… Турецкий Галлиполи, где встали лагерем военные беженцы, Болгария и, наконец, Франция… Долгие годы жизнь Александровского была связана с эмигрантским «русским Парижем», быту, нравам и общественной жизни которого посвящена значительная часть его воспоминаний. Александровский коснулся самых разных тем – деятельности русских политиков, православной церкви за рубежом, русских музыкантов, художников и писателей, оказавшихся в изгнании, русских учебных заведений, открытых в Париже и других городах «русского рассеяния»… На страницах книги можно встретить знаменитые имена – Рахманинова, Шаляпина, Бенуа, Коровина, Билибина, Куприна и многих других «властителей дум», занесенных судьбой в эмиграцию. Вторая мировая война стала переломным рубежом в настроении многих русских людей на чужбине. Александровский в 1947 году добился возвращения в Россию и считал это  настоящим счастьем.</t>
  </si>
  <si>
    <t>4554</t>
  </si>
  <si>
    <t>Шерих</t>
  </si>
  <si>
    <t>Из Петрограда в Ленинград 1924</t>
  </si>
  <si>
    <t>5-9524-0772-2</t>
  </si>
  <si>
    <t>17601</t>
  </si>
  <si>
    <t>Из плейбоев в идеальные мужья</t>
  </si>
  <si>
    <t>978-5-227-07616-8</t>
  </si>
  <si>
    <t>20955</t>
  </si>
  <si>
    <t>Обин С.</t>
  </si>
  <si>
    <t>Из плейбоя в романтики</t>
  </si>
  <si>
    <t>978-5-227-10459-5</t>
  </si>
  <si>
    <t>Практичный и целеустремленный Лоу вместе с братьями владеет винокурней, сулящей большие доходы. Но его бизнесу нужны инвестиции финансового магната Кейна. Может ли роман с дочерью этого магната, дерзкой красавицей Марлоу, помешать самой важной сделке в жизни Лоу?</t>
  </si>
  <si>
    <t>16204</t>
  </si>
  <si>
    <t>Плотников С.А.</t>
  </si>
  <si>
    <t>Из рук врага</t>
  </si>
  <si>
    <t>978-5-227-06233-8</t>
  </si>
  <si>
    <t>16946</t>
  </si>
  <si>
    <t>Остроумова-Лебедева А.П</t>
  </si>
  <si>
    <t>Из Санкт-Петербурга в Москву. Альбом</t>
  </si>
  <si>
    <t>978-5-227-06874-3</t>
  </si>
  <si>
    <t>19752</t>
  </si>
  <si>
    <t>Избавление от гордыни с СД</t>
  </si>
  <si>
    <t>978-5-227-09259-5</t>
  </si>
  <si>
    <t>19518</t>
  </si>
  <si>
    <t>Избавляемся от анемии, или Железные правила здоровья. Причины и виды анемии. Анализы для постановки диагноза. Медикаментозное лечение. Исцеляющая диета</t>
  </si>
  <si>
    <t>978-5-227-09320-2</t>
  </si>
  <si>
    <t>19995</t>
  </si>
  <si>
    <t>Избавляемся от аутоиммунных заболеваний</t>
  </si>
  <si>
    <t>978-5-227-09764-4</t>
  </si>
  <si>
    <t>12495</t>
  </si>
  <si>
    <t>Избавьте меня от нее</t>
  </si>
  <si>
    <t>978-5-227-02602-6</t>
  </si>
  <si>
    <t>2199</t>
  </si>
  <si>
    <t>МКД</t>
  </si>
  <si>
    <t>5-227-00745-4</t>
  </si>
  <si>
    <t>16818</t>
  </si>
  <si>
    <t>978-5-227-06811-8</t>
  </si>
  <si>
    <t>11921</t>
  </si>
  <si>
    <t>Изгороди и заборы своими руками</t>
  </si>
  <si>
    <t>978-5-227-02030-7</t>
  </si>
  <si>
    <t>16789</t>
  </si>
  <si>
    <t>978-5-227-06891-0</t>
  </si>
  <si>
    <t>18237</t>
  </si>
  <si>
    <t>Измена накануне венчания</t>
  </si>
  <si>
    <t>978-5-227-08218-3</t>
  </si>
  <si>
    <t>17386</t>
  </si>
  <si>
    <t>Изменницы</t>
  </si>
  <si>
    <t>978-5-227-07339-6</t>
  </si>
  <si>
    <t>19493</t>
  </si>
  <si>
    <t>Гвоздев М.С</t>
  </si>
  <si>
    <t>Измерение N</t>
  </si>
  <si>
    <t>978-5-227-09359-2</t>
  </si>
  <si>
    <t>16415</t>
  </si>
  <si>
    <t>Шапталов Б.Н</t>
  </si>
  <si>
    <t>Изнанка российско-украинского конфликта</t>
  </si>
  <si>
    <t>978-5-227-05773-0</t>
  </si>
  <si>
    <t>18456</t>
  </si>
  <si>
    <t>Безуглов А.А.</t>
  </si>
  <si>
    <t>Изувер</t>
  </si>
  <si>
    <t>978-5-9524-5308-1</t>
  </si>
  <si>
    <t>3353</t>
  </si>
  <si>
    <t>ПСР</t>
  </si>
  <si>
    <t>Изучаем науку с помощью бумаги</t>
  </si>
  <si>
    <t>5-227-01897-9</t>
  </si>
  <si>
    <t>18209</t>
  </si>
  <si>
    <t>Птифис Жан-Кристиан</t>
  </si>
  <si>
    <t>Иисус. Жизнеописание Христа: от исторической реальности к священной тайне</t>
  </si>
  <si>
    <t>978-5-227-08237-4</t>
  </si>
  <si>
    <t>11467</t>
  </si>
  <si>
    <t>ШЛИМАН</t>
  </si>
  <si>
    <t>Шлиман Г.</t>
  </si>
  <si>
    <t>Илион. Город и страна троянцев кн.2</t>
  </si>
  <si>
    <t>978-5-9524-4575-8</t>
  </si>
  <si>
    <t>19924</t>
  </si>
  <si>
    <t>ШЛИМАН НОВ</t>
  </si>
  <si>
    <t>Илион. Город и страна троянцев. Т. 1</t>
  </si>
  <si>
    <t>978-5-9524-5530-6</t>
  </si>
  <si>
    <t>19925</t>
  </si>
  <si>
    <t>Илион. Город и страна троянцев. Т. 2</t>
  </si>
  <si>
    <t>978-5-9524-5531-3</t>
  </si>
  <si>
    <t>19717</t>
  </si>
  <si>
    <t>Иловайский капкан</t>
  </si>
  <si>
    <t>978-5-227-09515-2</t>
  </si>
  <si>
    <t>14191</t>
  </si>
  <si>
    <t>Имбирь. Корень здоровья, красоты и долголетия</t>
  </si>
  <si>
    <t>978-5-227-04171-5</t>
  </si>
  <si>
    <t>14904</t>
  </si>
  <si>
    <t>978-5-227-04834-9</t>
  </si>
  <si>
    <t>10847</t>
  </si>
  <si>
    <t>Именем закона</t>
  </si>
  <si>
    <t>978-5-9524-4015-9</t>
  </si>
  <si>
    <t>21854</t>
  </si>
  <si>
    <t>де Шуазель­Гуфье С.</t>
  </si>
  <si>
    <t>Император Александр I и его окружение. Воспоминания фрейлины свиты двух русских императриц о высшей знати времен Отечественной войны 1812 года</t>
  </si>
  <si>
    <t>978-5-227-09397-4</t>
  </si>
  <si>
    <t>Представительница польско-литовской аристократии, графиня София де Шуазель-Гуфье была удостоена придворного женского звания фрейлины в свите российских императриц Елизаветы Алексеевны (супруги Александра I) и Марии Федоровны (матери Александра I). В 1812 году она познакомилась с российским императором Александром I, с которым у нее сложились дружеские отношения, поддерживаемые до конца жизни российского монарха. Во время Отечественной войны 1812 года пережила в Вильно французскую оккупацию, при которой встречалась с Наполеоном Бонапартом, демонстративно поддерживая русского императора и его политику. Настоящие мемуары не только личные воспоминания о встречах с императорами Александром I и Наполеоном, фельдмаршалом М.И. Кутузовым, с которым также была знакома, но и рассказ о времени царствования Александра I, о русско-французской войне, о судьбе Вильно во время оккупации и освобождения русской армией._x000D_
На русском языке в полном объеме издается впервые.</t>
  </si>
  <si>
    <t>21428</t>
  </si>
  <si>
    <t>Император Николай I и его эпоха. Донкихот самодержавия. 1825—1855 гг.</t>
  </si>
  <si>
    <t>978-5-227-10908-8</t>
  </si>
  <si>
    <t>В дореволюционных либеральных, а затем и в советских стереотипах император Николай I представлялся исключительно как душитель свободы, грубый солдафон «Николай Палкин», «жандарм Европы», гонитель декабристов, польских патриотов, вольнодумцев и Пушкина, враг технического прогресса. Многие же современники считали его чуть ли не идеальным государем, бесстрашным офицером, тонким и умелым политиком, кодификатором, реформатором, выстроившим устойчивую вертикаль власти, четко работающий бюрократический аппарат, во главе которого стоял сам Николай, работавший круглосуточно без выходных. Именно он, единственный из российских царей, с полным основанием мог о себе сказать: «Государство — это я». На большом документальном материале и свидетельствах современников автор разбирается в особенностях этой противоречивой фигуры российской истории и его эпохи.</t>
  </si>
  <si>
    <t>21740</t>
  </si>
  <si>
    <t>Зимин И.В., Соколов А.Р., Лазерсон И.И.</t>
  </si>
  <si>
    <t>Императорская кухня XIX - начало XX в. Повседневная жизнь Российского императорского двора</t>
  </si>
  <si>
    <t>978-5-227-11113-5</t>
  </si>
  <si>
    <t>"В книге рассказано немало любопытного и подчас неожиданного о сложной организации процессов питания всех категорий обитателей императорских резиденций — от семейств монархов и высокопоставленных придворных до штатных дворцовых служителей и тысяч людей, приглашаемых на праздник.
Вы узнаете о кулинарных пристрастиях российских императоров, о количестве и ассортименте спиртных напитков на царских столах. О том, как контролировалось качество питания и обеспечивалась безопасность на императорских кухнях, об особенностях питания государей вне стен резиденций, в полевых условиях — на войне, на охоте, во время загородных пикников."</t>
  </si>
  <si>
    <t>18667</t>
  </si>
  <si>
    <t>Цзюн Ч.</t>
  </si>
  <si>
    <t>Императрица Цыси. Наложница, изменившая судьбу Китая 1835—1908</t>
  </si>
  <si>
    <t>978-5-227-08531-3</t>
  </si>
  <si>
    <t>18668</t>
  </si>
  <si>
    <t>Императрица Цыси. Наложница, изменившая судьбу Китая. 1835—1908</t>
  </si>
  <si>
    <t>978-5-227-08530-6</t>
  </si>
  <si>
    <t>21305</t>
  </si>
  <si>
    <t>Крофтс А.,Бьюкенен П.</t>
  </si>
  <si>
    <t>Империи Дальнего Востока. История государств Восточной Азии в противостоянии Западу</t>
  </si>
  <si>
    <t>978-5-9524-6202-1</t>
  </si>
  <si>
    <t>Альфред Крофтс, доктор наук Денверского университета, специализирующийся на истории дальневосточных стран, и Перси Бьюкенен, директор Института по изучению Азии в Оклахомском университете, оба много лет прожившие в Китае и Японии, исследуют в своей работе развитие народов Восточной и Юго-Восточной Азии, их социальные и культурные связи, экономические и политические силы, сформировавшие историю государств этого региона от ее истоков до середины XX века.</t>
  </si>
  <si>
    <t>4909</t>
  </si>
  <si>
    <t>М NEXT</t>
  </si>
  <si>
    <t>Устинов А.</t>
  </si>
  <si>
    <t>Империя</t>
  </si>
  <si>
    <t>5-9524-1036-7</t>
  </si>
  <si>
    <t>21662</t>
  </si>
  <si>
    <t>Магаффи Дж.П., Джилман А.</t>
  </si>
  <si>
    <t>Империя Александра Великого. Борьба за мировое господство македонского царя и его преемников диадохов</t>
  </si>
  <si>
    <t>978-5-9524-6180-2</t>
  </si>
  <si>
    <t>Александр Великий не оставил после себя наследника столь же гениального, как и он сам, и потому созданная им империя, о завоеваниях которой написано достаточно, быстро распалась. В настоящей книге прослеживается процесс этого распада, судьба разных частей великой империи, история их взлетов и падений, обретение и потеря ими независимости. Показано, какое влияние оказал на Римскую империю эллинизм, духовное преображение всего мира.</t>
  </si>
  <si>
    <t>16751</t>
  </si>
  <si>
    <t>Льюис Марк Э.</t>
  </si>
  <si>
    <t>Империя древнего Китая</t>
  </si>
  <si>
    <t>978-5-227-06557-5</t>
  </si>
  <si>
    <t>20465</t>
  </si>
  <si>
    <t>Груссе Р.</t>
  </si>
  <si>
    <t>Империя Леванта. Древняя земля тлеющего конфликта между Востоком и Западом</t>
  </si>
  <si>
    <t>978-5-9524-5782-9</t>
  </si>
  <si>
    <t>Рене Груссе, выдающийся французский историк-востоковед, в своей книге прослеживает историю противостояния Востока и Запада на древней земле Леванта с Античности до падения Константинополя и расцвета Османской империи. Автор знакомит читателя с историей Сирии, Ливана, Палестины, Малой Армении, Кипра и других государств Восточного Средиземноморья, анализирует изменение границ — духовных и политических — между Европой и Азией, а также исследует истоки возникновения восточного вопроса и рассматривает пути его решения.</t>
  </si>
  <si>
    <t>18612</t>
  </si>
  <si>
    <t>Империя троянов</t>
  </si>
  <si>
    <t>978-5-227-08571-9</t>
  </si>
  <si>
    <t>12060</t>
  </si>
  <si>
    <t>Розова Я.</t>
  </si>
  <si>
    <t>Импровизация на тему убийства</t>
  </si>
  <si>
    <t>978-5-227-02166-3</t>
  </si>
  <si>
    <t>4169</t>
  </si>
  <si>
    <t>ХИГИР</t>
  </si>
  <si>
    <t>Хигир</t>
  </si>
  <si>
    <t>Имя ключ к таланту</t>
  </si>
  <si>
    <t>5-9524-0552-5</t>
  </si>
  <si>
    <t>5166</t>
  </si>
  <si>
    <t>5338</t>
  </si>
  <si>
    <t>17483</t>
  </si>
  <si>
    <t>Артамонов В.И.</t>
  </si>
  <si>
    <t>Инга Артамонова. Смерть на взлете. Яркая жизнь и трагическая гибель четырехкартной чемпионки мира</t>
  </si>
  <si>
    <t>978-5-227-07481-2</t>
  </si>
  <si>
    <t>21213</t>
  </si>
  <si>
    <t>Эгертон Э</t>
  </si>
  <si>
    <t>Индийское и восточное оружие. От державы Маурьев до империи Великих Моголов</t>
  </si>
  <si>
    <t>978-5-9524-5728-7</t>
  </si>
  <si>
    <t>Книга лорда Эгертона, написанная в ХIХ веке, до сих пор является наиболее полным и подробным описанием вооружения Востока и Индии. Она дополнена превосходными иллюстрациями и каталогом. Раздел, посвященный художественному оформлению и изготовлению оружия, — одна из самых важных частей книги, поскольку дает краткое, но емкое описание технических приемов, используемых на территории всей Индии. Эгертон рассказывает также об оружии Персии, Афганистана и Китая. В основу авторской классификации был положен этнологический принцип; таким образом, можно наглядно проследить эволюцию искусства и цивилизации на примере эволюции вооружения.</t>
  </si>
  <si>
    <t>20650</t>
  </si>
  <si>
    <t>Инквизитор</t>
  </si>
  <si>
    <t>978-5-227-10359-8</t>
  </si>
  <si>
    <t>Три женщины — молодые, красивые, жизнерадостные — неожиданно исчезают. А когда их наконец находят, они морально сломлены, словно заживо похоронены в собственном теле. И это последствия всего одной недели пребывания во власти психопата, которого пресса окрестила Инквизитором. Перед самым Рождеством Инквизитор снова активизируется — и, как специально, в фешенебельной психиатрической клинике. Незадолго до того, как из­за снежного шторма клиника оказывается отрезанной от внешнего мира, врачи и пациенты со страхом сознают, что к ним доставили никем не узнанного преступника. Невольные узники отчаянно пытаются защитить друг друга. Но в ночь ужаса Инквизитор заставит их почувствовать, что никому не спастись…</t>
  </si>
  <si>
    <t>21539</t>
  </si>
  <si>
    <t>978-5-227-10966-8</t>
  </si>
  <si>
    <t>Три женщины — молодые, красивые, жизнерадостные — неожиданно исчезают. А когда их наконец находят, они морально сломлены, словно заживо похоронены в собственном теле. И это последствия всего одной недели пребывания во власти психопата, которого пресса окрестила Инквизитором. Перед самым Рождеством Инквизитор снова активизируется — и, как специально, в фешенебельной психиатрической клинике. Незадолго до того, как из-за снежного шторма клиника оказывается отрезанной от внешнего мира, врачи и пациенты со страхом сознают, что к ним доставили никем не узнанного преступника. Невольные узники отчаянно пытаются защитить друг друга. Но в ночь ужаса Инквизитор заставит их почувствовать, что никому не спастись…</t>
  </si>
  <si>
    <t>20197</t>
  </si>
  <si>
    <t>Боден Л.</t>
  </si>
  <si>
    <t>Инки. История легендарного народа доколумбовой Америки</t>
  </si>
  <si>
    <t>978-5-9524-5687-7</t>
  </si>
  <si>
    <t>0131</t>
  </si>
  <si>
    <t>Иногда деньги пахнут</t>
  </si>
  <si>
    <t>978-5-227-06964-1</t>
  </si>
  <si>
    <t>21859</t>
  </si>
  <si>
    <t>Иностранные войска, созданные Советским Союзом для борьбы с нацизмом. Политика. Дипломатия. Военное строительство 1941–1945 гг.</t>
  </si>
  <si>
    <t>978-5-227-11183-8</t>
  </si>
  <si>
    <t>В работе проанализированы усилия Советского Союза по формированию союзнических армий на советско-германском фронте еще до открытия второго фронта американскими, британскими и канадскими войсками в Нормандии в июне 1944 г. Их комплектование осуществлялось за счет контингентов иностранцев, по разным причинам оказавшихся в СССР (политические эмигранты, военнопленные, интернированные, административно выселенные и т. д.), а в случае их нехватки — за счет советских граждан, родственных титульным этносам иностранных частей. В работе показаны сложности организационного строительства иностранных войск и взаимоотношений с иностранными контрагентами (правительствами в изгнании, военными миссиями, общественно-политическими организациями, представлявшими свои страны), учитывая исторический и политический контекст, в котором реализовывалось данное начинание.</t>
  </si>
  <si>
    <t>17271</t>
  </si>
  <si>
    <t>Маккелен Кристи</t>
  </si>
  <si>
    <t>Инстинкт сохранения любви</t>
  </si>
  <si>
    <t>978-5-227-07222-1</t>
  </si>
  <si>
    <t>19812</t>
  </si>
  <si>
    <t>Зимова А.С</t>
  </si>
  <si>
    <t>Институт благородных убийц</t>
  </si>
  <si>
    <t>978-5-227-09574-9</t>
  </si>
  <si>
    <t>19121</t>
  </si>
  <si>
    <t>Манн К.</t>
  </si>
  <si>
    <t>Инструкция для дерзкого соблазна</t>
  </si>
  <si>
    <t>978-5-227-08967-0</t>
  </si>
  <si>
    <t>10893</t>
  </si>
  <si>
    <t>ЗВЕЗДЫ</t>
  </si>
  <si>
    <t>Дэйвис</t>
  </si>
  <si>
    <t>Инструкция по возвращению твоего парня. Почему он не с тобой</t>
  </si>
  <si>
    <t>978-5-9524-3912-2</t>
  </si>
  <si>
    <t>60х108 1/32</t>
  </si>
  <si>
    <t>10410</t>
  </si>
  <si>
    <t>Инструкция по устранению соперниц</t>
  </si>
  <si>
    <t>978-5-9524-3582-7</t>
  </si>
  <si>
    <t>14165</t>
  </si>
  <si>
    <t>Ядов А.</t>
  </si>
  <si>
    <t>Инферналь Мерценариус</t>
  </si>
  <si>
    <t>978-5-227-04296-5</t>
  </si>
  <si>
    <t>18095</t>
  </si>
  <si>
    <t>Иоанн, король Англии. Самый коварный монарх средневековой Европы</t>
  </si>
  <si>
    <t>978-5-9524-5288-6</t>
  </si>
  <si>
    <t>21794</t>
  </si>
  <si>
    <t>Грант М.</t>
  </si>
  <si>
    <t>Ирод Великий. Двуликий правитель Иудеи</t>
  </si>
  <si>
    <t>978-5-9524-6447-6</t>
  </si>
  <si>
    <t>Автор предлагает оригинальную версию жизни Ирода Великого, развенчивает миф об избиении младенцев, используя свидетельства великих историков древности, и детально воссоздает реалии политики, экономики и тонкости верований народов, живших на территории Синайского полуострова.</t>
  </si>
  <si>
    <t>8766</t>
  </si>
  <si>
    <t>М РИ+</t>
  </si>
  <si>
    <t>Исключение из правил</t>
  </si>
  <si>
    <t>978-5-9524-3050-1</t>
  </si>
  <si>
    <t>18825</t>
  </si>
  <si>
    <t>Искры желаний</t>
  </si>
  <si>
    <t>978-5-227-08695-2</t>
  </si>
  <si>
    <t>17041</t>
  </si>
  <si>
    <t>Искры наслаждений</t>
  </si>
  <si>
    <t>978-5-227-07047-0</t>
  </si>
  <si>
    <t>17861</t>
  </si>
  <si>
    <t>Искры незабываемых чувств</t>
  </si>
  <si>
    <t>978-5-227-07782-0</t>
  </si>
  <si>
    <t>20639</t>
  </si>
  <si>
    <t>Искры соблазна</t>
  </si>
  <si>
    <t>978-5-227-10305-5</t>
  </si>
  <si>
    <t>Элси Винтер совершает вынужденную посадку в Сильвабоне. Она в ужасе, потому что не желает видеться с надменным королем Фелипе, который совсем недавно приказал ей убраться из его страны. Но при очередной встрече с ним она понимает, что, несмотря на обиду, не сможет противостоять его опасному очарованию.</t>
  </si>
  <si>
    <t>17826</t>
  </si>
  <si>
    <t>Перцов Э.П.</t>
  </si>
  <si>
    <t>Искусство брать взятки</t>
  </si>
  <si>
    <t>978-5-227-07805-6</t>
  </si>
  <si>
    <t>20707</t>
  </si>
  <si>
    <t>Фиске Б.А.</t>
  </si>
  <si>
    <t>Искусство ведения войны. Эволюция тактики и стратегии</t>
  </si>
  <si>
    <t>978-5-9524-5955-7</t>
  </si>
  <si>
    <t>Основоположник американской военно-морской стратегии XX века, «отец» морской авиации контр-адмирал Брэдли Аллен Фиске в свое время фактически возглавлял все оперативное планирование ВМС США, руководил модернизацией флота и его подготовкой к войне. В книге он рассматривает принципы военного искусства, особое внимание уделяя стратегии, объясняя цель своего труда как концентрацию необходимых знаний для правильного формирования и подготовки армии и флота, управления ими в целях защиты своей страны в неспокойные годы и обеспечения сохранения мирных позиций в любое другое время.</t>
  </si>
  <si>
    <t>19586</t>
  </si>
  <si>
    <t>Сунь-цзы</t>
  </si>
  <si>
    <t>Искусство войны</t>
  </si>
  <si>
    <t>978-5-227-09454-4</t>
  </si>
  <si>
    <t>16066</t>
  </si>
  <si>
    <t>Искусство мести</t>
  </si>
  <si>
    <t>978-5-227-06065-5</t>
  </si>
  <si>
    <t>16267</t>
  </si>
  <si>
    <t>Искусство нарушать правила</t>
  </si>
  <si>
    <t>978-5-227-06172-0</t>
  </si>
  <si>
    <t>18166</t>
  </si>
  <si>
    <t>Искусство обмана</t>
  </si>
  <si>
    <t>978-5-227-08213-8</t>
  </si>
  <si>
    <t>14399</t>
  </si>
  <si>
    <t>Искусство порока</t>
  </si>
  <si>
    <t>978-5-227-04480-8</t>
  </si>
  <si>
    <t>3762</t>
  </si>
  <si>
    <t>ДИН</t>
  </si>
  <si>
    <t>Искусство секса в древнем Китае</t>
  </si>
  <si>
    <t>5-9524-0167-8</t>
  </si>
  <si>
    <t>76x100 1/32</t>
  </si>
  <si>
    <t>21480</t>
  </si>
  <si>
    <t>СУПЕР Р</t>
  </si>
  <si>
    <t>Искусство управления реальностью. Ты можешь всё</t>
  </si>
  <si>
    <t>978-5-227-10898-2</t>
  </si>
  <si>
    <t>Во все времена люди искали возможность управлять обстоятельствами своей жизни. Потому что не хотели зависеть от их внезапности и непредсказуемости. Потому что хотели если не создавать их, то хотя бы предугадывать. Именно поэтому «магия» как понятие, как искусство и мастерство управления реальностью так привлекает мужчин и женщин, чьи амбиции достаточно высоки для того, чтобы не удовлетворяться действительностью. Ты же не хочешь зависеть от обстоятельств? Ты хочешь изменять их по своему желанию и сам управлять своей реальностью? Тогда читай эту книгу! Благодаря знаниям и инструкциям, впервые открытым на этих страницах для широкого круга непосвященных, любой читатель, наделенный достаточными амбициями и упорством, получит инструменты и средства для того, чтобы изменять этот мир по собственной воле.</t>
  </si>
  <si>
    <t>19680</t>
  </si>
  <si>
    <t>Бузина А.А</t>
  </si>
  <si>
    <t>Искусство честной любви</t>
  </si>
  <si>
    <t>978-5-227-09437-7</t>
  </si>
  <si>
    <t>21703</t>
  </si>
  <si>
    <t>Искусство, религия и мифология Древнего Египта</t>
  </si>
  <si>
    <t>978-5-9524-5959-5</t>
  </si>
  <si>
    <t>Книга известного немецкого ученого посвящена бытовой и культурной жизни древнего египтянина. Основываясь на достоверных источниках информации (папирусы из древних архивов и библиотек, надписи и рисунки из храмов и гробниц, бесчисленные свидетельства материальной культуры), автор подробно и увлекательно описывает эволюцию одежды египтян, устройство и убранство их домов, формы проведения досуга и способы зарабатывания на жизнь, систему образования, семейные и религиозные отношения. Эрману удалось объективно оценить величие египетского искусства и отдать ему дань уважения, необыкновенно интересно рассказать о магии и эзотерической мифологии умных, практичных и очень энергичных египтян.</t>
  </si>
  <si>
    <t>17440</t>
  </si>
  <si>
    <t>Искушение в одном лишь взгляде</t>
  </si>
  <si>
    <t>978-5-227-07459-1</t>
  </si>
  <si>
    <t>16617</t>
  </si>
  <si>
    <t>Искушение ддля принцессы</t>
  </si>
  <si>
    <t>978-5-227-06528-5</t>
  </si>
  <si>
    <t>17085</t>
  </si>
  <si>
    <t>Искушение для затворницы</t>
  </si>
  <si>
    <t>978-5-227-07077-7</t>
  </si>
  <si>
    <t>15207</t>
  </si>
  <si>
    <t>Милан К.</t>
  </si>
  <si>
    <t>Искушение любовью</t>
  </si>
  <si>
    <t>978-5-227-04653-6</t>
  </si>
  <si>
    <t>20152</t>
  </si>
  <si>
    <t>Синклэр К.</t>
  </si>
  <si>
    <t>Искушение на грани риска</t>
  </si>
  <si>
    <t>978-5-227-09829-0</t>
  </si>
  <si>
    <t>19616</t>
  </si>
  <si>
    <t>Искушение на Фиджи</t>
  </si>
  <si>
    <t>978-5-227-09208-3</t>
  </si>
  <si>
    <t>11559</t>
  </si>
  <si>
    <t>Искушение т.1</t>
  </si>
  <si>
    <t>978-5-9524-4692-2</t>
  </si>
  <si>
    <t>11560</t>
  </si>
  <si>
    <t>Искушение т.2</t>
  </si>
  <si>
    <t>978-5-9524-4693-9</t>
  </si>
  <si>
    <t>21904</t>
  </si>
  <si>
    <t>Кобб П..</t>
  </si>
  <si>
    <t>Исламская история крестовых походов. Религиозные войны в восприятии средневековых мусульман</t>
  </si>
  <si>
    <t>978-5-9524-6572-5</t>
  </si>
  <si>
    <t>В книге современного американского историка Пола Кобба отражены события эпохи крестовых походов в исламском контексте. Опираясь на подлинные арабские и сирийские источники, автор прослеживает этапы вторжения иноземцев в мусульманские владения на Сицилии и в Испании, затем на территории Сирии и Палестины. Рассказывая об утверждении франков на Святой земле, профессор Кобб описывает постепенное взаимопроникновение культур, а также исследует феномен почитания благородного сарацинского рыцаря Саладина как на Среднем Востоке, так и в Европе.</t>
  </si>
  <si>
    <t>20854</t>
  </si>
  <si>
    <t>Эллиот Д.</t>
  </si>
  <si>
    <t>Испанская империя. Мировое господство династии Габсбургов. 1500—1700 гг.</t>
  </si>
  <si>
    <t>978-5-9524-5673-0</t>
  </si>
  <si>
    <t>В эпоху правления Габсбургов Испания превратилась в процветающее и наиболее влиятельное государство Европы, создавшее превосходно отлаженную систему управления обширными заморскими территориями и подарившее миру богатую самобытную культуру. Профессор Джон Эллиот в своем исследовании прослеживает имперский период истории Испании от ее возвышения при Фердинанде и Изабелле до правления Филиппа V и отвечает на вопрос, что пробудило могучую энергию, породившую новую цивилизацию в Новом Свете и изменившую соотношение сил в Европе.</t>
  </si>
  <si>
    <t>5417</t>
  </si>
  <si>
    <t>Испанская кухня</t>
  </si>
  <si>
    <t>5-9524-1454-0</t>
  </si>
  <si>
    <t>20015</t>
  </si>
  <si>
    <t>Испанские страсти Скарлетт</t>
  </si>
  <si>
    <t>978-5-227-09635-7</t>
  </si>
  <si>
    <t>15906</t>
  </si>
  <si>
    <t>Рэй Дженнифер</t>
  </si>
  <si>
    <t>Исповедь подружки невесты</t>
  </si>
  <si>
    <t>978-5-227-05843-0</t>
  </si>
  <si>
    <t>7829</t>
  </si>
  <si>
    <t>Исполнитель</t>
  </si>
  <si>
    <t>978-5-9524-2798-9</t>
  </si>
  <si>
    <t>16814</t>
  </si>
  <si>
    <t>Испытание ложью и правдой</t>
  </si>
  <si>
    <t>978-5-227-06802-6</t>
  </si>
  <si>
    <t>11395</t>
  </si>
  <si>
    <t>ЦЛ НОВЫЕ</t>
  </si>
  <si>
    <t>Чейс И.</t>
  </si>
  <si>
    <t>Испытание страстью</t>
  </si>
  <si>
    <t>978-5-9524-4501-7</t>
  </si>
  <si>
    <t>19794</t>
  </si>
  <si>
    <t>Истинное доказательство чувств</t>
  </si>
  <si>
    <t>978-5-227-09403-2</t>
  </si>
  <si>
    <t>17544</t>
  </si>
  <si>
    <t>Истинный вкус страсти</t>
  </si>
  <si>
    <t>978-5-227-07586-4</t>
  </si>
  <si>
    <t>14601</t>
  </si>
  <si>
    <t>Бранд Ф.</t>
  </si>
  <si>
    <t>Истинный дар</t>
  </si>
  <si>
    <t>978-5-227-04630-7</t>
  </si>
  <si>
    <t>21375</t>
  </si>
  <si>
    <t>Истории и легенды старого Петербурга</t>
  </si>
  <si>
    <t>978-5-227-10766-4</t>
  </si>
  <si>
    <t>В этой книге собраны очерки Анатолия Иванова, посвященные российской истории, начиная с основания Санкт-Петербурга. На ее страницах увлеченного читателя ожидает удивительное разнообразие: прогулки по старым и современным улицам Cеверной столицы, знакомство с бытом и нравами XVII — начала XX столетий, в том числе и глазами иностранцев, возможность окунуться в атмосферу минувших дней. Встречи с примечательными личностями — яркими представителями своего времени, а то и вовсе его опередившими. Старинные развлечения различной степени приятности, курьезные случаи и воспоминания мемуаристов, запечатлевших события и слухи ушедших годов на бумаге. Написанные живо и ярко, составленные на основе исторических документов, писем и дневников, рассказы поведают о самых разных людях, оставивших свой след в истории, — государственных деятелях, дипломатах, военачальниках, путешественниках и многих других, и о местах, по которым им довелось ходить.</t>
  </si>
  <si>
    <t>3222</t>
  </si>
  <si>
    <t>Н ПУШКИН</t>
  </si>
  <si>
    <t>Истории Оксаны Пушкиной 1</t>
  </si>
  <si>
    <t>5-227-01789-1</t>
  </si>
  <si>
    <t>3243</t>
  </si>
  <si>
    <t>Истории Оксаны Пушкиной 2</t>
  </si>
  <si>
    <t>5-227-01790-5</t>
  </si>
  <si>
    <t>4449</t>
  </si>
  <si>
    <t>Истории Оксаны Пушкиной 3</t>
  </si>
  <si>
    <t>5-9524-0720-X</t>
  </si>
  <si>
    <t>4432</t>
  </si>
  <si>
    <t>Истории Оксаны Пушкиной 4</t>
  </si>
  <si>
    <t>5-9524-0721-8</t>
  </si>
  <si>
    <t>20408</t>
  </si>
  <si>
    <t>Волконский А.М.</t>
  </si>
  <si>
    <t>Историческая правда и украинофильская пропаганда</t>
  </si>
  <si>
    <t>978-5-227-10154-9</t>
  </si>
  <si>
    <t>Внук декабриста С.Г. Волконского князь А.М. Волконский — русский военный дипломат, историк, публицист, автор работ, объясняющих причины и характер украинского национального движения, — в этой своей книге анализирует и развенчивает миф о существовании Украины с IX по XIII век. Кроме того, Волконский в общих чертах представляет фактический материал для освещения украинского вопроса в последующие века и предъявляет одну из главных целей, которые преследует европейский мир, — расчленение России. Автор дает безусловные доказательства того, что всегда в заявлениях украинофилов просматривается либо тенденция, либо явный обман. И констатирует: «Да иначе и быть не может: кривды прямым путем не защитишь».</t>
  </si>
  <si>
    <t>21692</t>
  </si>
  <si>
    <t>Кобак А.В.,Пирютко Ю.М.</t>
  </si>
  <si>
    <t>Исторические кладбища Санкт-Петербурга</t>
  </si>
  <si>
    <t>978-5-9524-6197-0</t>
  </si>
  <si>
    <t>Это уникальное издание — плод совместной работы коллектива влюбленных в город на Неве авторов. Перед ними стояла очень непростая задача: необходимо было показать, что старые кладбища являются важной и неотъемлемой частью культурного наследия города. _x000D_
В книге комплексно рассматриваются все факторы, повлиявшие на формирование городского некрополя: дана топографическая и историко-культурная характеристика ¬отдельных кладбищ; приведены общие сведения о жизни разных конфессий; описаны особенности быта и культуры этнических и социальных групп населения Северной ¬столицы._x000D_
Предыдущее издание, в 1996 г., было отмечено первой Анциферовской премией, присуждаемой за лучшие современные работы по истории Санкт-Петербурга. Но за время, прошедшее после него, ситуация существенно изменилась. Библиография петер¬бургского некрополя пополнилась рядом монографических исследований, и возникла необходимость в серьезном дополнении и обновлении информации, что и было профес¬сионально исполнено авторским коллективом._x000D_
В основу книги легли новые данные натурных обследований, а также материалы литературных и архивных источников, большинство из которых обобщено впервые.</t>
  </si>
  <si>
    <t>21254</t>
  </si>
  <si>
    <t>Исторические районы Петербурга от А до Я</t>
  </si>
  <si>
    <t>978-5-227-10823-4</t>
  </si>
  <si>
    <t>На страницах книги вы найдете популярные очерки об исторических районах старого Петербурга, о предместьях, вошедших в городскую черту, и районах, ставших новостройками совсем недавно, ведь автор твердо уверен: историческое наследие Петербурга — это не только центр._x000D_
Вы познакомитесь с обликом и достопримечательностями тех районов города, где местные жители и гости столицы бывают очень редко, а может, и вовсе никогда туда не заглядывают. Сергей Глезеров расскажет о них через призму своего отношения к ним. Обо всех от А до Я, от Авиагородка до Яблоновки. Книга прекрасно иллюстрирована и будет интересна краеведам, историкам и всем любителям Санкт-Петербурга.</t>
  </si>
  <si>
    <t>16081</t>
  </si>
  <si>
    <t>Исторические шахматы Украины</t>
  </si>
  <si>
    <t>978-5-227-06095-2</t>
  </si>
  <si>
    <t>20944</t>
  </si>
  <si>
    <t>Мортон А.Л.</t>
  </si>
  <si>
    <t>История Англии. Как народ создал великую державу</t>
  </si>
  <si>
    <t>978-5-9524-5691-4</t>
  </si>
  <si>
    <t>Англия — первая в мире промышленно развитая держава, родина блестящих изобретателей, первооткрывателей и банкиров, давшая миру образцовое законодательство и основы конституции. Британский прогрессивный историк Артур Л. Мортон рассматривает пути развития Туманного Альбиона со времен кельтов и иберийцев и Нормандского завоевания до Первой мировой войны с точки зрения исторического материализма и убедительно доказывает, что во все времена именно народ вершил политику, формировал социальные институты и являлся главной движущей силой прогресса. В этой книге изложена поистине народная история Англии — живая, актуальная и поучительная.</t>
  </si>
  <si>
    <t>20974</t>
  </si>
  <si>
    <t>Кидсон П. ; Мюррей П. ; Томпсон П.</t>
  </si>
  <si>
    <t>История английской архитектуры</t>
  </si>
  <si>
    <t>978-5-9524-6084-3</t>
  </si>
  <si>
    <t>В книге подробно изложена история английской архитектуры со времен построек V—VI веков до второй половины XX века. Авторы рассказывают о создании церковных и светских зданий, особое внимание уделяя описанию архитектурных деталей. Издание содержит много иллюстраций и редких фотографий, снабжено планами и реконструкциями древних сооружений. В приложении представлен краткий словарь специальных терминов.</t>
  </si>
  <si>
    <t>21365</t>
  </si>
  <si>
    <t>Сартон Д.</t>
  </si>
  <si>
    <t>История античной науки. Открытия великих ученых и мыслителей древности</t>
  </si>
  <si>
    <t>978-5-9524-5737-9</t>
  </si>
  <si>
    <t>Один из лучших в мире специалистов по истории науки Джордж Сартон увлекательно и ярко рисует картину развития математики, астрономии, физики, биологии, медицины, по мере того как они возникали в доисторической эпохе и расцветали в древнегреческом обществе. Первая часть книги посвящена ранним свидетельствам существования математики, астрономии и других наук, затем достижениям Египта, Месопотамии, началу греческой цивилизации и расцвету ионийской науки в VI до н. э. Этой эпохе принадлежат Фалес Милетский, Анаксимандр, Анаксимен и Ксенофан, Пифагор, учению которого уделено особое внимание. Вторая часть открывается расцветом Афин в V в. до н. э. Это шедевры поэзии, изобразительного искусства, философии и науки. Здесь представлены Гераклит, Анаксагор, Парменид, Демокрит, Гиппократ, Геродот и многие другие. Часть третья – это выдающиеся греческие мыслители IV в. до н. э.: Платон и его Академия, Аристотель, Ксенофонт, школа киников, стоиков, скептиков, эпикурейцев. _x000D_
Иллюстрации поясняют и украшают повествование.</t>
  </si>
  <si>
    <t>20504</t>
  </si>
  <si>
    <t>Морган Ж.</t>
  </si>
  <si>
    <t>История армянского народа. Доблестные потомки великого Ноя</t>
  </si>
  <si>
    <t>978-5-9524-5854-3</t>
  </si>
  <si>
    <t>Известный французский археолог Жак де Морган исследует историю армянского народа с древних времен до первой четверти ХХ века. Труд Моргана интересен прежде всего тем, что в нем цитируются малоизвестные и не переведенные источники, и отличается ярким изображением драматических событий, пережитых армянским народом. Автор представляет историю войн, в которых, так или иначе, участвовали армяне, и галерею портретов царей, которые ими правили. Особое внимание Морган обращает на культурную жизнь народа. На то, как зарождались и развивались письменность, литература, изобразительное искусство, ремесла, музыка, театр, называя имена тех, кто сыграл важную роль в той или иной деятельности._x000D_
Повествование украшает около четырехсот рисунков.</t>
  </si>
  <si>
    <t>21493</t>
  </si>
  <si>
    <t>Хогг О.</t>
  </si>
  <si>
    <t>История артиллерии. Вооружение. Тактика. Крупнейшие сражения. XIV—XX века</t>
  </si>
  <si>
    <t>978-5-9524-6218-2</t>
  </si>
  <si>
    <t>Оливер Хогг почти сорок лет прослужил в сухопутной артиллерии Великобритании, занимаясь техническими вопросами. Проведя достаточно глубокие исследования, он в данной книге изложил историю артиллерийских орудий и вспомогательных устройств за последние шестьсот лет. В основу своей работы он положил принципы развития артиллерии, рассмотрел технологию производства орудий и взрывчатых веществ, затронул вопросы стратегии и тактики применения артиллерии в разных странах. Издание будет интересно как специалистам, так и широкому кругу читателей, интересующихся артиллерией.</t>
  </si>
  <si>
    <t>17949</t>
  </si>
  <si>
    <t>Дрейер Д.</t>
  </si>
  <si>
    <t>История астрономии. Великие открытия с древности до средневековья</t>
  </si>
  <si>
    <t>978-5-9524-5284-8</t>
  </si>
  <si>
    <t>20728</t>
  </si>
  <si>
    <t>Сайкс П.</t>
  </si>
  <si>
    <t>История Афганистана. С древнейших времен до учреждения королевской монархии</t>
  </si>
  <si>
    <t>978-5-9524-5819-2</t>
  </si>
  <si>
    <t>Книга британского историка и дипломата Перси Сайкса наиболее полно и достоверно воспроизводит историю Афганистана — государства, которое долгое время было центром борьбы за власть ввиду своего географического и стратегического положения. Автор описывает важнейшие исторические и политические события, происходившие на Среднем Востоке с древнейших времен до осады Герата в 1833 г., а также историю Афганистана с Первой англо­афганской войны, закончившейся оккупацией Кабула, до убийства короля Надир­шаха и восшествия на престол Захир­шаха в 1933 г. Раздел «Приложения» включает ряд важнейших документов — договоры, письма и соглашения, — в том числе Симлский манифест (1938 г.).</t>
  </si>
  <si>
    <t>21890</t>
  </si>
  <si>
    <t>Форбс Н.</t>
  </si>
  <si>
    <t>История Балкан. Болгария, Сербия, Греция, Румыния, Турция. От становления государства до Первой мировой войны</t>
  </si>
  <si>
    <t>978-5-9524-6558-9</t>
  </si>
  <si>
    <t>История Балкан охватывает становление, развитие и внешнюю и внутреннюю политику пяти государств - Болгарии, Сербии, Греции, Румынии и Турции. Рассматривая территориально-политические образования на полуострове, авторы прослеживают происхождение и формирование национального состава стран, их христианизацию, периоды подъема, укрепления, упадка, экспансий и снова возрождения при правлении разных государей, периоды революций и войн вплоть до Первой мировой войны.</t>
  </si>
  <si>
    <t>21635</t>
  </si>
  <si>
    <t>История балов императорской России. Увлекательное путешествие</t>
  </si>
  <si>
    <t>978-5-227-11064-0</t>
  </si>
  <si>
    <t>Книга доктора исторических наук, профессора Оксаны Юрьевны Захаровой открывает читателю особый, невиданный и мало изученный мир бального церемониала…_x000D_
Автор на основании исторических источников рассказывает о возникновении и развитии русского бала, истории танца и костюма, символике жеста, оформлении бальных залов. Это исследование во многом носит и прикладной характер. Впервые опубликованные фигуры котильона позволяют воспроизвести этот танец на современных балах._x000D_
По-своему уникальна опубликованная в книге хрестоматия, в ¬которой читателю впервые предоставляется возможность вместе с героями Пушкина, Лермонтова, ¬Гоголя, Данилевского, Загоскина, Баратынского, Бунина, Куприна и др. побывать на балах XVIII—XX столетий, почувствовать поэти¬ческий мир бальной культуры. Вас ждет увлекательное историческое путе-шествие, погружение в удивительное переплетение эпох и судеб, политики и культуры.</t>
  </si>
  <si>
    <t>20359</t>
  </si>
  <si>
    <t>Ахшарумов С.Д.</t>
  </si>
  <si>
    <t>История Бастилии. Четыре века самой зловещей тюрьмы Европы. 1370—1789</t>
  </si>
  <si>
    <t>978-5-227-10092-4</t>
  </si>
  <si>
    <t>Действительный статский советник, историк, специалист по Франции и прекрасный рассказчик, С.Д. Ахшарумов представил историю Бастилии с самого начала ее существования. Историк подробно описал особенности ее устройства с представлением детального плана крепости, существовавшие в ней порядки и то, как менялись условия содержания узников, а также кто, как и за что был брошен в ее темницы. Выбирая наиболее яркие события, характеризующие разные эпохи, историк рассказал об интригах и коварстве монархов и подданных короны, о храбрости и трусости, о подлости и благородстве. Более четырех столетий просуществовала ненавистная французам крепость и лишь в 1789 г. была уничтожена мятежными парижанами.</t>
  </si>
  <si>
    <t>21758</t>
  </si>
  <si>
    <t>История большевизма в России от возникновения до захвата власти: 1883—1903—1917. С приложением докум</t>
  </si>
  <si>
    <t>978-5-227-10872-2</t>
  </si>
  <si>
    <t>Генерал-майор Отдельного корпуса жандармов Александр Иванович Спиридович был человеком, преданным идее монархической власти. Историю революционных партий Спиридович знал очень хорошо — много лет он занимался политическим сыском. С началом Первой мировой войны А.И. Спиридович, обеспечивая личную охрану государя, сопровождал его в поездках на фронт, в Ставку и фронтовые части. В 1915 году за служебные успехи А.И. Спиридович был произведен в генерал-майоры._x000D_
Но свой разыскной опыт он обобщил в книгах о борьбе с революционерами, которые были изданы в типографии Охранного отделения и использовались жандармами как справочные и учебные издания. Крушение Российской империи, свержение монарха и последующие события генерал Спиридович воспринимал как большую трагедию. Если бы Временное правительство не заключило его в Петропавловскую крепость в дни Февральской революции, возможно, он нашел бы способ спасения царской семьи._x000D_
Книга «История большевизма в России от возникновения до захвата власти» была написана им в эмиграции и издана в Париже в 1922 году.</t>
  </si>
  <si>
    <t>14151</t>
  </si>
  <si>
    <t>Кинси З.</t>
  </si>
  <si>
    <t>История борделей с древних времен</t>
  </si>
  <si>
    <t>978-5-227-04055-8</t>
  </si>
  <si>
    <t>16806</t>
  </si>
  <si>
    <t>978-5-227-06672-5</t>
  </si>
  <si>
    <t>20335</t>
  </si>
  <si>
    <t>КАРТОГРАФИЯ</t>
  </si>
  <si>
    <t>Браун Л.А.</t>
  </si>
  <si>
    <t>История географических карт</t>
  </si>
  <si>
    <t>978-5-9524-5841-3</t>
  </si>
  <si>
    <t>Исследование Ллойда Арнольда Брауна охватывает период с середины II тысячелетия до н. э., когда вавилоняне ввели в обиход кадастровую съемку — составление планов земельных владений для расчетов налогов, — до XX века, увенчавшего историю картографии созданием подробной карты Земли. Автор рассказывает о том, как люди осознали необходимость изображения мира, какими инструментами и методами пользовались путешественники и ученые для составления сначала примитивных, а затем все более точных и всеобъемлющих карт.</t>
  </si>
  <si>
    <t>4587</t>
  </si>
  <si>
    <t>РИ</t>
  </si>
  <si>
    <t>Голлербах</t>
  </si>
  <si>
    <t>История гравюры и литографии в России</t>
  </si>
  <si>
    <t>5-9524-0646-7</t>
  </si>
  <si>
    <t>70x108 1/16</t>
  </si>
  <si>
    <t>21676</t>
  </si>
  <si>
    <t>История Греции. От Древней Эллады до наших дней</t>
  </si>
  <si>
    <t>978-5-9524-6410-0</t>
  </si>
  <si>
    <t>В этой книге Азимов рассказывает о самых впечатляющих событиях в истории Греции с древних времен до современности. О том, как создавались города-государства, проводились Олимпийские игры, давал советы Дельфийский оракул, состязались в своем искусстве музыканты, поэты, философы — расцветала прекрасная древняя культура._x000D_
Также автор повествует о падении Спарты, Фив, о великих битвах прошлого, в которых участвовала Греция, — Троянской войне, войне с Персией — и войнах ХХ века.</t>
  </si>
  <si>
    <t>20021</t>
  </si>
  <si>
    <t>Менхен-Хельфен О.</t>
  </si>
  <si>
    <t>История гуннов. Как жили и воевали легендарные кочевники</t>
  </si>
  <si>
    <t>978-5-9524-5666-2</t>
  </si>
  <si>
    <t>20305</t>
  </si>
  <si>
    <t>Грин Е.</t>
  </si>
  <si>
    <t>История денег. От раковин каури до евро</t>
  </si>
  <si>
    <t>978-5-227-09773-6</t>
  </si>
  <si>
    <t>20321</t>
  </si>
  <si>
    <t>Дюмулен Г.</t>
  </si>
  <si>
    <t>История дзэн­буддизма</t>
  </si>
  <si>
    <t>978-5-9524-5676-1</t>
  </si>
  <si>
    <t>В книге профессора философии и истории религии Токийского университета анализируются условия возникновения и основные традиции дзэн­буддизма. Подробно рассказано о распространении и методологическом развитии дзэна в Японии, Америке и Европе, о религиозных и философских учениях, а также медитативных практиках буддийских и дзэнских наставников и патриархов.</t>
  </si>
  <si>
    <t>21418</t>
  </si>
  <si>
    <t>Хоренский М.</t>
  </si>
  <si>
    <t>История Древней Армении. Мифология, религия, внутренняя жизнь страны, связи с внешним миром</t>
  </si>
  <si>
    <t>978-5-227-10855-5</t>
  </si>
  <si>
    <t>В книге Моисея Хоренского, выдающегося писателя раннего Средневековья, изложена история Древней Армении от праотца Ноя до эпохи завоеваний Александра Великого и от воцарения Аршака I до падения Армянского царства. Создавая летопись древнейшего государства Закавказья, отец армянской историографии обращался к библейским преданиям, персидским и греческим источникам, а также к дохристианской литературе, мифологии и языческим верованиям народов Армянского нагорья. Особое внимание уделено периоду христианизации Южного Кавказа и просветительской деятельности святого Григория. Повествование отличаетcя исторической достоверностью, яркими портретами правителей, духовных учителей и народных героев, а также изяществом и высокой образностью языка. Труд Моисея Хоренского переведен на русский язык профессором Лазаревского института восточных языков Н.О. Эмином. В приложении приведен полный перечень царей, обзор географических объектов, а также очерк о политическом и административном устройстве Древней Армении.</t>
  </si>
  <si>
    <t>20992</t>
  </si>
  <si>
    <t>История древней Армении. От союза племен к могущественному Анийскому царству</t>
  </si>
  <si>
    <t>978-5-9524-6059-1</t>
  </si>
  <si>
    <t>Французский востоковед Рене Груссе, считая главной целью своей научной деятельности донести до интересующегося читателя историю материальной и духовной культуры стран Востока, написал о трагической судьбе страны, которая до присоединения к Византийской империи была форпостом западной цивилизации. В настоящей книге автор рассказывает об Армении с доисторических времен и до правления Филарета Варажнуни, открывшего новую страницу в истории страны, укрепив со столицей Ани независимое государство. География, принятие христианства, возникновение одного из древнейших алфавитов, борьба армянских князей династий Багратидов и Арцруни за веру и независимость от турок, арабов, власть Сасанидов, подвиги Мамиконянов… — Груссе попытался подробно рассказать о жизни армянского народа.</t>
  </si>
  <si>
    <t>21873</t>
  </si>
  <si>
    <t>Брэстед Д.</t>
  </si>
  <si>
    <t>История Египта c древнейших времен до персидского завоевания</t>
  </si>
  <si>
    <t>978-5-9524-6544-2</t>
  </si>
  <si>
    <t>Фундаментальный труд Джеймса Брэстеда, — профессора египтологии и восточной истории Чикагского университета, — охватывает более трех тысячелетий истории величайшего государства Древнего мира. Основываясь на подлинных источниках, — иероглифических письменах, начертанных на стенах храмов в Амарне, Луксоре и Фивах, дарственных и погребальных надписях на бесценных артефактах из собрания Каирского музея и крупнейших музеев Европы, а также образцах изящной словесности эпохи Среднего и Нового царств, — историк прослеживает судьбы царей и цариц двадцати шести правящих династий Египта, создает живые портреты государственных деятелей, жрецов и мирных тружеников самой загадочной цивилизации древности.</t>
  </si>
  <si>
    <t>17446</t>
  </si>
  <si>
    <t>Яворницкий Д.И.</t>
  </si>
  <si>
    <t>История запорожских казаков. Борьба запорожцев за независимость. 1471-1686. Т.2</t>
  </si>
  <si>
    <t>978-5-227-06624-4</t>
  </si>
  <si>
    <t>17445</t>
  </si>
  <si>
    <t>История запорожских казаков. Быт запорожской общины. Т 1</t>
  </si>
  <si>
    <t>978-5-227-06620-6</t>
  </si>
  <si>
    <t>17447</t>
  </si>
  <si>
    <t>История запорожских казаков. Военные походы запорожцев. 1686-1734. Т.3</t>
  </si>
  <si>
    <t>978-5-227-06628-2</t>
  </si>
  <si>
    <t>19807</t>
  </si>
  <si>
    <t>Шпигель А.</t>
  </si>
  <si>
    <t>История зеркал. От отражения в воде до космической оптики</t>
  </si>
  <si>
    <t>978-5-227-09646-3</t>
  </si>
  <si>
    <t>21526</t>
  </si>
  <si>
    <t>Харгрейв К.П.</t>
  </si>
  <si>
    <t>История игральных карт. Вековые традиции создания карточных колод для игры, пасьянсов, фокусов и гаданий в разных странах и у разных народов</t>
  </si>
  <si>
    <t>978-5-9524-6349-3</t>
  </si>
  <si>
    <t>Страсть человечества к карточным играм и гаданиям не ослабевает на протяжении многих веков, возможно, именно это и заставляет исследователей вновь и вновь обращаться к изучению истории столь таинственного и увлекательного предмета. Известно, что для определения явлений, не поддающихся пониманию, люди прибегали к колдовству. Современные азартные игры представляют собой реликты именно таких колдовских ритуалов. Кэтрин Перри Харгрейв рассказала о происхождении, распространении и невероятном многообразии карт и карточных игр разных стран мира. Она представила гадальные, игральные, а также серии карт, призванные прививать интерес к истории, географии, геральдике, военному делу, музыке, и многие другие. Особое внимание автор уделила художникам, ремесленникам и предприятиям, занимающимся изготовлением и продажей карт. В книге воспроизведены экземпляры редких карточных серий.</t>
  </si>
  <si>
    <t>20656</t>
  </si>
  <si>
    <t>Кирби Р.</t>
  </si>
  <si>
    <t>История инженерного дела. Важнейшие технические достижения с древних времен до ХХ столетия</t>
  </si>
  <si>
    <t>978-5-9524-5948-9</t>
  </si>
  <si>
    <t>Настоящая книга представляет собой интереснейший обзор развития инженерного искусства в истории западной цивилизации от истоков до двадцатого века. Авторы делают акцент на достижения, которые, по их мнению, являются наиболее важными и оказали наибольшее влияние на развитие человеческой цивилизации, приводя великолепные примеры шедевров творческой инженерной мысли. Это висячие сады Вавилона; строительство египетских пирамид и храмов; хитроумные механизмы Архимеда; сложнейшие конструкции трубопроводов и мостов; тоннелей, проложенных в горах и прорытых под водой; каналов; пароходов; локомотивов — словом, все то, что требует обширных технических знаний, опыта и смелости. Авторы объясняют назначение изобретений, дают подробные описания составных частей и как они взаимодействуют, сообщают основные размеры, дают представление о технологии строительства или сборки. Завершается обзор очерком о влиянии инженерии на общество, в котором утверждается, что технология должна содействовать повышению этических и эстетических ценностей._x000D_
Книга богато иллюстрирована и написана простым доступным языком, не отягощенным большим  количеством технических терминов и деталей.</t>
  </si>
  <si>
    <t>20922</t>
  </si>
  <si>
    <t>Мюллер А.</t>
  </si>
  <si>
    <t>История ислама. От доисламской истории арабов до падения династии Аббасидов в XVI веке</t>
  </si>
  <si>
    <t>978-5-227-10545-5</t>
  </si>
  <si>
    <t>В классическом фундаментальном труде немецкого ученого Августа Мюллера, посвященном истории ислама, проанализированы доисламская история арабов и история арабов от пророка Мухаммеда до падения арабской династии Аббасидов. По богатству материала и широте охвата стран и событий, а также благодаря титаническим усилиям автора по обработке арабских письменных источников «История ислама» и сегодня остается одним из важнейших исследований. Многие термины, понятия и названия в тексте оставлены именно так, как их написал автор. Для вдумчивого читателя не составит большого труда соотнести авторскую интерпретацию слов с их современным написанием._x000D__x000D_
Академик барон В.Р. Розен сказал об этой книге: «...я не знаю ни одного другого сочинения, которое давало бы столь ясный, связный и осмысленный общий обзор преимущественно внешней истории мусульманского мира, не говоря уже о том, что и во многих частных вопросах оно дает веские и ценные указания и разъяснения, свидетельствующие как о добросовестности, с которой автор всюду проверял своих предшественников по доступным ему источникам, так и о самостоятельности его взглядов»._x000D__x000D_
Данное издание включает 1­й и 2­й тома «Истории ислама».</t>
  </si>
  <si>
    <t>20921</t>
  </si>
  <si>
    <t>История ислама. С основания до новейших времен</t>
  </si>
  <si>
    <t>978-5-227-10544-8</t>
  </si>
  <si>
    <t>Труд выдающегося немецкого ученого XIX века Августа Мюллера «История ислама» охватывает период истории арабов с древности до XIX века. В данную книгу вошли 3­й и 4­й тома, изданные в русском переводе в 1895 году и анализирующие события от мусульманской Персии до падения мусульманской Испании.</t>
  </si>
  <si>
    <t>21360</t>
  </si>
  <si>
    <t>Гордеев А.А.</t>
  </si>
  <si>
    <t>История казачества. Военное служилое сословие в жизни Российского государства от зарождения во времена Золотой Орды до Гражданской войны</t>
  </si>
  <si>
    <t>978-5-9524-6272-4</t>
  </si>
  <si>
    <t>А.А. Гордеев — потомственный донской казак, полковник Войска Донского, георгиевский кавалер, участник Первой мировой войны и Белого движения, создал всеобъемлющий труд по истории казачества Российской державы. Автор исследовал происхождение, становление, политическую и военную организацию казаков, систему управления, особенности ведения хозяйства, культуру быта. Описал тяжелые непрерывные войны казаков по защите своих земель, а также походы в составе русских армий. Представил исторические судьбы всех казачьих войск Российской империи: Донского, Уральского, Кубанского, Терского, Оренбургского, Астраханского, Сибирского, Семиреченского, Забайкальского, Енисейского, Амурского и Уссурийского. Фундаментальный труд Гордеева высоко оценен историками и участниками движения возрождения казачества.</t>
  </si>
  <si>
    <t>20590</t>
  </si>
  <si>
    <t>Багров Л.</t>
  </si>
  <si>
    <t>История картографии</t>
  </si>
  <si>
    <t>978-5-227-10314-7</t>
  </si>
  <si>
    <t>Лео (Лев Семенович) Багров — основатель международного картографического журнала «Imago Mundi», ученый, путешественник, опубликовал более 70 работ, послуживших основой для этой книги, собрал богатейшую коллекцию карт, в том числе уникальных. В книге отражены важнейшие этапы возникновения и развития картографии с древних времен вплоть до XVIII в. Рассматриваются рукописные и печатные карты Европы, России, Америки, Китая, Японии, Индии, Персии и Турции. Издание богато иллюстрировано и снабжено обширным списком известных картографов мира.</t>
  </si>
  <si>
    <t>21374</t>
  </si>
  <si>
    <t>Фицджералд Ч.П.</t>
  </si>
  <si>
    <t>История Китая. Императорские династии, общественное устройство, войны и культурные традиции с древних времен до XIX века</t>
  </si>
  <si>
    <t>978-5-9524-6271-7</t>
  </si>
  <si>
    <t>В этой книге последовательно излагается история Китая с древних времен до XIX века. Автор рассказывает о правлении императорских династий, войнах, составлении летописей, возникновении иероглифов, общественном устройстве этой великой и загадочной страны. Книга предназначена для широкого круга читателей.</t>
  </si>
  <si>
    <t>19394</t>
  </si>
  <si>
    <t>Штейнберг З.</t>
  </si>
  <si>
    <t>История книгоиздания в Европе. Пять веков от первого печатного станка до современных технологий</t>
  </si>
  <si>
    <t>978-5-9524-5466-8</t>
  </si>
  <si>
    <t>19497</t>
  </si>
  <si>
    <t>Мельников А.</t>
  </si>
  <si>
    <t>История колеса. От гончарного круга до шасси авиалайнера</t>
  </si>
  <si>
    <t>978-5-227-09364-6</t>
  </si>
  <si>
    <t>21153</t>
  </si>
  <si>
    <t>Келли Ф., Швабе Р.</t>
  </si>
  <si>
    <t>История костюма и доспехов. От крестоносцев до придворных щеголей</t>
  </si>
  <si>
    <t>978-5-9524-6142-0</t>
  </si>
  <si>
    <t>Авторы рассматривают историю развития костюма и военного облачения в Англии и Западной Европе со времен Крестовых походов до начала XIX столетия. Вы получите представление как о доспехах, в которые были облачены воины в битве при Гастингсе в 1066 году, так и о пышных английских нарядах эпохи Регентства. Тенденции развития гражданского костюма прослеживаются на примере одежды представителей высшего света, а эволюция боевых доспехов на примере рыцарского облачения. Авторы создали настоящую картинную галерею прошлого, прогулка по которой доставит удовольствие читателю, интересующемуся историей костюма и доспехов.</t>
  </si>
  <si>
    <t>21366</t>
  </si>
  <si>
    <t>Леви Э.</t>
  </si>
  <si>
    <t>История Магии. Обряды, ритуалы и таинства</t>
  </si>
  <si>
    <t>978-5-9524-6251-9</t>
  </si>
  <si>
    <t>В книге Элифаса Леви описаны все этапы развития магии с момента ее зарождения. Перед читателем раскрываются тайны символов и знаков, особенности взаимодействия магии и христианства, правда и вымысел легенд о магах и чудотворцах, подлинные ритуалы и практики, важнейшие принципы магических действий и многие другие аспекты роковой науки. Захватывающее повествование увлекает в загадочный мир, на грани которого находится каждый из нас, порой даже не подозревая об этом.</t>
  </si>
  <si>
    <t>19687</t>
  </si>
  <si>
    <t>Максаков К.</t>
  </si>
  <si>
    <t>История маски. От египетских фараонов до венецианского карнавала</t>
  </si>
  <si>
    <t>978-5-227-09526-8</t>
  </si>
  <si>
    <t>20142</t>
  </si>
  <si>
    <t>История мирового шпионажа. Легендарный шеф ЦРУ о суперагентах всех времен и народов</t>
  </si>
  <si>
    <t>978-5-9524-5694-5</t>
  </si>
  <si>
    <t>19471</t>
  </si>
  <si>
    <t>Тосканская Л.</t>
  </si>
  <si>
    <t>История моей жизни. Наследная принцесса Саксонии о скандале в королевской семье</t>
  </si>
  <si>
    <t>978-5-9524-5483-5</t>
  </si>
  <si>
    <t>21011</t>
  </si>
  <si>
    <t>Сондерс Д.</t>
  </si>
  <si>
    <t>История монгольских завоеваний. Великая империя кочевников от основания до упадка</t>
  </si>
  <si>
    <t>978-5-9524-6085-0</t>
  </si>
  <si>
    <t>Книга посвящена непревзойденным по размаху монгольским завоеваниям XIII века, когда кочевники Центральной Азии в течение короткого времени завладели территорией, которая простиралась через всю Азию до границ с Германией и берегов Адриатического моря. Автор  излагает документально подтвержденную историю взлета и падения великой монгольской империи. Рассказывает о евразийском кочевничестве, нашествии монголов на Европу и христианском ответе на  него. Приводит подробности правления монголов в Китае и Персии. Рисует портреты их правителей: великих ханов, и прежде всего легендарного Чингисхана, монгольских властителей Китая и ханов Золотой и Белой Орды.  Повествование завершается тем, как монголы были остановлены на краю Европы и вытеснены с Ближнего Востока.</t>
  </si>
  <si>
    <t>21718</t>
  </si>
  <si>
    <t>Гурьев В.И.</t>
  </si>
  <si>
    <t>История московской полиции. Организация, задачи и деятельность. XVIII – начало XX в.</t>
  </si>
  <si>
    <t>978-5-227-11038-1</t>
  </si>
  <si>
    <t>Книга кандидата исторических наук В.И. Гурьева посвящена истории правоохранительных органов Москвы с момента их создания в XVI в. Основное внимание автора сосредоточено на периоде с XVIII по начало XX в. Показаны особенности организационного строительства московских органов правопорядка, взаимоотношения полиции и граждан, участие органов в наиболее важных событиях истории Москвы, место в организации полиции Корпуса жандармов. Впервые в научной литературе исследуется социальный состав и особенности служебной деятельности сотрудников московских правоохранительных органов.</t>
  </si>
  <si>
    <t>21739</t>
  </si>
  <si>
    <t>История мусульманского мира: Век халифов. Монгольский период</t>
  </si>
  <si>
    <t>978-5-9524-6468-1</t>
  </si>
  <si>
    <t>Бертольд Шпулер – немецкий историк, востоковед, тюрколог, один из ведущих экспертов по истории ислама, представляет историю исламской цивилизации — «Век халифов», как глобальное явление, выходящее за пределы доктрин мусульманской религии, включающее культурное наследие, в которое внесли больший или меньший вклад все мусульманские круги. Шпулер повествует о взлете и падении как великих династий Омейядов, Аббасидов, так и мало известных династий Насридов, Хафсидов и других. Он также обращает внимание на испанский ислам, особенно подчеркивая его самобытность. «Монгольский период» – это история монголов и стран, с которыми они устанавливали контакты и вступали в конфликты: Великая Монгольская империя (Чингисхан и его преемники), государство ильханов Персии, монголы в Центральной Азии, Египет мамлюков, Тимур, Индия до и после Тимура. Автор пишет о мусульманах в Восточной Европе и на русских территориях. Его труд упорядочен, интересен и понятен.</t>
  </si>
  <si>
    <t>21772</t>
  </si>
  <si>
    <t>Вахсман Н.</t>
  </si>
  <si>
    <t>История нацистских концлагерей</t>
  </si>
  <si>
    <t>978-5-9524-6513-8</t>
  </si>
  <si>
    <t>Известный историк, профессор Бирбек-колледжа Лондонского университета Николаус Вахсман исследовал и представил полную историю нацистских концентрационных лагерей с 1933 по 1945 год. Основываясь на подлинных документальных материалах о лагерях Освенцим, Дахау, Заксенхаузен, Бухенвальд, Маутхаузен, Флоссенбюрг, Равенсбрюк и многих других (двадцать два крупных лагеря и более тысячи лагерей-спутников опутали Германию и Европу), автор представил историю создания, цели, принципы, структуру и систему управления этой чудовищной человеконенавистнической машиной по уничтожению людей, обратив особое внимание на невероятные по жестокости условия содержания в них узников._x000D_
Заключая свой колоссальный труд, автор высказывает мысль о том, что «система концлагерей была великим извратителем ценностей, является историей бесчеловечных мутаций совести, сделавших нормой насилие, пытки и убийства». И настаивает: современный мир не имеет права об этом забывать._x000D_
В приложении приведены данные о заключенных лагерей, начиная с 1935 по 1945 год.</t>
  </si>
  <si>
    <t>19955</t>
  </si>
  <si>
    <t>Бакинский П.</t>
  </si>
  <si>
    <t>История нефти. «Чёрное золото» — универсальный продукт</t>
  </si>
  <si>
    <t>978-5-227-09763-7</t>
  </si>
  <si>
    <t>20745</t>
  </si>
  <si>
    <t>Карман У.</t>
  </si>
  <si>
    <t>История огнестрельного оружия. С древнейших времен до XX века</t>
  </si>
  <si>
    <t>978-5-9524-5980-9</t>
  </si>
  <si>
    <t>Книга Уильяма Кармана — уникальное справочное исследование по истории огнестрельного оружия. Автор рассказывает о строении и модификации пушек, мушкетов, винтовок, карабинов, пистолей, мин, гранат и ракет и дает подробный обзор развития огнестрельного оружия, охватывая период от древних ассирийцев и греков до начала XX века.</t>
  </si>
  <si>
    <t>19160</t>
  </si>
  <si>
    <t>Взоров Н.</t>
  </si>
  <si>
    <t>История очков, или Вооруженный взгляд</t>
  </si>
  <si>
    <t>978-5-227-08992-2</t>
  </si>
  <si>
    <t>21461</t>
  </si>
  <si>
    <t>Олмстед А.</t>
  </si>
  <si>
    <t>История Персидской империи</t>
  </si>
  <si>
    <t>978-5-9524-6275-5</t>
  </si>
  <si>
    <t>Профессор истории Института Востока Чикагского университета Альберт Олмстед, посвятив свою жизнь изучению древнего Ближнего Востока, собрал ранее неизвестный материал о жизни, временах и мышлении персов в цельное повествование. Именно Персия на протяжении двух веков — от распространения царем Киром Великим власти на Грецию и до сожжения Персеполя, столицы царства, Александром Великим — занимала завидное положение диктатора истории. В своей книге автор показывает, как наука, литература, язык и мифы древних выросли из смешения многих культур и способствовали формированию будущей цивилизации.</t>
  </si>
  <si>
    <t>21470</t>
  </si>
  <si>
    <t>История петербургских особняков. Дома и люди</t>
  </si>
  <si>
    <t>978-5-227-10986-6</t>
  </si>
  <si>
    <t>Книга Анатолия Андреевича Иванова рассказывает историю петербургских особняков. Точнее, особняками они были в прошлом, а сегодня чаще всего это обычные дома, сохранившие следы былого великолепия. Некоторые здания уже, увы, исчезли с карты города… На страницах собраны рассказы о старинных постройках, которые можно назвать подлинными сгустками истории. Увлекательно повествуется о примечательных строениях и их обитателях, придворных, купцах, представителях творческих профессий, ведь судьбы домов неотделимы от судеб живших тут людей. Воскрешаются забытые и полузабытые имена, восстанавливается нарушенная связь времен… Вы прочтете о реальных событиях, легендах и тайнах прошлого Северной Пальмиры. Путешествие вместе с автором по петербургским улицам и переулкам позволит ощутить поэзию старины, почувствовать тесную связь прошлого с настоящим.</t>
  </si>
  <si>
    <t>21499</t>
  </si>
  <si>
    <t>Гельб И.Д</t>
  </si>
  <si>
    <t>История письменности. От рисуночного письма к полноценному алфавиту</t>
  </si>
  <si>
    <t>978-5-9524-5939-7</t>
  </si>
  <si>
    <t>Труд известного американского ученого И.Дж. Гельба посвящен развитию истории и эволюции письменности в ее многообразии и взаимосвязи с другими сферами человеческой деятельности. Автор описывает и сравнивает различные виды письменности и подробно прослеживает ее развитие от самых первых стадий рисуночного письма до создания полноценного алфавита. Последние главы посвящены будущему письменности и ее связи с речью, искусством и религией.</t>
  </si>
  <si>
    <t>19430</t>
  </si>
  <si>
    <t>Водянова М.</t>
  </si>
  <si>
    <t>История плавающих средств. От плота до субмарины</t>
  </si>
  <si>
    <t>978-5-227-09314-1</t>
  </si>
  <si>
    <t>19258</t>
  </si>
  <si>
    <t>Флаер С.</t>
  </si>
  <si>
    <t>История полёта. От крыльев Икара до космических ракет</t>
  </si>
  <si>
    <t>978-5-227-09133-8</t>
  </si>
  <si>
    <t>20979</t>
  </si>
  <si>
    <t>Бобжиньский М.</t>
  </si>
  <si>
    <t>История Польши. В 2 т. Т. I. От зарождения государства до разделов Речи Посполитой. X—XVIII вв.</t>
  </si>
  <si>
    <t>978-5-227-10532-5</t>
  </si>
  <si>
    <t>Первый том труда известного польского историка, а также наместника королевства Галиции и Лодомерии в составе Австро-Венгрии, посвящен изложению событий с момента зарождения польского государства до разделов Речи Посполитой в конце XVIII века. Анализируя архивные документы, критически осмысливая многочисленные работы других ученых, автор беспристрастно излагает исторические факты, давая возможность понять глубинные процессы, протекавшие в то время не только в Польше, но и во всей Европе, а также осознать причины многих событий сегодняшнего дня.</t>
  </si>
  <si>
    <t>20980</t>
  </si>
  <si>
    <t>История Польши. В 2 т. Т. II. Восстановление польского государства. XVIII—XX вв.</t>
  </si>
  <si>
    <t>978-5-227-10533-2</t>
  </si>
  <si>
    <t>Второй том труда известного польского историка, а также наместника королевства Галиции и Лодомерии в составе Австро-Венгрии, посвящен изложению событий после третьего раздела Речи Посполитой до восстановления польского государства в 1918 году и установления границ в 1923 году. Анализируя архивные документы, критически осмысливая многочисленные работы других ученых и, кроме того, основываясь на собственном опыте политической деятельности, автор беспристрастно излагает исторические факты, давая возможность понять глубинные процессы, протекавшие в то время не только в Польше, но и во всей Европе, а также осознать причины многих событий сегодняшнего дня.</t>
  </si>
  <si>
    <t>20113</t>
  </si>
  <si>
    <t>Перов М.</t>
  </si>
  <si>
    <t>История почты. От голубиной до электронной</t>
  </si>
  <si>
    <t>978-5-227-09885-6</t>
  </si>
  <si>
    <t>21196</t>
  </si>
  <si>
    <t>Виттрам Р.</t>
  </si>
  <si>
    <t>История прибалтийских народов. От подданных Ливонского ордена до независимых государств</t>
  </si>
  <si>
    <t>978-5-9524-6058-4</t>
  </si>
  <si>
    <t>Автор, основываясь на малоизвестных исторических документах и исследованиях ряда ученых, рассматривает развитие прибалтийских земель, ныне Латвии и Эстонии, с конца XII и до начала XX столетия. Особое внимание уделяется роли германских рыцарей и немецких дворян, а также церкви, в создании государственности в этих регионах. Показано, как проявлялось влияние различных держав, в разные периоды господствовавших в Прибалтике. В этой связи особый интерес представляет раскрытие автором позиции прибалтийских немцев в отношении Российской империи, особенно после ее победы над шведами в Северной войне и начала реформ Петра I.</t>
  </si>
  <si>
    <t>21303</t>
  </si>
  <si>
    <t>Доу Джордж Ф.</t>
  </si>
  <si>
    <t>История работорговли. Экспедиции за невольниками в Атлантике. Свидетельства участников</t>
  </si>
  <si>
    <t>978-5-9524-6201-4</t>
  </si>
  <si>
    <t>Джордж Фрэнсис Доу, историк и собиратель древностей, автор многих книг о прошлом Америки, уверен, что в морской летописи не было более черных страниц, чем те, которые рассказывают о странствиях невольничьих кораблей. Все морские суда с трюмами, набитыми чернокожими рабами, захваченными во время племенных войн или похищенными в мирное время, направлялись от побережья Гвинейского залива в Вест-Индию, в американские колонии, ставшие Соединенными Штатами, где несчастных продавали или обменивали на самые разные товары. В книге собраны воспоминания судовых врачей, капитанов и пассажиров, а также письменные отчеты для парламентских комиссий по расследованию работорговли, дано описание ее коммерческой структуры._x000D_
Повествование сопровождает более 50 гравюр и других иллюстраций.</t>
  </si>
  <si>
    <t>21253</t>
  </si>
  <si>
    <t>Иловайский Д.И.</t>
  </si>
  <si>
    <t>История России. Алексей Михайлович и его ближайшие преемники. Вторая половина XVII века</t>
  </si>
  <si>
    <t>978-5-227-10822-7</t>
  </si>
  <si>
    <t>В настоящем томе выдающийся русский историк, яркий публицист, педагог и общественный деятель Дмитрий Иванович Иловайский исследует историю России второй половины XVII в. — эпоху царствования Алексея Михайловича и доводит повествование до единодержавия Петра Великого. Это было время громких событий и бурных движений. На первый план выступает украинский вопрос с его разнообразными перипетиями и колебаниями то в ту, то в другую сторону по отношению к Польше и Москве. Московскому государству дорого обошлось присоединение Украины, в особенности благодаря изменам гетманов и притягательной силе польской культуры. Наряду с украинским вопросом автор анализирует внутреннее церковное движение, известное под именем раскола, начавшееся распрей патриарха Никона с царем. Богдан Хмельницкий и Никон — эти две крупные исторические личности занимают видное место в русской истории и стоят непосредственно за главным ее представителем, царем Алексеем Михайловичем._x000D_
Книга снабжена обширными примечаниями, которые содержат цитаты и ссылки на документальные материалы, включая русские летописи, государственные указы, письма, а также исторические исследования других авторов.</t>
  </si>
  <si>
    <t>20452</t>
  </si>
  <si>
    <t>История России. Владимирский период. Середина XII — начало XIV века</t>
  </si>
  <si>
    <t>978-5-227-10222-5</t>
  </si>
  <si>
    <t>Выдающийся русский историк, публицист, автор многих исторических исследований, в том числе всеобъемлющего труда по истории России, Дмитрий Иванович Иловайский посвятил этот труд Владимирскому периоду ста¬новления русского государства с середины XII до начала XIV века. Подобно Карамзину, Иловайский считал, что история народа — история развития его государственности, которая, прежде всего, воплощается в его царях и вождях. В каждом своем исследовании Д.И. Иловайский подтверждает эту теорию, наглядно демонстрируя огромное влияние, которое оказывают на ход истории выдающиеся личности. Юрий Долгорукий, Андрей Боголюбский, Всеволод Большое Гнездо, Александр Невский — их значение в истории Руси трудно переоценить. Почти четыре века Киев служил средоточием политической и культурной жизни русского народа, в XII веке начинается возвышение Вла¬димирского княжества.</t>
  </si>
  <si>
    <t>20414</t>
  </si>
  <si>
    <t>История России. Киевский период. Начало IX — конец XII века</t>
  </si>
  <si>
    <t>978-5-227-10176-1</t>
  </si>
  <si>
    <t>Выдающийся русский историк, публицист, автор многих исторических исследований, в том числе всеобъемлющего труда по истории России, Дмитрий Иванович Иловайский рассматривает так называемый Киевский период русской истории. Автор последовательно излагает сложный и подчас жестокий процесс становления и развития русской государственности в IX—XII вв. Обладая несомненным писательским талантом, умением кратко и точно излагать факты, автор описывает бесконечные междоусобные войны, порождающие голод и разруху, обстановку, в которой происходило насаждение христианства, возвышение и гибель князей и целых княжеских родов. И в то же время созидательную сторону жизни Руси: строительство монастырей и храмов, расцвет городов и торговли, особенности культуры и быта славянских народов в эту эпоху. И констатирует: «В основу нашей национальности положено крепкое плотное ядро, то есть могучее славянское племя, которым только и можно объяснить замечательную живучесть и прочность нашего государственного организма».</t>
  </si>
  <si>
    <t>20795</t>
  </si>
  <si>
    <t>История России. Московско-литовский период, или Собиратели Руси. Начало XIV — конец XV века</t>
  </si>
  <si>
    <t>978-5-227-10393-2</t>
  </si>
  <si>
    <t>Дмитрий Иванович Иловайский — историк, яркий публицист и педагог, общественный деятель, активный противник норманнской государственной теории, автор книг и учебников по истории, это свое исследование посвятил московско-литовскому периоду становления Русского государства в XIV—XV вв. Автор анализирует историю возникновения Московского княжества, его постепенное возвышение; усиление великокняжеской власти, бесконечные междоусобные войны, присоединение Новгорода, Вятки, Перми и других княжеств, а также начало конца многовекового ига — Куликовскую битву. Большое внимание Иловайский уделяет деятельности Русской церкви, культуре и быту жителей русских территорий.</t>
  </si>
  <si>
    <t>20967</t>
  </si>
  <si>
    <t>История России. Московско-царский период. XVI век</t>
  </si>
  <si>
    <t>978-5-227-10496-0</t>
  </si>
  <si>
    <t>Этим томом выдающийся русский историк, публицист, педагог и общественный деятель Д.И. Иловайский заканчивает исследование эпохи первой русской династии — династии Игоревичей. Затем в русской политической жизни наступает перелом, известный под наименованием Смутного времени. Автор представляет яркую картину становления и усиления русского государства при неуклонном, часто жестком,  объединении удельных княжеств вокруг Московского царства. _x000D__x000D_
Обширные примечания содержат цитаты и ссылки на документальные материалы, включая русские летописи, государственные указы, письма, а также исторические исследования других авторов.</t>
  </si>
  <si>
    <t>21025</t>
  </si>
  <si>
    <t>История России. Смутное время Московского государства. Окончание истории России при первой династии.</t>
  </si>
  <si>
    <t>978-5-227-10583-7</t>
  </si>
  <si>
    <t>Выдающийся русский историк, яркий публицист и общественный деятель Д.И. Иловайский исследует Смутное время – эпоху интервентов, самозванства, предательств, чудовищных разрушений и мощного патриотического движения, организованного лучшими представителями русских людей.  Историк анализирует причины и следствие «адского замысла» против Московского государства, замысла, возникшего и осуществленного в среде враждебной польской и ополяченной западнорусской аристократии, плодом которого явилось самозванство. И хотя от тяжелых последствий Смутного времени Россия излечивалась почти всю первую половину XVII века, автор заключает, что «Москва воздвигала государственное здание прочно и логично и никакие бури и потрясения не могли поколебать его основы». В результате победы русского оружия на историческую сцену выдвигается новая правящая династия – династия Романовых._x000D_
Книгу сопровождают обширные примечания, которые  содержат цитаты и ссылки на документальные материалы, включая русские летописи, государственные указы, письма, а также исторические исследования других авторов.</t>
  </si>
  <si>
    <t>21632</t>
  </si>
  <si>
    <t>Шмурло Е.Ф.</t>
  </si>
  <si>
    <t>История России. Судьбоносные события, военные конфликты, великие правители от образования Древнерусского государства до Октябрьской революции. 862—1917 годы</t>
  </si>
  <si>
    <t>978-5-227-11032-9</t>
  </si>
  <si>
    <t>Выдающийся ученый, крупнейший историк русского зарубежья Е.Ф. Шмурло (1853—1934) воссоздает историю России с древнейших времен до начала ХХ века в неотрывной связи с историей других народов и стран, как Запада, так и Востока. Рассматривая этапы становления государственности у восточных славян, историк демонстрирует, как складывалось национальное единство и самобытность России, и отмечает особый путь ее социокультурного развития. Повествование сопровождается историографическими экскурсами, портретами правителей и видных государственных деятелей эпохи, перечнями важнейших литературных произведений, научных открытий, а также памятников материальной и духовной культуры каждого из рассмотренных временных пластов.</t>
  </si>
  <si>
    <t>21066</t>
  </si>
  <si>
    <t>История России. Эпоха Михаила Федоровича Романова. Конец XVI — первая половина XVII века</t>
  </si>
  <si>
    <t>978-5-227-10652-0</t>
  </si>
  <si>
    <t>Выдающийся русский историк, яркий публицист, педагог и общественный деятель Дмитрий Иванович Иловайский в этом томе исследует эпоху первого царя из дома Романовых. После разрушительных бурь Смутного времени наступило сравнительное затишье, когда Русское государство постепенно восстанавливало и укрепляло государственный и общественный порядок вместе с дальнейшим развитием московской централизации. Автор отмечает — лишь смоленская эпопея нарушает относительное спокойствие этой эпохи._x000D_
Обширные примечания содержат цитаты и ссылки на документальные материалы, включая русские летописи, государственные указы, письма, а также исторические исследования других авторов.</t>
  </si>
  <si>
    <t>8488</t>
  </si>
  <si>
    <t>ГОЛОС</t>
  </si>
  <si>
    <t>Керсновский</t>
  </si>
  <si>
    <t>История русской армии</t>
  </si>
  <si>
    <t>20171</t>
  </si>
  <si>
    <t>Андоленко С.</t>
  </si>
  <si>
    <t>История русской армии. Cлавные военные традиции российских и советских полководцев</t>
  </si>
  <si>
    <t>978-5-9524-5689-1</t>
  </si>
  <si>
    <t>21626</t>
  </si>
  <si>
    <t>Керсновский А.А.</t>
  </si>
  <si>
    <t>История русской армии. От реформ Александра III до Первой мировой войны. 1881–1917</t>
  </si>
  <si>
    <t>978-5-227-11042-8</t>
  </si>
  <si>
    <t>В данном издании книги военного историка А. Керсновского рассказывается о русской армии конца XIX века, о Русско-японской войне, Портсмуте и Сараево, Первой мировой войне, о борьбе на Кавказе, а также о переосмыслении событий февраля и октября 1917 года.</t>
  </si>
  <si>
    <t>21597</t>
  </si>
  <si>
    <t>История русской армии. От Северной войны со Швецией до Туркестанских походов. 1700—1881</t>
  </si>
  <si>
    <t>978-5-227-11035-0</t>
  </si>
  <si>
    <t>В настоящую книгу военного историка А. Керсновского вошли материалы о кардинальной реорганизации армии в ходе реформ Петра I 1698 года, после чего были и суровые войны со Швецией, и с Францией, и Семилетняя и Крымская баталии, Туркестанские походы… Основная идея автора – показать самобытность русского военного искусства, мощь русского военного гения.</t>
  </si>
  <si>
    <t>21814</t>
  </si>
  <si>
    <t>История русской картографии</t>
  </si>
  <si>
    <t>978-5-227-11136-4</t>
  </si>
  <si>
    <t>История русской картографии охватывает период с начала появления первых сведений о русских землях вплоть до конца XVIII века. Подробно освещена эпоха рукописных карт, созданных картографами Европы и Азии до изобретения пе¬чатного станка, работы западноевропейских и русских картографов до конца XVIII века, когда в России был создан Департамент карт, где централизованно создавались все карты страны.</t>
  </si>
  <si>
    <t>14661</t>
  </si>
  <si>
    <t>ОИ ЛИТЕРАТУРА</t>
  </si>
  <si>
    <t>История русской литературы кн.2</t>
  </si>
  <si>
    <t>978-5-227-04623-9</t>
  </si>
  <si>
    <t>18948</t>
  </si>
  <si>
    <t>История рыцарей Мальты. Тысяча лет завоеваний и потерь старейшего в мире религиозного ордена</t>
  </si>
  <si>
    <t>978-5-9524-5398-2</t>
  </si>
  <si>
    <t>21797</t>
  </si>
  <si>
    <t>Коэн Г.</t>
  </si>
  <si>
    <t>История рыцарства во Франции. Этикет, турниры, поединки</t>
  </si>
  <si>
    <t>978-5-9524-6459-9</t>
  </si>
  <si>
    <t>Гюстав Коэн, известный специалист по истории Средних веков, в своей книге подробно исследует понятие и происхождение рыцарства, его кодекс и традиции, моральные качества и профессионализм средневекового воина. Подчеркивая важную роль рыцарства как института феодального общества, автор рассматривает историю возникновения и характер рыцарских орденов — госпитальеров, тамплиеров и других. Особое внимание Коэн уделяет образу рыцаря в героическом эпосе.</t>
  </si>
  <si>
    <t>20793</t>
  </si>
  <si>
    <t>Петров П.Н.</t>
  </si>
  <si>
    <t>История Санкт-Петербурга с основания города до введения в действие выборного городского управления по Учреждениям о губерниях. 1703-1782</t>
  </si>
  <si>
    <t>978-5-227-10391-8</t>
  </si>
  <si>
    <t>Эта книга — серьезный научный и увлекательнейший исторический труд об одном из самых замечательных городов мира, ее можно смело  назвать энциклопедией всех сторон культурной, научно-технической и практической жизни тогдашней столицы Российского государства со времен Петра I (т. е. с самого основания города) до правления Екатерины II. Автор использует обширный архивный материал, включая мемуарные источники, и наравне с известными деятелями представил читателям интереснейших людей, сыгравших важную роль в развитии Санкт-Петербурга, чьи имена до сих пор были известны только историкам._x000D_
Книга печатается по изданию 1885 года.</t>
  </si>
  <si>
    <t>20427</t>
  </si>
  <si>
    <t>Мармеладова Т.</t>
  </si>
  <si>
    <t>История сладостей.  От дикого мёда до эскимо</t>
  </si>
  <si>
    <t>978-5-227-09920-4</t>
  </si>
  <si>
    <t>Взрослые и дети, грустные и весёлые, худые и пышные — практически все, за редким исключением, любят сладкое… Кто-то обожает мороженое, кто-то сахарную вату, а кто-то не может и дня прожить без дольки шоколада или просто маленького леденца. Сегодня автор расскажет вам всё о сладостях. Вы прочтёте, что первым лакомством в Европе был мёд, который и  стал началом «сладкой истории». Сахар прибыл в Европу лишь в IV веке до н. э. вместе с Александром Македонским после похода в Индию. Узнаете, что испанец Энрике Берната придумал «чупа-чупс», что по-испански означает всего-навсего «сосалка», а автором дизайна первого фантика стал легендарный Сальвадор Дали; что Георг Ландрин, он же Фёдор Гаврилов, назвал свои конфеты «монпансье» в честь воспетой в романах Дюма французской герцогини; что выпуск отечественных конфет «Белочка» и «Мишка на Севере» не прекращался даже во время блокады Ленинграда, и ещё много, много «сладкой» информации.</t>
  </si>
  <si>
    <t>20104</t>
  </si>
  <si>
    <t>Голубовский П.В.</t>
  </si>
  <si>
    <t>История Смоленской земли до начала XV века</t>
  </si>
  <si>
    <t>978-5-227-09800-9</t>
  </si>
  <si>
    <t>21443</t>
  </si>
  <si>
    <t>Хильгер Г.</t>
  </si>
  <si>
    <t>История советско-германских  отношений. Воспоминания советника посольства Германии в Москве. 1918—1941 гг.</t>
  </si>
  <si>
    <t>978-5-9524-5960-1</t>
  </si>
  <si>
    <t>Отношения, связавшие Германию и Советский Союз перед началом Великой Отечественной войны, определили один из самых роковых этапов мировой истории. Это «затишье перед бурей» подверглось анализу огромного количества исследователей. Тем не менее Густаву Хильгеру, занимавшему в предвоенные годы пост советника немецкого посольства в Москве, в соавторстве с историком А. Мейером удалось по-новому взглянуть на давно известные факты. Он не только детально проанализировал особенности нацистско-советского сотрудничества, но и смог пролить свет на идеи, мотивы поступков и общее мировоззрение человека из числа тех, кто серьезно повлиял на внешнеполитический курс Германии в 20-х и 30-х годах XX века. В книге представлены оригинальные и яркие концепции различных направлений, редкие архивные документы, ценные свидетельства очевидцев.</t>
  </si>
  <si>
    <t>21645</t>
  </si>
  <si>
    <t>Невинс А.,Коммаджер Г.С.</t>
  </si>
  <si>
    <t>История Соединенных Штатов Америки. Судьбоносные события страны, прошедшей путь от разрозненных колоний до сильнейшей мировой державы</t>
  </si>
  <si>
    <t>978-5-9524-6400-1</t>
  </si>
  <si>
    <t>Авторы книги, авторитетные американские ученые — профессор истории, дважды лауреат Пулитцеровской премии А. Невинс и профессор американистики Г. Коммаджер, — посвятили свой труд самому смелому мировому опыту, когда-либо предпринятому в области слияния народов, социального равенства, экономических возможностей и политической демократии. Возникновение колоний в Новом Свете, революция и конфедерация, рост национального единства, борьба внутри общества и братоубийственная Гражданская война, рождение и рост крупного предпринимательства, превращение США в мировую державу, участие в двух мировых войнах и преодоление послевоенных проблем… Анализируя эти и многие другие события истории страны, рисуя подробные портреты национальных героев и крупных политических деятелей, авторы дают возможность лучше понять пути становления великой державы.</t>
  </si>
  <si>
    <t>20506</t>
  </si>
  <si>
    <t>Борцов В.</t>
  </si>
  <si>
    <t>История спорта. От Древней Греции до наших дней</t>
  </si>
  <si>
    <t>978-5-227-10058-0</t>
  </si>
  <si>
    <t>Спортивные состязания пришли к нам из далёкой древности. Уже много тысяч лет назад, во времена каменного века, наши предки соревновались между собой в меткости, скорости, силе и выносливости. Многие наскальные рисунки, которым уже около 30 000 лет, рассказывают, как это происходило тогда. Конечно, пока это были не те виды спорта, к которым мы привыкли сегодня, но начало развитию спорта было положено._x000D_
Шли времена, и люди придумывали новые, порой очень странные на наш современный взгляд спортивные развлечения, такие как сбивание белок с деревьев, перетягивание угрей, драки рыбаков на лодках и прыжки через спины быков… Дальше — больше, и вот уже в Древней Греции проходят первые Олимпийские игры, и с этого момента история спорта стремительно развивается. В небольшой книге, к сожалению, нельзя рассказать полную историю такого значимого для нашей цивилизации явления, но вы прочтёте интересную информацию о самых популярных видах спорта, выдающихся спортсменах, международных спортивных организациях и ещё много, много интересного.</t>
  </si>
  <si>
    <t>19894</t>
  </si>
  <si>
    <t>Песков С.И.</t>
  </si>
  <si>
    <t>История стекла. От стеклянного оружия до стекол иллюминаторов космических кораблей</t>
  </si>
  <si>
    <t>978-5-227-09709-5</t>
  </si>
  <si>
    <t>21291</t>
  </si>
  <si>
    <t>Шустер Г.</t>
  </si>
  <si>
    <t>История тайных обществ, союзов и орденов</t>
  </si>
  <si>
    <t>978-5-227-10790-9</t>
  </si>
  <si>
    <t>Интерес к таинственному, стремление познать непознанное было присуще человеку на всем протяжении его истории. Оно обернулось появлением множества тайных союзов религиозного, этического, политического характера. Их истории, начиная с древнейших времен, и посвящена эта книга.</t>
  </si>
  <si>
    <t>21891</t>
  </si>
  <si>
    <t>Хамбли У.Д.</t>
  </si>
  <si>
    <t>История татуировки. Ритуалы, верования, табу</t>
  </si>
  <si>
    <t>978-5-9524-6559-6</t>
  </si>
  <si>
    <t>Книга Уилфрида Дайсона Хамбли представляет собой самую полную историю мировых практик татуировки. Внимательно и подробно автор исследует древние традиции нанесения знаков на тело в таких мировых культурных центрах, как Вавилон, Египет, Перу, Мексика, Япония и Китай, выявляет много интереснейших фактов, показывает последовательность миграции татуировок. Прослеживает связь знаков на теле с религиозными верованиями и магическими практиками, рассматривает социальные и антисоциальные цели татуировки. Особые главы Хамбли посвятил техникам нанесения знаков на тело, а также историческому и географическому распространению татуировки._x000D_
Текст сопровождается иллюстрациями и фотографиями.</t>
  </si>
  <si>
    <t>21598</t>
  </si>
  <si>
    <t>Аллен У.</t>
  </si>
  <si>
    <t>История Украины. Южнорусские земли от первых киевских князей до Иосифа Сталина</t>
  </si>
  <si>
    <t>978-5-9524-6392-9</t>
  </si>
  <si>
    <t>Британский ученый, работник дипломатической службы, политик и бизнесмен, Уильям Эдвард Дэвид Аллен провел тщательный геополитический анализ украинского региона от Киевской Руси до начала Второй мировой войны. Развитие Украины и ее спорные границы могут быть поняты только при рассмотрении отношений между ею и Литвой, Польшей, Австро-Венгрией, Скандинавскими странами, Османской империей, монгольскими ханствами в Крыму, казаками и гетманами и, конечно, царской Россией, а позже между Германией и Советским Союзом. История Аллена интересна в плане национального вопроса, который терзает многонациональные империи, включая все соседние государства Украины прошлого и настоящего, и который до сих пор является причиной напряженности на Украине.</t>
  </si>
  <si>
    <t>20360</t>
  </si>
  <si>
    <t>История фараонов. Правящие династии раннего, Древнего и Среднего царств Египта. 3000-1800 гг. до нашей эры</t>
  </si>
  <si>
    <t>978-5-9524-5787-4</t>
  </si>
  <si>
    <t>Артур Вейгалл, известный английский египтолог, автор целого ряда исследований, посвященных Древнему Египту, поставил перед собой цель – написать последовательную и наиболее полную историю царствования фараонов. И с блеском выполнил задачу. Этот труд Вейгалл посвятил царствованиям первых одиннадцати династий. Для работы он использовал весь имеющийся в распоряжении египтологов материал: списки царей из «Истории Египта» Манефона и Абидосский список из храма царя Сети I, Саккарский список, обнаруженный в гробнице Тунери, и материалы раскопок некрополя в Абидосе и Тинисе, Туринский папирус и Палермский камень. Автор уточняет продолжительность каждого царствования и написание имен фараонов. На основе предметов материальной культуры и сохранившихся текстов он дает представление об образе жизни, культуре и традициях египтян. Книга будет, безусловно, интересна как специалисту, так и читателю, не обладающему особыми познаниями в египтологии.</t>
  </si>
  <si>
    <t>21596</t>
  </si>
  <si>
    <t>История Франции. От Карла Великого до Жанны д’Арк</t>
  </si>
  <si>
    <t>978-5-9524-6347-9</t>
  </si>
  <si>
    <t>Повествование охватывает один из ключевых периодов французской истории — пять столетий Средневековья, время формирования Франции такой, какой мы знаем ее сегодня. Распавшаяся Франкская империя Карла Великого увязла в междоусобицах наследников и вражеских набегах. Крестовые походы, феодальные, династические и религиозные распри, противостояние рыцарей и городских простолюдинов… Страна долго шла к становлению централизованного государства. Эта эпоха завершилась Столетней войной, и Франция вошла в Новое время одной из ведущих европейских держав.</t>
  </si>
  <si>
    <t>17849</t>
  </si>
  <si>
    <t>Дэвис У.С</t>
  </si>
  <si>
    <t>История Франции. С древнейших времен до Версальского договора</t>
  </si>
  <si>
    <t>978-5-9524-5283-1</t>
  </si>
  <si>
    <t>17402</t>
  </si>
  <si>
    <t>История хазар-иудеев</t>
  </si>
  <si>
    <t>978-5-9524-5250-3</t>
  </si>
  <si>
    <t>19765</t>
  </si>
  <si>
    <t>Халецки О.</t>
  </si>
  <si>
    <t>История Центральной Европы с древних времен до ХХ века. Кипящий котел народов и религий на территории между Германией и Россией</t>
  </si>
  <si>
    <t>978-5-9524-5581-8</t>
  </si>
  <si>
    <t>21082</t>
  </si>
  <si>
    <t>Меннингер К.</t>
  </si>
  <si>
    <t>История цифр. Числа, символы, слова</t>
  </si>
  <si>
    <t>978-5-9524-6129-1</t>
  </si>
  <si>
    <t>Настоящее издание представляет собой фундаментальный свод знаний о происхождении чисел и числительных, о развитии числовой последовательности и числового языка — основной труд немецкого ученого-математика Карла Меннингера. Автор в доступной форме, большей частью в виде занимательных историй, подводит читателя к понятию числа, дает многосторонний анализ возникновения чисел и их развития в разных культурах. Особый интерес вызывает рассказ о старинных приспособлениях для счета: примитивных счетных палочках, шнурах с узлами древнего Перу, сложных пальцевых жестах, которые когда-то использовались в качестве цифр, счетных досках с жетонами, абаке... Множество иллюстраций и таблиц, в которых сравниваются цифры и их написание в разных языках, помогают восприятию текста.</t>
  </si>
  <si>
    <t>18477</t>
  </si>
  <si>
    <t>История шпионажа времен второй Мировой войны</t>
  </si>
  <si>
    <t>978-5-9524-5340-1</t>
  </si>
  <si>
    <t>19264</t>
  </si>
  <si>
    <t>Бодров А</t>
  </si>
  <si>
    <t>История эпидемий. От чёрной чумы до COVID­19</t>
  </si>
  <si>
    <t>978-5-227-09187-1</t>
  </si>
  <si>
    <t>8624</t>
  </si>
  <si>
    <t>ВИ РДИБ</t>
  </si>
  <si>
    <t>Медведь</t>
  </si>
  <si>
    <t>История, рассказанная сыну</t>
  </si>
  <si>
    <t>5-323-00040-6</t>
  </si>
  <si>
    <t>18264</t>
  </si>
  <si>
    <t>Источник восхитительной неги</t>
  </si>
  <si>
    <t>978-5-227-08223-7</t>
  </si>
  <si>
    <t>21503</t>
  </si>
  <si>
    <t>Медведев Т.Д.</t>
  </si>
  <si>
    <t>Истребительные батальоны НКВД в период Великой Отечественной войны. Организация, управление, применение. 1941—1945</t>
  </si>
  <si>
    <t>978-5-227-10946-0</t>
  </si>
  <si>
    <t>В книге научного сотрудника Санкт-Петербургского института истории РАН, кандидата исторических наук Т.Д. Медведева рассматривается один из малоизученных аспектов истории Великой Отечественной войны: формирование, комплектование, служебно-боевая деятельность истребительных батальонов НКВД. Явившись примером эффективной советской мобилизационной модели военного времени, в отличие от ополчения, они «пережили» всю войну. Автор анализирует организацию, социальный состав, способы боевого применения истребительных батальонов в различных регионах СССР, уделяя особое внимание ключевым этапам их истории: созданию в первые дни войны; служебно-боевой деятельности в тыловой зоне и использованию в боевых порядках Красной армии в 1941—1942 гг.; несению службы на освобождаемой от врага территории, в том числе, на заключительном этапе войны — в западных регионах СССР.</t>
  </si>
  <si>
    <t>17216</t>
  </si>
  <si>
    <t>Исход</t>
  </si>
  <si>
    <t>978-5-227-07302-0</t>
  </si>
  <si>
    <t>20923</t>
  </si>
  <si>
    <t>Исход Русской Армии генерала Врангеля из Крыма</t>
  </si>
  <si>
    <t>978-5-227-10076-4</t>
  </si>
  <si>
    <t>Книга представляет собой пятнадцатый том из серии, посвященной Белому движению в России, и повествует о последних боях Русской Армии генерала П.Н. Врангеля и ее эвакуации из Крыма и охватывает период с начала сентября по начало ноября 1920 года. Успешные наступательные действия белых захлебнулись, когда большевики, заключившие перемирие с поляками, создали против Русской Армии почти 5-кратный перевес в живой силе, прежде всего в кавалерии. Белые армии были вынуждены отойти сначала за перешеек в Крым, а затем к портам. Эвакуация Русской Армии была проведена Врангелем  безукоризненно, и ныне рассматривается во всех военных учебниках как образцово-классическая. Это были последние рыцари Российской империи, уходившие в изгнание с гордо поднятой головой. «Слава побежденным!» — так говорили им и о них те, кто отдавал себе отчет в драматизме происшедших в России событий._x000D__x000D_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</si>
  <si>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20111</t>
  </si>
  <si>
    <t>Исцеление женственности. Возвращение в любовь</t>
  </si>
  <si>
    <t>978-5-227-09791-0</t>
  </si>
  <si>
    <t>19060</t>
  </si>
  <si>
    <t>Исцеление от изжоги. Лучшие народные рецепты</t>
  </si>
  <si>
    <t>978-5-227-08480-4</t>
  </si>
  <si>
    <t>10808</t>
  </si>
  <si>
    <t>ИМ</t>
  </si>
  <si>
    <t>Пейсли</t>
  </si>
  <si>
    <t>Исцеляющая йога.Лекарство для души после расставания,потери близких или развода.</t>
  </si>
  <si>
    <t>978-5-9524-3765-4</t>
  </si>
  <si>
    <t>20488</t>
  </si>
  <si>
    <t>УС МЕТ</t>
  </si>
  <si>
    <t>Падус Э.</t>
  </si>
  <si>
    <t>Исцеляющая сила мысли. Уникальные современные методики</t>
  </si>
  <si>
    <t>978-5-227-10000-9</t>
  </si>
  <si>
    <t>Книга знакомит с новыми способами определения составляющих психического здоровья человека. Вы сможете вывести индивидуальную формулу своего успеха, основанную на особенностях вашего организма, и убедитесь в том, что в вашей власти изменить собственное самоощущение._x000D_
В вашем распоряжении: рассказ о правильном питании для усиления работы мысли; осознанное использование релаксации; методика сохранения равновесия и уверенности в критических ситуациях; эффективное применение сильных сторон интеллекта…_x000D_
Ищите также другие книги автора: «Исцеляющая сила чувств» и «Исцеляющая сила эмоций». Уверяем вас, что после прочтения всей трилогии (каждая книга которой самостоятельна) ваша жизнь улучшится в три раза быстрее!</t>
  </si>
  <si>
    <t>21167</t>
  </si>
  <si>
    <t>Исцеляющая сила растений. Чудо-травы от всех болезней</t>
  </si>
  <si>
    <t>978-5-227-10594-3</t>
  </si>
  <si>
    <t>Сотни лет умельцы-знахари врачевали больных лечебными травами, и к нашему XXI столетию эти средства уже многократно доказали свою эффективность. Отголоски этого многовекового опыта доносятся даже до тех, кто не разбирается в народной медицине. Едва ли кто-то не слышал о пользе зверобоя, тысячелистника, ромашки, календулы, мать-и-мачехи, цикория, мяты, а ведь это только некоторые из представленных в новой книге Лоры Мелик растений. Каждая статья включает много полезного материала об ареале обитания растения, заготовке, содержащихся в них полезных веществах, применении в официальной и народной медицине, а также противопоказания и рецепты — как лекарств и натуральной косметики, так и вкусных и полезных блюд. С этой книгой свой личный целитель, знающий множество проверенных рецептов, всегда под рукой.</t>
  </si>
  <si>
    <t>20489</t>
  </si>
  <si>
    <t>Исцеляющая сила чувств. Уникальные современные методики</t>
  </si>
  <si>
    <t>978-5-227-09992-1</t>
  </si>
  <si>
    <t>Книга знакомит с новыми способами определения составляющих психического здоровья человека. Вы сможете вывести индивидуальную формулу своего успеха, основанную на особенностях вашего организма, и убедитесь в том, что в вашей власти изменить собственное самоощущение._x000D_
В вашем распоряжении: телесно-душевные техники, ослабляющие боль; практическое руководство по исцелению; методики овладения позитивными чувствами; настрои для стимуляции иммунной системы…_x000D_
Ищите также другие книги автора: «Исцеляющая сила мыслей» и «Исцеляющая сила эмоций». Уверяем вас, что после прочтения всей трилогии (каждая книга которой самостоятельна) ваша жизнь улучшится в три раза быстрее!</t>
  </si>
  <si>
    <t>20411</t>
  </si>
  <si>
    <t>Исцеляющая сила эмоций. Уникальные современные методики</t>
  </si>
  <si>
    <t>978-5-227-09996-9</t>
  </si>
  <si>
    <t>Книга знакомит с новыми способами определения составляющих психического здоровья человека. Вы сможете вывести индивидуальную формулу своего успеха, основанную на особенностях вашего организма, и убедитесь в том, что в вашей власти изменить собственное самоощущение._x000D_
В вашем распоряжении: программа восстановления после профессионального выгорания; методика успешного снижения веса; упражнения для избавления от сильной тревоги; девятнадцать способов проснуться бодрым…_x000D_
Ищите также другие книги автора: «Исцеляющая сила чувств» и «Исцеляющая сила мысли». Уверяем вас, что после прочтения всей трилогии (каждая книга которой самостоятельна) ваша жизнь улучшится в три раза быстрее!</t>
  </si>
  <si>
    <t>19461</t>
  </si>
  <si>
    <t>ХИРОЛОГИЯ</t>
  </si>
  <si>
    <t>Бойцова Г.</t>
  </si>
  <si>
    <t>Исцеляющая хирология. Живой дневник хиролога</t>
  </si>
  <si>
    <t>978-5-227-09249-6</t>
  </si>
  <si>
    <t>19252</t>
  </si>
  <si>
    <t>Исцеляющее питание при вирусах. От гриппа до COVID­19</t>
  </si>
  <si>
    <t>978-5-227-09192-5</t>
  </si>
  <si>
    <t>21417</t>
  </si>
  <si>
    <t>Исцеляющие душу и тело травяные чаи. Магия природы для вашего здоровья</t>
  </si>
  <si>
    <t>978-5-227-10779-4</t>
  </si>
  <si>
    <t>Сейчас, в век технологий, когда нас окружает так много химии, стало как никогда важно уменьшить ее вредное воздействие и укрепить здоровье. Все больше людей сегодня обращаются к многовековому опыту использования целебных, поистине волшебных свойств трав и растительных сборов при лечении огромного количества болезней. В данной книге подобраны эффективные и проверенные как врачебной практикой, так и опытом знахарей рецепты сборов лекарственных трав для использования при многих распространенных заболеваниях. Приведены описания технологии приготовления чаев, настоев, отваров лекарственных растений, а также время их сбора и способы заготовки и хранения. Книга рекомендуется для широкого круга читателей, ценящих собственное здоровье, она будет верным другом и помощником на пути к исцелению от недугов.</t>
  </si>
  <si>
    <t>21483</t>
  </si>
  <si>
    <t>МАГИЯ ДОБРА</t>
  </si>
  <si>
    <t>Незлобина Д.</t>
  </si>
  <si>
    <t>Исцеляющие заговоры и обряды на здоровье. Правила проведения. При эпидемиях. От различных болезней. Для рожениц. Для детей и стариков. Для красоты</t>
  </si>
  <si>
    <t>978-5-9524-6183-3</t>
  </si>
  <si>
    <t>Когда дело касается здоровья, человек хватается за любую возможность его сохранить или поправить. В ход идёт все: традиционная и нетрадиционная медицина, церковные молитвы и, конечно же, обряды и заговоры… Заговор — это заклинание, магические слова, обладающие, по поверью, волшебной или целебной силой. В этой книге собраны заговоры и обряды, которые помогут вам при различных недугах, уменьшат страдания рожениц, оградят от беды во время эпидемий, поддержат стариков, сохранят детей, облегчат боль, защитят от негативного воздействия. Даны правила проведения заговоров и способы снятия их в домашних условиях._x000D_
Заговор — средство, связывающее человека с высшими силами, способными исполнить задуманное._x000D_
Крепкого здоровья вам и вашим близким, исполнения желаний, и пусть они будут только добрыми и позитивными.</t>
  </si>
  <si>
    <t>20512</t>
  </si>
  <si>
    <t>Наполеон</t>
  </si>
  <si>
    <t>Итальянская кампания и экспедиция в Египет и Сирию 1796—1799 гг.: избранные произведения с картами</t>
  </si>
  <si>
    <t>978-5-9524-5857-4</t>
  </si>
  <si>
    <t>В книгу вошли избранные произведения полководца и государственного деятеля Наполеона Бонапарта, посвященные военной кампании на Апеннинском полуострове и походу в Египет. Наполеон, назначенный командующим Итальянской армией, дает подробный и обстоятельный отчет о продвижении войск, главных сражениях кампании, в том числе о боях при Арколе, где им был выказан личный героизм, и битве при Риволи, а также о дипломатических переговорах и заключении мира с Австрией. В данное издание также вошло описание экспедиции в Египет и Сирию в 1798—1799 гг., начавшейся с триумфального захвата Мальты и Александрии, Битвы у пирамид и разгрома войск мамлюков и завершившейся гибелью флота Французской республики в битве при Абукире. Кроме того, в книгу включены очерки военных событий за 1798 и 1799 гг., в которых автор не без восхищения пишет об успехах русской армии под командованием полководца А.В. Суворова, а также извлечения из других произведений Наполеона.</t>
  </si>
  <si>
    <t>19455</t>
  </si>
  <si>
    <t>Рот С.</t>
  </si>
  <si>
    <t>Иудеи в Венецианской республике. Жизнь в условиях изоляции</t>
  </si>
  <si>
    <t>978-5-9524-5474-3</t>
  </si>
  <si>
    <t>6162</t>
  </si>
  <si>
    <t>Зубеева</t>
  </si>
  <si>
    <t>Ишемическая болезнь сердца Профилактика и лечение</t>
  </si>
  <si>
    <t>5-9524-1981-X</t>
  </si>
  <si>
    <t>10807</t>
  </si>
  <si>
    <t>ЙОГА</t>
  </si>
  <si>
    <t>Йога для разбитого сердца.Исцеление души после расставания,потери близких или развода.</t>
  </si>
  <si>
    <t>978-5-9524-3779-1</t>
  </si>
  <si>
    <t>20945</t>
  </si>
  <si>
    <t>ТП МАСТЕР ЙОГИ</t>
  </si>
  <si>
    <t>Сурья Д</t>
  </si>
  <si>
    <t>Йога исцеления себя и судьбы. Практика улыбки</t>
  </si>
  <si>
    <t>978-5-227-08635-8</t>
  </si>
  <si>
    <t>Издание, которое вы держите в руках, — логическое продолжение предыдущей книги автора «Йогатерапия». Простым и понятным языком Сурья Дас знакомит читателей с основами йоги — искусства, в котором он является настоящим мастером и мудрым наставником других практикующих. Сурья рассказывает о ключевых понятиях йоги, которые дополняет рекомендациями по её антистрессовому применению, о побеждающей болезни и беды практике внутренней улыбки, об изготовлении защитных амулетов, о том, как поладить с духами и собственной душой, о практиках не только хатха-йоги, но и свара-йоги, даёт рекомендации по улучшению здоровья, помогает понять, что индивидуально подойдёт именно вам.</t>
  </si>
  <si>
    <t>18490</t>
  </si>
  <si>
    <t>Йога простыми словами. Карта Пути</t>
  </si>
  <si>
    <t>978-5-227-08300-5</t>
  </si>
  <si>
    <t>18581</t>
  </si>
  <si>
    <t>Йога. Духовные практики. Радуга чакр</t>
  </si>
  <si>
    <t>978-5-227-08309-8</t>
  </si>
  <si>
    <t>20603</t>
  </si>
  <si>
    <t>Йогатерапия. Путь к исцелению</t>
  </si>
  <si>
    <t>978-5-227-09982-2</t>
  </si>
  <si>
    <t>Йога — это не просто гимнастика и процедуры, это духовная практика, которая помогает излечить не только тело, но и душу. Йога не лечит болезни сама по себе, но помогает устранить разлад в организме и направить его на путь выздоровления. В своей новой книге Сурья Дас знакомит читателей с плодами своего многолетнего труда, даёт интегральную схему, в которой гармонично сочетаются асаны, пранаямы, очищающие практики, шавасаны и медитации. Всё вместе создаёт реальную и живую комплексную систему, которая помогает поправить здоровье и улучшить качество жизни. Эта книга предназначена для тех, кто уже начал заниматься йогой, подойдёт она и тем, кто уже достиг в ней определённых высот и теперь обучает других. Книга поможет многим понять и почувствовать направление движения по Пути духовного и физического совершенствования.</t>
  </si>
  <si>
    <t>16866</t>
  </si>
  <si>
    <t>Йод.Чудо - микроэлемент на страже вашего здоровья</t>
  </si>
  <si>
    <t>978-5-227-06641-1</t>
  </si>
  <si>
    <t>18333</t>
  </si>
  <si>
    <t>К алтарю по его приказу</t>
  </si>
  <si>
    <t>978-5-227-08326-5</t>
  </si>
  <si>
    <t>18801</t>
  </si>
  <si>
    <t>К алтарю с другим женихом</t>
  </si>
  <si>
    <t>978-5-227-08691-4</t>
  </si>
  <si>
    <t>4677</t>
  </si>
  <si>
    <t>БУЛГАКОВ</t>
  </si>
  <si>
    <t>Булгаков М.А.</t>
  </si>
  <si>
    <t>Кабала святош</t>
  </si>
  <si>
    <t>5-9524-0885-0</t>
  </si>
  <si>
    <t>21631</t>
  </si>
  <si>
    <t>Уэйт А. Э.</t>
  </si>
  <si>
    <t>Каббала</t>
  </si>
  <si>
    <t>978-5-9524-6393-6</t>
  </si>
  <si>
    <t>Артур Эдвард Уэйт — один из лучших английских специалистов в области оккультных наук. Его книга — это всестороннее и богато документированное исследование Каббалы, учения о сокровенной еврейской мистической традиции. В ней рассматриваются основополагающие трактаты «сокровенного предания» Сефер Йецира, Зогар и другие, а также труды выдающихся ученых-раввинов. Немало внимания автор уделяет тому влиянию, которое Каббала оказала на крупнейших представителей христианского мира и на всевозможные направления европейской оккультной мысли.</t>
  </si>
  <si>
    <t>21275</t>
  </si>
  <si>
    <t>Потто В.А</t>
  </si>
  <si>
    <t>Кавказская война. В очерках, эпизодах, легендах и биографиях</t>
  </si>
  <si>
    <t>978-5-227-10616-2</t>
  </si>
  <si>
    <t>Фундаментальный труд выдающегося военного историка, генерала русской армии В.А. Потто охватывает период Кавказской войны с начала XVI века по 1831 год._x000D_
Многие годы автор разыскивал и собирал разрозненные документы и материалы с одной целью — извлечь из забвения и связать в одно стройное повествование драматические и героические события, которые, развиваясь и усиливаясь, определили совершенно особую роль Кавказской войны в нашей истории.</t>
  </si>
  <si>
    <t>17384</t>
  </si>
  <si>
    <t>Иуда Черный, Василий Немирович­Данченко, Илья Анис</t>
  </si>
  <si>
    <t>Кавказские евреи-горцы. Сборник</t>
  </si>
  <si>
    <t>978-5-227-06630-5</t>
  </si>
  <si>
    <t>20838</t>
  </si>
  <si>
    <t>Кадеты и юнкера в Белой борьбе и на чужбине</t>
  </si>
  <si>
    <t>978-5-227-10017-7</t>
  </si>
  <si>
    <t>Книга представляет собой одиннадцатый том серии, посвященной истории Белого движения в России по воспоминаниям его участников. Посвящен он кадетам и юнкерам — самым юным участникам Белой борьбы. Тесно связанная с традициями своих семей и учебных заведений, военная молодежь отличалась высокой степенью патриотизма и непримиримым отношением к большевикам, разрушителям российской государственности. Юнкера и кадеты внесли весомый вклад в Белое дело и сохранение русского воинского духа на чужбине._x000D_
Материалы тома практически неизвестны широкому читателю. Они снабжены уникальным справочным аппаратом, биографическими справками об авторах и героях очерков.</t>
  </si>
  <si>
    <t>10221</t>
  </si>
  <si>
    <t>Каждый умирает в одиночку</t>
  </si>
  <si>
    <t>978-5-9524-3410-3</t>
  </si>
  <si>
    <t>0143</t>
  </si>
  <si>
    <t>978-5-227-06965-8</t>
  </si>
  <si>
    <t>20476</t>
  </si>
  <si>
    <t>Евдокимов Р.Н.</t>
  </si>
  <si>
    <t>Казаки на «захолустном фронте». Казачьи войска России в условиях Закавказского театра Первой мировой войны. 1914—1918 гг.</t>
  </si>
  <si>
    <t>978-5-227-10148-8</t>
  </si>
  <si>
    <t>Книга кандидата исторических наук Р.Н. Евдокимова посвящена одному из тяжелейших периодов в истории казачества, охватившему события Первой мировой войны и начальный этап Великой российской революции. В это время противоречия между традиционным казачьим укладом и складывавшейся новой социальной реальностью не только поставили под сомнение способность казачьих войск успешно выполнять боевые задачи, но и целесообразность существования самих казаков как особого сообщества. Обстоятельства потребовали приступить к глубокой модернизации военного и административного устройства и социально-экономической организации казачества, а также формированию принципиально новых представлений о его месте в государственной и общественной системе России._x000D_
Относительно плавно данная модернизация происходила в условиях Закавказского театра боевых действий, что было связано с его отдаленностью и нахождением там наибольшего количества казачьих частей и соединений, представленных всеми основными родами оружия того времени — пехотой, кавалерией и артиллерией. Это обстоятельство делало Закавказский театр «самым казачьим» на всем пространстве Первой мировой войны.</t>
  </si>
  <si>
    <t>21569</t>
  </si>
  <si>
    <t>Казаки. Донцы, уральцы, кубанцы, терцы. Очерки из истории стародавнего казацкого быта в общедоступном изложении</t>
  </si>
  <si>
    <t>978-5-227-11011-4</t>
  </si>
  <si>
    <t>Одна из наиболее известных в России до революции книг о казаках была написана автором многих наставлений по подготовке рядового и унтер-офицерского состава военным писателем и педагогом Константином Абазой. Книга дважды была напечатана в конце XIX века и не переиздавалась в СССР. Сегодня мы представляем ее современному читателю. Вас ждут рассказы о возникновении казачества на Дону, о славных страницах военных казачьих походов, описание быта казаков, биографии наиболее ярких представителей казацких атаманов, вождей восстаний, героев, прославивших казаков Дона, Урала, Кубани и Терской области. История России во многом определена казаками. Без этой особой силы на окраинах Московского царства ни Сибирь, ни Дальний Восток, ни Кавказ, ни Причерноморье, ни прикаспийские земли не вошли бы в состав России. В книге использованы иллюстрации 2-го издания 1899 г. и рисунки Н.С. Самокиша.</t>
  </si>
  <si>
    <t>21454</t>
  </si>
  <si>
    <t>Крессон У.</t>
  </si>
  <si>
    <t>Казаки. История "вольных людей" от Запорожской Сечи до коммунистической России</t>
  </si>
  <si>
    <t>978-5-9524-6332-5</t>
  </si>
  <si>
    <t>Уникальное исследование этнографа Уильяма Крессона посвящено истории казачества. Опираясь на труды историков, казачьи песни, сказания и легенды, автор рассматривает концепции возникновения этого русскоязычного субэтноса в донских и приднепровских степях, описывает быт, культуру, особенности несения службы в Донском и приграничных войсках. Отдельная глава посвяшена Запорожской Сечи и ее вольнолюбивому братству. Автор мастерски передает историю написания запорожцами письма турецкому султану, послужившую сюжетом для знаменитой картины И. Е. Репина, и приводит само письмо – яркий образчик самобытного казачьего творчества. Повествование дополняют исторические портреты казачьих лидеров: покорителя Сибири Ермака, гетманов Богдана Хмельницкого и Ивана Мазепы, бунтовшика Емельяна Пугачева и героического атамана М. И. Платова. Особый интерес представляют очерки, посвященные казакам приграничья: кубанцам, терцам, гребенцам, астраханцам, уральцам и оренбуржцам.</t>
  </si>
  <si>
    <t>21165</t>
  </si>
  <si>
    <t>Саван Ж.</t>
  </si>
  <si>
    <t>Казаки. Происхождение. Воинские традиции. Государева служба</t>
  </si>
  <si>
    <t>978-5-9524-6144-4</t>
  </si>
  <si>
    <t>Книга французского историка Жана Савана посвящена истории военно-служилого сословия, стоявшего на страже границ Российской империи и у истоков ее государственности. Автор прослеживает многовековой путь казачества от вольных общин до службы в гвардейских полках Русской императорской армии, описывает историю возникновения одиннадцати казачьих войск, принимавших участие в военных кампаниях, покорении Сибири и освоении земель Дальнего Востока. Профессор Саван, опираясь на этнографические исследования, рассказывает об уникальных внешних чертах, характерных для казаков и казачек Области войска Донского, Кавказа, Урала, Забайкалья и других мест расселения, о традициях и обычаях вольных людей, сохранявших не только память о военной славе, но и самобытное творческое наследие.</t>
  </si>
  <si>
    <t>20042</t>
  </si>
  <si>
    <t>Казачество и власть накануне Великих реформ Александра II. Конец 1850­х — начало 1860­х гг.</t>
  </si>
  <si>
    <t>978-5-227-09804-7</t>
  </si>
  <si>
    <t>18058</t>
  </si>
  <si>
    <t>Казин В.Х. Шенк В.К.</t>
  </si>
  <si>
    <t>Казачьи войска</t>
  </si>
  <si>
    <t>978-5-227-07832-2</t>
  </si>
  <si>
    <t>16640</t>
  </si>
  <si>
    <t>Казино "Бон Шанс"</t>
  </si>
  <si>
    <t>978-5-227-06544-5</t>
  </si>
  <si>
    <t>17136</t>
  </si>
  <si>
    <t>Бирман А.</t>
  </si>
  <si>
    <t>Казино изнутри. Игорный бизнес Москвы. От расцвета до заката. 1991-2009гг.</t>
  </si>
  <si>
    <t>978-5-227-06605-3</t>
  </si>
  <si>
    <t>21337</t>
  </si>
  <si>
    <t>Казнь короля Карла I. Жертва Великого мятежа: суд над монархом и его смерть. 1647–1649</t>
  </si>
  <si>
    <t>978-5-9524-6171-0</t>
  </si>
  <si>
    <t>Настоящая книга английского историка С.В. Веджвуд о завершении правления Карла I повествует о самых драматических событиях в истории Англии XVII века — о судебном процессе над королем и его казни, последовавшими в результате захвата власти пуританской армией под командованием Оливера Кромвеля. Автор показывает противостояние королевской и парламентской властей на суде, политическое столкновение монаршей фанатической убежденности в своей правоте и борьбы мятежников за английский народ, что для восстановления мира на Британских островах привело к единственному решению — отрубить Карлу голову.</t>
  </si>
  <si>
    <t>20994</t>
  </si>
  <si>
    <t>Бальфур Майкл</t>
  </si>
  <si>
    <t>Кайзер Вильгельм и его время. Последний германский император — символ поражения в Первой мировой войне</t>
  </si>
  <si>
    <t>978-5-9524-5731-7</t>
  </si>
  <si>
    <t>Известный английский историк Майкл Бальфур анализирует социальные, конституционные и экономические силы, действовавшие в имперской Германии. Автор рассматривает сложную, противоречивую фигуру кайзера, занимавшего центральное положение в течение трех десятилетий до 1918 г., в контексте его семейной истории и истории Германии. Демонстрируя блестящее знание жизни Германии эпохи Вильгельма II, Бальфур живо, ярко и стильно описывает события, происходящие в Европе в начале XX в. В книге цитируются различные документы, воспоминания, письма, дневники; приведены курьезные истории и случаи, позволяющие взглянуть на главных персонажей с неожиданного ракурса.</t>
  </si>
  <si>
    <t>7981</t>
  </si>
  <si>
    <t>ЧК</t>
  </si>
  <si>
    <t>Харрис</t>
  </si>
  <si>
    <t>Как братец кролик победил слона</t>
  </si>
  <si>
    <t>978-5-9524-2777-8</t>
  </si>
  <si>
    <t>16022</t>
  </si>
  <si>
    <t>Как Брежнев сменил Хрущева. Тайная история дворцового переворота</t>
  </si>
  <si>
    <t>978-5-227-05968-0</t>
  </si>
  <si>
    <t>18383</t>
  </si>
  <si>
    <t>Как быстро закончилась ночь</t>
  </si>
  <si>
    <t>978-5-227-08362-3</t>
  </si>
  <si>
    <t>20164</t>
  </si>
  <si>
    <t>Как быть, а не казаться. Викторина жизни в вопросах и ответах</t>
  </si>
  <si>
    <t>978-5-227-09775-0</t>
  </si>
  <si>
    <t>13899</t>
  </si>
  <si>
    <t>978-5-227-03940-8</t>
  </si>
  <si>
    <t>13777</t>
  </si>
  <si>
    <t>Как в кино</t>
  </si>
  <si>
    <t>978-5-227-03893-7</t>
  </si>
  <si>
    <t>16053</t>
  </si>
  <si>
    <t>Деноски К.</t>
  </si>
  <si>
    <t>Как в первый раз</t>
  </si>
  <si>
    <t>978-5-227-06064-8</t>
  </si>
  <si>
    <t>18210</t>
  </si>
  <si>
    <t>Как в СССР принимали высоких гостей</t>
  </si>
  <si>
    <t>978-5-227-08301-2</t>
  </si>
  <si>
    <t>4926</t>
  </si>
  <si>
    <t>Павлова Инна</t>
  </si>
  <si>
    <t>Как важно быть красоткой</t>
  </si>
  <si>
    <t>5-9524-1099-5</t>
  </si>
  <si>
    <t>7554</t>
  </si>
  <si>
    <t>17043</t>
  </si>
  <si>
    <t>Кенни Р.</t>
  </si>
  <si>
    <t>Как важно доверять попутчику</t>
  </si>
  <si>
    <t>978-5-227-07105-7</t>
  </si>
  <si>
    <t>4384</t>
  </si>
  <si>
    <t>Игнатьев</t>
  </si>
  <si>
    <t>Как выжить в большом городе</t>
  </si>
  <si>
    <t>5-9524-0670-X</t>
  </si>
  <si>
    <t>2943</t>
  </si>
  <si>
    <t>Калинина Н.</t>
  </si>
  <si>
    <t>Как выйти замуж</t>
  </si>
  <si>
    <t>5-227-01414-0</t>
  </si>
  <si>
    <t>17438</t>
  </si>
  <si>
    <t>Как долго молчало сердце</t>
  </si>
  <si>
    <t>978-5-227-07453-9</t>
  </si>
  <si>
    <t>18932</t>
  </si>
  <si>
    <t>Мартин Л.</t>
  </si>
  <si>
    <t>Как завоевать шейха</t>
  </si>
  <si>
    <t>978-5-227-08830-7</t>
  </si>
  <si>
    <t>21771</t>
  </si>
  <si>
    <t>МП Т</t>
  </si>
  <si>
    <t>Шинн Ф.</t>
  </si>
  <si>
    <t>Как изменить свою жизнь за семь дней</t>
  </si>
  <si>
    <t>978-5-227-11126-5</t>
  </si>
  <si>
    <t>Автор книги, известная на Западе писательница Флоренс Шинн, утверждает: жизнь — игра, и от нас самих зависит, сумеем ли мы в ней преуспеть. Наши мечты влияют на воображение. То, о чем мы молим, глубоко отпечатывается в душе. Эти образы рано или поздно обретают плоть и кровь. Мы встречаемся со своими проекциями, но не узнаем их; негодуем, боремся и ропщем, забывая о главном.  А между тем можем вернуть любимого, получить крупную сумму денег и приобрести неограниченное влияние, надо лишь знать правила, по которым следует играть._x000D_
В книгу вошло четыре произведения Флоренс Шинн: «Игра жизни и как в нее играть», «Ваше слово — волшебная палочка», «Потайная дверь к успеху», «Сила изреченного слова».</t>
  </si>
  <si>
    <t>11825</t>
  </si>
  <si>
    <t>ВИ+</t>
  </si>
  <si>
    <t>Ерофеева Л.Г.</t>
  </si>
  <si>
    <t>Как измерить и повысить свой IQ. Лучшие тесты для детей и взрослых</t>
  </si>
  <si>
    <t>978-5-227-01989-9</t>
  </si>
  <si>
    <t>15924</t>
  </si>
  <si>
    <t>Как легко обрести любовь 4 эффективных шага</t>
  </si>
  <si>
    <t>978-5-227-05578-1</t>
  </si>
  <si>
    <t>18671</t>
  </si>
  <si>
    <t>Дзасохов А.</t>
  </si>
  <si>
    <t>Как много событий вмещает жизнь</t>
  </si>
  <si>
    <t>978-5-227-07902-2</t>
  </si>
  <si>
    <t>11272</t>
  </si>
  <si>
    <t>Как назвать вашего ребенка. Выбирая имя-выбираем судьбу</t>
  </si>
  <si>
    <t>978-5-9524-4369-3</t>
  </si>
  <si>
    <t>4195</t>
  </si>
  <si>
    <t>ПОМОГИ</t>
  </si>
  <si>
    <t>Луговский</t>
  </si>
  <si>
    <t>Как найти себе идеального партнера</t>
  </si>
  <si>
    <t>5-9524-0560-6</t>
  </si>
  <si>
    <t>5159</t>
  </si>
  <si>
    <t>Красавина</t>
  </si>
  <si>
    <t>Как не остаться одинокой</t>
  </si>
  <si>
    <t>5-9524-1218-1</t>
  </si>
  <si>
    <t>6179</t>
  </si>
  <si>
    <t>Шер</t>
  </si>
  <si>
    <t>Как никогда не выйти замуж</t>
  </si>
  <si>
    <t>5-9524-2014-1</t>
  </si>
  <si>
    <t>16936</t>
  </si>
  <si>
    <t>Как обрести женскую силу</t>
  </si>
  <si>
    <t>978-5-227-06656-5</t>
  </si>
  <si>
    <t>14682</t>
  </si>
  <si>
    <t>Гумессон Э.</t>
  </si>
  <si>
    <t>Как общаться с пользой и получать от этого удовольствие</t>
  </si>
  <si>
    <t>978-5-227-04508-9</t>
  </si>
  <si>
    <t>16137</t>
  </si>
  <si>
    <t>Как организовали "внезапное" нападение 22 июня 1941. Заговор Сталина. Причины и следствия</t>
  </si>
  <si>
    <t>978-5-227-05751-8</t>
  </si>
  <si>
    <t>16731</t>
  </si>
  <si>
    <t>Как остановить старение и стать моложе. Результат за 17 дней</t>
  </si>
  <si>
    <t>978-5-227-06766-1</t>
  </si>
  <si>
    <t>21747</t>
  </si>
  <si>
    <t>Дежан Д.</t>
  </si>
  <si>
    <t>Как Париж стал Парижем. История создания самого притягательного города в мире</t>
  </si>
  <si>
    <t>978-5-9524-6472-8</t>
  </si>
  <si>
    <t>В начале ХVII века Париж, как и другие европейские столицы, находился в оковах средневекового прошлого, но всего за сто лет он превратился в тот легендарный, прекрасный и волнующий город, который мы знаем сегодня. За прошедшие столетия Париж претерпел много изменений, избавился от крепостных стен, стал первым городом, который приглашал гостей, а не закрывался от них. Именно в Париже появились первые бульвары и публичные сады, тротуары и удобные для променада мосты. Парижане первыми оценили достоинства общественного транспорта и уличного освещения. Самый романтичный город на свете, столица моды и красоты, высокой кухни и развлечений на любой вкус — Париж, как и прежде, продолжает манить людей со всего света. В чем же загадка его притягательности?</t>
  </si>
  <si>
    <t>12812</t>
  </si>
  <si>
    <t>МЗС</t>
  </si>
  <si>
    <t>Миркин В.</t>
  </si>
  <si>
    <t>Как победить себя и стать лучше</t>
  </si>
  <si>
    <t>978-5-227-02925-6</t>
  </si>
  <si>
    <t>6158</t>
  </si>
  <si>
    <t>Александрова</t>
  </si>
  <si>
    <t>Как победить стресс Профилактика и методы лечения</t>
  </si>
  <si>
    <t>5-9524-1983-6</t>
  </si>
  <si>
    <t>21723</t>
  </si>
  <si>
    <t>Как понять свои сны. Влияния Дня Рождения в магии. Значение родинок. Разница между чёрной и белой ма</t>
  </si>
  <si>
    <t>978-5-227-11105-0</t>
  </si>
  <si>
    <t>"Перед вами пятая книга серии «Магия в вопросах и ответах», и каждая из них поможет читателю узнать что-то сокровенное.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
В этой книге мы поговорим о том, что День Рождения — не просто переход с одного возрастного уровня на другой. Это единственный день, когда можно без избыточных магических усилий приблизиться к тому уровню памяти, с которым человек в этот мир пришёл. А приблизившись, вспомнить — зачем?
Получим информацию о том, что означают родинки на теле человека. Узнаем, чем чёрная магия отличается от белой и есть ли вообще между ними разница. И конечно, подробно разберём тему сновидений.
Сны… Что это? Случайные картинки и сюжеты, всплывающие из уставшего за день мозга, или реальные прогулки в астральном пространстве, в процессе которых можно проникнуть в такие миры, куда наяву человеческий разум может забрести только в грёзах…"</t>
  </si>
  <si>
    <t>11013</t>
  </si>
  <si>
    <t>Как похудеть за месяц на десять килограммов</t>
  </si>
  <si>
    <t>978-5-9524-4184-2</t>
  </si>
  <si>
    <t>19495</t>
  </si>
  <si>
    <t>Гранд В.</t>
  </si>
  <si>
    <t>Как приручить виверну</t>
  </si>
  <si>
    <t>978-5-227-09390-5</t>
  </si>
  <si>
    <t>17710</t>
  </si>
  <si>
    <t>Как приручить гения</t>
  </si>
  <si>
    <t>978-5-227-07706-6</t>
  </si>
  <si>
    <t>2670</t>
  </si>
  <si>
    <t>Риджуэй</t>
  </si>
  <si>
    <t>Как сделать и запустить воздушного змея</t>
  </si>
  <si>
    <t>5-227-00859-0</t>
  </si>
  <si>
    <t>16341</t>
  </si>
  <si>
    <t>Как стать принцессой</t>
  </si>
  <si>
    <t>978-5-227-06194-2</t>
  </si>
  <si>
    <t>8751</t>
  </si>
  <si>
    <t>Куровский Владимир Витальевич</t>
  </si>
  <si>
    <t>Как счастливо родить и воспитать дочь</t>
  </si>
  <si>
    <t>978-5-9524-3059-4</t>
  </si>
  <si>
    <t>5904</t>
  </si>
  <si>
    <t>Как то хвастался петух</t>
  </si>
  <si>
    <t>5-9524-1423-0</t>
  </si>
  <si>
    <t>14719</t>
  </si>
  <si>
    <t>Как удачно согрешить</t>
  </si>
  <si>
    <t>978-5-227-04694-9</t>
  </si>
  <si>
    <t>12731</t>
  </si>
  <si>
    <t>ROMANCE</t>
  </si>
  <si>
    <t>Как укротить леди</t>
  </si>
  <si>
    <t>978-5-227-02676-7</t>
  </si>
  <si>
    <t>21173</t>
  </si>
  <si>
    <t>Марш Э.</t>
  </si>
  <si>
    <t>Как укротить плейбоя</t>
  </si>
  <si>
    <t>978-5-227-10508-0</t>
  </si>
  <si>
    <t>Известный актер Деклан, красавчик и плейбой, вынужден отправиться в парусную регату в паре с Шарлоттой, скромной девушкой из респектабельной семьи. Главный приз — возможность управлять семейным бизнесом, ведь приемный отец Деклана не верит в то, что сын может быть серьезным и ответственным. Шарлотте же нужны деньги для собственного благотворительного фонда. Взаимодействовать друг с другом для них обоих — настоящее испытание. Но в один момент все меняется…</t>
  </si>
  <si>
    <t>17785</t>
  </si>
  <si>
    <t>Как укротить сердцеедку</t>
  </si>
  <si>
    <t>978-5-227-07727-1</t>
  </si>
  <si>
    <t>20681</t>
  </si>
  <si>
    <t>ЛИРИКА</t>
  </si>
  <si>
    <t>Есенин С.А</t>
  </si>
  <si>
    <t>Как умеет любить хулиган…</t>
  </si>
  <si>
    <t>978-5-227-10340-6</t>
  </si>
  <si>
    <t>«Сергей Есенин не столько человек, сколько орган, созданный природой исключительно для поэзии, для выражения неисчерпаемой „печали полей“, любви ко всему живому в мире и милосердия, которое — более всего иного — заслужено человеком», — писал Максим Горький о прекрасном русском поэте, сборник произведений которого мы предлагаем вам сегодня. Читайте неповторимую любовную лирику Есенина, ведь она занимает особое место в его поэзии. За недолгие тридцать лет жизни автор создал великие произведения, которые вошли в жизнь каждого человека, любящего прекрасное…</t>
  </si>
  <si>
    <t>16569</t>
  </si>
  <si>
    <t>Кравченко Л.П</t>
  </si>
  <si>
    <t>Как я был телевизионным камикадзе</t>
  </si>
  <si>
    <t>978-5-227-05796-9</t>
  </si>
  <si>
    <t>17217</t>
  </si>
  <si>
    <t>Книги по искусству</t>
  </si>
  <si>
    <t>Боровский А.Д.</t>
  </si>
  <si>
    <t>Как-то раз Зевксис с Паррасием… Современное искусство: практические наблюдения</t>
  </si>
  <si>
    <t>978-5-227-07198-9</t>
  </si>
  <si>
    <t>16728</t>
  </si>
  <si>
    <t>УЧАСТОК У ДАЧИ</t>
  </si>
  <si>
    <t>Календарь садовода и огородника</t>
  </si>
  <si>
    <t>978-5-227-06694-7</t>
  </si>
  <si>
    <t>12046</t>
  </si>
  <si>
    <t>Календарь умного садовода и огородника</t>
  </si>
  <si>
    <t>978-5-227-02218-9</t>
  </si>
  <si>
    <t>10374</t>
  </si>
  <si>
    <t>978-5-9524-3550-6</t>
  </si>
  <si>
    <t>21760</t>
  </si>
  <si>
    <t>Клейтон Ю.</t>
  </si>
  <si>
    <t>Каллиграфия и письменность. Зарождение и развитие от первых букв к цифровым технологиям</t>
  </si>
  <si>
    <t>978-5-9524-6424-7</t>
  </si>
  <si>
    <t>Профессор Юан Клейтон рассматривает историю письменности как историю человеческой цивилизации: приоткрывает историю появления алфавита, прослеживает переход от папирусных свитков к пергаментным книгам, знакомит с историей изобретения первого печатного станка, а также анализирует разнообразные стили начертания букв и делится методами совершенствования почерка. В качестве эксперта по каллиграфии автор участвовал в разработке графического интерфейса первых ЭВМ корпорации Xerox PARC. Гармоничные, выразительные, легкие для восприятия шрифты, созданные при участии Юана Клейтона, были использованы разработчиками персональных компьютеров Apple Inc. Будучи не только искусным каллиграфом, но и специалистом в области высоких технологий, Клейтон прослеживает эволюцию печатного слова от изобретения наборного шрифта Иоганном Гутенбергом до эпохи цифровых медиа, когда каллиграфия из сугубо прикладной дисциплины преобразовывается в вид искусства.</t>
  </si>
  <si>
    <t>16408</t>
  </si>
  <si>
    <t>Трусов Ю.С.</t>
  </si>
  <si>
    <t>Каменное море</t>
  </si>
  <si>
    <t>978-5-227-05763-1</t>
  </si>
  <si>
    <t>11432</t>
  </si>
  <si>
    <t>Булах А.</t>
  </si>
  <si>
    <t>Каменное убранство Санкт-Петербурга</t>
  </si>
  <si>
    <t>978-5-9524-4511-6</t>
  </si>
  <si>
    <t>7742</t>
  </si>
  <si>
    <t>Мура Мур</t>
  </si>
  <si>
    <t>Камни и жемчуг</t>
  </si>
  <si>
    <t>978-5-9524-2641-2</t>
  </si>
  <si>
    <t>20355</t>
  </si>
  <si>
    <t>Абсхаген К. Х.</t>
  </si>
  <si>
    <t>Канарис. Руководитель военной разведки вермахта. 1935—1945 гг.</t>
  </si>
  <si>
    <t>978-5-9524-5811-6</t>
  </si>
  <si>
    <t>Среди многочисленных публикаций, посвященных адмиралу Вильгельму Канарису, книга немецкого историка К.Х. Абсхагена выделяется попыткой понять и объективно воспроизвести личность и образ жизни руководителя военной разведки вермахта и одновременно видного участника немецкого Сопротивления._x000D_
Книга вводит в обширный круг общения руководителя абвера, приоткрывает малоизвестные страницы истории Европы 30—40­х годов двадцатого века.</t>
  </si>
  <si>
    <t>15458</t>
  </si>
  <si>
    <t>Джордж Л.</t>
  </si>
  <si>
    <t>Кандидат на ее сердце</t>
  </si>
  <si>
    <t>978-5-227-05458-6</t>
  </si>
  <si>
    <t>20437</t>
  </si>
  <si>
    <t>Джексон Б.</t>
  </si>
  <si>
    <t>Каникулы для двоих</t>
  </si>
  <si>
    <t>978-5-227-10124-2</t>
  </si>
  <si>
    <t>После предательства бойфренда актриса Пейдж Новак отправляется в гости к своим родственникам на виноградники в долине Напа. Ей нужно скрыться от назойливой прессы и отдохнуть после съемок. Неожиданно туда приезжает ее знакомый Джесс Аутло и предлагает ей притвориться, будто у них страстный роман, чтобы отомстить ее бывшему возлюбленному. Пейдж, которой всегда нравился Джесс, соглашается, и в какой-то момент их игра перестает быть игрой.</t>
  </si>
  <si>
    <t>5612</t>
  </si>
  <si>
    <t>Рейнолдс Л.</t>
  </si>
  <si>
    <t>Канонерка 658 Боевые операции боевых кораблей</t>
  </si>
  <si>
    <t>5-9524-1572-5</t>
  </si>
  <si>
    <t>18012</t>
  </si>
  <si>
    <t>М ЛОУРЕНС НОВ</t>
  </si>
  <si>
    <t>Капитан "Корсара"</t>
  </si>
  <si>
    <t>978-5-227-08104-9</t>
  </si>
  <si>
    <t>18659</t>
  </si>
  <si>
    <t>Капитан для Меган</t>
  </si>
  <si>
    <t>978-5-227-08600-6</t>
  </si>
  <si>
    <t>19963</t>
  </si>
  <si>
    <t>Капитуляция</t>
  </si>
  <si>
    <t>978-5-227-09624-1</t>
  </si>
  <si>
    <t>18549</t>
  </si>
  <si>
    <t>Капитуляция в брачную ночь</t>
  </si>
  <si>
    <t>978-5-227-08436-1</t>
  </si>
  <si>
    <t>21568</t>
  </si>
  <si>
    <t>Штайнерт М.</t>
  </si>
  <si>
    <t>Капитуляция Германии. Крах режима гроссадмирала Дёница. 1945</t>
  </si>
  <si>
    <t>978-5-9524-6352-3</t>
  </si>
  <si>
    <t>К весне 1945 года стало очевидно, что гибель Третьего рейха неминуема. Массы беженцев хлынули с востока на запад Германии. Бомбардировки союзников превращали города в руины и пепел, число жертв среди гражданского населения достигло 600 000. Ситуация внутри страны сложилась катастрофическая. Линии сообщения почти полностью перестали действовать, перевозки грузов упали до минимума, три четверти промышленных мощностей было уничтожено. Повсюду царило разочарование и отчаяние. С момента советского наступления никто в Германии уже не представлял себе, как можно победить или даже мечтать о победе в этой войне…_x000D_
На основе документальных материалов известный военный историк Марлиз Штайнерт анализирует процесс стремительного падения Третьего рейха, действия, надежды и мысли политических и военных лидеров, обслуживающих режим, в котором так странно сочетались уродливый идеализм и непомерные имперские амбиции.</t>
  </si>
  <si>
    <t>20771</t>
  </si>
  <si>
    <t>Брукс Л.</t>
  </si>
  <si>
    <t>Капитуляция Японии во Второй мировой войне. За кулисами тайного заговора</t>
  </si>
  <si>
    <t>978-5-9524-5921-2</t>
  </si>
  <si>
    <t>Книга историка и дипломата Лестера Брукса посвящена драматическим событиям августа 1945 года, предшествовавшим капитуляции Японии. Опираясь на перехваченные донесения разведки, протоколы допросов военных преступников, материалы Токийского процесса и воспоминания участников событий, автор всесторонне анализирует и документирует внутриполитический конфликт, обострившийся после уничтожения Хиросимы. В своем исследовании Брукс указывает на то, что самурайский менталитет военных элит, нежелание отступать и стремление сражаться до последнего солдата привели к сокрушительному поражению Японии во Второй мировой войне и краху империи.</t>
  </si>
  <si>
    <t>16881</t>
  </si>
  <si>
    <t>Капкан для одиноких сердец</t>
  </si>
  <si>
    <t>978-5-227-06825-5</t>
  </si>
  <si>
    <t>19386</t>
  </si>
  <si>
    <t>Обухова О.Н.</t>
  </si>
  <si>
    <t>Капкан из серебра с эмалью</t>
  </si>
  <si>
    <t>978-5-227-09226-7</t>
  </si>
  <si>
    <t>21222</t>
  </si>
  <si>
    <t>Карл Великий. Основатель империи Каролингов</t>
  </si>
  <si>
    <t>978-5-9524-6158-1</t>
  </si>
  <si>
    <t>В книге повествуется о начале нового периода мировой истории, ознаменованного победоносным шествием короля франков, ласково прозванного Шарлеманем. Впоследствии победитель лангобардов и саксов, покоритель сарацин, тот, кому верно служили Роланд Бретонский и Гильом Тулузский — легендарные рыцари франков, — стал императором всех христиан Карлом Великим.</t>
  </si>
  <si>
    <t>20398</t>
  </si>
  <si>
    <t>Меринг Ф.</t>
  </si>
  <si>
    <t>Карл Маркс. История жизни</t>
  </si>
  <si>
    <t>978-5-227-10145-7</t>
  </si>
  <si>
    <t>В одном из крупных научных трудов Франца Меринга, первого научного биографа К. Маркса и видного деятеля германского и международного рабочего движения, дана биография основоположника коммунистического движения Карла Маркса и изложена история его разработки совместно с соратником и другом Ф. Энгельсом пролетарского мировоззрения. В книге нашла отражение и история создания и деятельности I Интернационала, вдохновителем и идейным руководителем которого был Маркс.</t>
  </si>
  <si>
    <t>21510</t>
  </si>
  <si>
    <t>Сверхсознание</t>
  </si>
  <si>
    <t>Карма — закон причины и следствия. Как переписать свою судьбу</t>
  </si>
  <si>
    <t>978-5-227-10895-1</t>
  </si>
  <si>
    <t>Книга посвящена работе с таким сложным и неоднозначным разделом человеческого сознания, как Сверхсознание. Это неисследованная область разума, контакт с которой долгое время был исключительно в ведении религии. Но те, кто ищет иных знаний, кого не удовлетворяют догмы и заповеди, никогда не согласятся с тем, что они не имеют права что-то знать и понимать. Эта книга для тех, кто ищет!_x000D_
На ее страницах мы попробуем разобраться с таким непростым понятием, как судьба и карма. Существует ли судьба? Действительно ли в жизни человека всегда все предопределено? Что такое карма? Как проявляет себя провидение? И вообще, стоит ли при всех этих предпосылках человеку в принципе что-то пытаться делать или все бессмысленно?_x000D_
Нет, не бессмысленно! Переписать судьбу можно! Это долгий и непростой труд, и выполнить его правильно сможет только тот, кто все, что описано в этой книге, поймет и сделает практическую работу по освобождению линии своей жизни. Поверьте, результаты того стоят. Согласитесь, что между существованием и жизнью все-таки есть разница. Жизнь — это тяга к свободе. Для тех, кто предпочитает жить, и написана эта книга.</t>
  </si>
  <si>
    <t>12755</t>
  </si>
  <si>
    <t>ШС М</t>
  </si>
  <si>
    <t>Шпаковский В.Ф.</t>
  </si>
  <si>
    <t>Карманный англо-русский словарь</t>
  </si>
  <si>
    <t>978-5-227-02792-4</t>
  </si>
  <si>
    <t>60х84 1/32</t>
  </si>
  <si>
    <t>13177</t>
  </si>
  <si>
    <t>978-5-227-03235-5</t>
  </si>
  <si>
    <t>13791</t>
  </si>
  <si>
    <t>14885</t>
  </si>
  <si>
    <t>Карманный англо-русский словарь. 6000 слов и словосочетаний</t>
  </si>
  <si>
    <t>978-5-227-04812-7</t>
  </si>
  <si>
    <t>13978</t>
  </si>
  <si>
    <t>Карманный русско-английский словарь</t>
  </si>
  <si>
    <t>978-5-227-03395-6</t>
  </si>
  <si>
    <t>10189</t>
  </si>
  <si>
    <t>ПП</t>
  </si>
  <si>
    <t>Карму в нокаут или превращения Му - Му</t>
  </si>
  <si>
    <t>978-5-9524-3337-3</t>
  </si>
  <si>
    <t>19612</t>
  </si>
  <si>
    <t>НОВАЯ Я</t>
  </si>
  <si>
    <t>Силуянова Л.</t>
  </si>
  <si>
    <t>Карнавал. V.Plans. Женский планировщик. Новая Я. (Вид 8)</t>
  </si>
  <si>
    <t>978-5-227-09380-6</t>
  </si>
  <si>
    <t>16395</t>
  </si>
  <si>
    <t>Карта рая</t>
  </si>
  <si>
    <t>978-5-227-06284-0</t>
  </si>
  <si>
    <t>21623</t>
  </si>
  <si>
    <t>Боткин П.С.</t>
  </si>
  <si>
    <t>Картинки дипломатической жизни. Воспоминания сотрудника миссии Российской империи в Вашингтоне, Брюс</t>
  </si>
  <si>
    <t>978-5-227-11040-4</t>
  </si>
  <si>
    <t>Петр Сергеевич Боткин начал свою карьеру в 1890 г. с должности младшего секретаря русской дипломатической миссии в Вашингтоне под руководством К.В. Струве. После пяти лет службы в США трудился в Софии, Лиссабоне, Брюсселе, Лондоне, Марокко, Португалии, в 1914 г. его кандидатура, тогда уже камергера, действительного статского советника рассматривалась на пост министра иностранных дел России. Воспоминания Боткина — это  рассказ о жизни автора: счастливом детстве в доме отца, знаменитого русского врача; о первых шагах на дипломатической службе в России и о работе в Америке. Он описывает события, очевидцем или участником которых явился, о прелестях и сложностях дипломатической службы, о людях, с которыми работал и встречался.</t>
  </si>
  <si>
    <t>21521</t>
  </si>
  <si>
    <t>Картины светской жизни Москвы, Петербурга, Парижа, Брюсселя, Вильно, Вены. Первая половина XIX века. Балы, приемы, гулянья, маскарады</t>
  </si>
  <si>
    <t>978-5-9524-6185-7</t>
  </si>
  <si>
    <t>В последнее время в России необычайно возрос интерес к истории русских балов. Книга доктора исторических наук, профессора О.Ю. Захаровой продолжает знакомить читателей с историей бальной культуры России. На сей раз автор подробно рассматривает культуру первой половины XIX столетия._x000D_
Танцевальный вечер — это не простое развлечение, а регламентированный ритуал, где важна каждая деталь, начиная от манер поведения и заканчивая костюмом. На балах вершились судьбы народа, создавалось общественное мнение. Автор показывает специфику русского бала, его сложную, противоречивую природу. _x000D_
В книге представлены программы балов первой половины XIX века, правила хорошего тона, а уникальные ноты и ценные фотографии, многие из которых публикуются впервые, дополняют и украшают издание.</t>
  </si>
  <si>
    <t>21586</t>
  </si>
  <si>
    <t>КАРТЫ</t>
  </si>
  <si>
    <t>Арнольд П.</t>
  </si>
  <si>
    <t>Карточные игры и пасьянсы для одного игрока. Лучшая коллекция</t>
  </si>
  <si>
    <t>978-5-9524-6381-3</t>
  </si>
  <si>
    <t>В книгу включено свыше пятидесяти наиболее интригующих и популярных в мире пасьянсов и игр, рассчитанных на одного игрока. Описания игр следуют по мере возрастания сложности, что упрощает процесс освоения мастерством. Все описания снабжены четкими рекомендациями, объяснениями правил, тактики и терминологии каждой игры.</t>
  </si>
  <si>
    <t>21674</t>
  </si>
  <si>
    <t>Пикар Ж.Ш., Пикар К.</t>
  </si>
  <si>
    <t>Карфаген. Летопись легендарного города-государства с основания до гибели</t>
  </si>
  <si>
    <t>978-5-9524-6431-5</t>
  </si>
  <si>
    <t>Карфаген – самое загадочное и малоизученное государство Древнего мира. Французские историки Ж.Ш. Пикар и К. Пикар на страницах своей книги воссоздают семивековую историю легендарного города-государства, основанного финикийцами на Африканской земле, опираясь на греческие и римские источники, а также на научные данные, полученные ими в археологических экспедициях. Авторы описывают культуру, религию, политический строй, торговые связи и взаимоотношения Карфагена с другими странами, рассказывают, как в течение веков небольшая финикийская колония богатела и расширялась, захватывая все новые и новые территории, пока не превратилась в грозную соперницу Рима. В последних главах историки освещают военные кампании Ганнибала, одного из величайших полководцев древности, и завершают свою книгу описанием разгрома и гибели Карфагена.</t>
  </si>
  <si>
    <t>21435</t>
  </si>
  <si>
    <t>Леки Р.</t>
  </si>
  <si>
    <t>Каска вместо подушки. Воспоминания морского пехотинца США о войне на Тихом океане</t>
  </si>
  <si>
    <t>978-5-9524-6237-3</t>
  </si>
  <si>
    <t>Роберт Леки, один из самых известных американских военных историков, в январе 1942 года вступил в Корпус Морской пехоты добровольцем. Он вспоминает, как вместе с другими новобранцами они защищали интересы США в Тихом океане. И все же эта книга не только об ужасах войны. Уморительные байки морпехов, в промежутках между боями рассказы о любовных приключениях в Австралии делают повествование запоминающимся и ярким.</t>
  </si>
  <si>
    <t>19679</t>
  </si>
  <si>
    <t>Кассандра пила массандру</t>
  </si>
  <si>
    <t>978-5-227-09410-0</t>
  </si>
  <si>
    <t>18427</t>
  </si>
  <si>
    <t>Кастинг на лучшую золушку</t>
  </si>
  <si>
    <t>978-5-227-08382-1</t>
  </si>
  <si>
    <t>17602</t>
  </si>
  <si>
    <t>Кастинг на лучшую любовницу</t>
  </si>
  <si>
    <t>978-5-227-07620-5</t>
  </si>
  <si>
    <t>5443</t>
  </si>
  <si>
    <t>Каталог коллекции RUSSICA т.1</t>
  </si>
  <si>
    <t>5-9524-1168-1</t>
  </si>
  <si>
    <t>5444</t>
  </si>
  <si>
    <t>Каталог коллекции RUSSICA т.2</t>
  </si>
  <si>
    <t>5-9524-1169-X</t>
  </si>
  <si>
    <t>4729</t>
  </si>
  <si>
    <t>Обольянинов</t>
  </si>
  <si>
    <t>Каталогъ русскихъ иллюстрированныхъ изданий т.1</t>
  </si>
  <si>
    <t>5-9524-0816-8</t>
  </si>
  <si>
    <t>4730</t>
  </si>
  <si>
    <t>Каталогъ русскихъ иллюстрированныхъ изданий т.2</t>
  </si>
  <si>
    <t>5-9524-0890-7</t>
  </si>
  <si>
    <t>19238</t>
  </si>
  <si>
    <t>Катастрофа. Бунин. Роковые годы</t>
  </si>
  <si>
    <t>978-5-227-07915-2</t>
  </si>
  <si>
    <t>4736</t>
  </si>
  <si>
    <t>Каша пища наша</t>
  </si>
  <si>
    <t>5-9524-0943-1</t>
  </si>
  <si>
    <t>19393</t>
  </si>
  <si>
    <t>Квадрат тамплиеров</t>
  </si>
  <si>
    <t>978-5-227-09219-9</t>
  </si>
  <si>
    <t>15606</t>
  </si>
  <si>
    <t>978-5-227-05491-3</t>
  </si>
  <si>
    <t>16241</t>
  </si>
  <si>
    <t>Лайба. А.А</t>
  </si>
  <si>
    <t>Квадратура полярного круга Арктика и Антарктика глазами очевидцев 1937-2004гг</t>
  </si>
  <si>
    <t>978-5-227-06036-5</t>
  </si>
  <si>
    <t>2010</t>
  </si>
  <si>
    <t>СП+</t>
  </si>
  <si>
    <t>Хасс</t>
  </si>
  <si>
    <t>КГБ в ООН</t>
  </si>
  <si>
    <t>5-227-00789-6</t>
  </si>
  <si>
    <t>20484</t>
  </si>
  <si>
    <t>Хасс П.Д. , Капоши Д.</t>
  </si>
  <si>
    <t>978-5-9524-5877-2</t>
  </si>
  <si>
    <t>Американские журналисты П.Дж. Хасс и Дж. Капоши рассказывают о деятельности советских разведслужб в Организации Объединенных Наций. Их представители пользуются дипломатической неприкосновенностью, и это способствует широкой шпионской деятельности. История советских агентов, служивших в ООН на протяжении нескольких десятилетий ее существования, политические акции советского правительства на международной арене, разоблачение шпионов, работающих в комиссиях под личиной представителей своей страны, военные и дипломатические секреты, ставшие предметом шпионажа, расследование шпионских акций и даже преступлений в самой ООН — вот круг проблем, которые затрагивает книга.</t>
  </si>
  <si>
    <t>2062</t>
  </si>
  <si>
    <t>Вольтон</t>
  </si>
  <si>
    <t>КГБ во Франции</t>
  </si>
  <si>
    <t>5-227-00858-2</t>
  </si>
  <si>
    <t>16658</t>
  </si>
  <si>
    <t>КГБ, или как готовили бабушки</t>
  </si>
  <si>
    <t>978-5-227-06324-3</t>
  </si>
  <si>
    <t>20895</t>
  </si>
  <si>
    <t>Лазерсон И.И.,  Спичка М.А.</t>
  </si>
  <si>
    <t>978-5-227-09886-3</t>
  </si>
  <si>
    <t>Когда авторы были совсем юными, они с интересом наблюдали, как бабушки священнодействуют на кухне… Тогда, в советское время, с продуктами было гораздо хуже, чем сейчас. Но товарный дефицит не означал дефицита кулинарной фантазии. Скорее наоборот, подхлёстывал воображение и будил в людях творческое начало. В отсутствие Интернета все охотно обменивались друг с другом идеями, секретами фирменных блюд, рецептами праздничными и повседневными. И записывали их в особые тетрадки. Как правило, этим занимались бабушки, ведь именно они являются хранительницами семейных традиций, в которых совместная трапеза имеет огромное значение._x000D__x000D_
Авторы книги бережно сохранили тетрадки своих бабушек и теперь предлагают вниманию читателей некоторые избранные рецепты.</t>
  </si>
  <si>
    <t>21763</t>
  </si>
  <si>
    <t>Кедровая Бухта</t>
  </si>
  <si>
    <t>978-5-227-11121-0</t>
  </si>
  <si>
    <t>Оливия Локхарт, судья из маленького городка Кедровая Бухта, постоянно в центре событий и водовороте переживаний. Не ладится личная жизнь у ее взрослой дочери — Джастин боится открыть свое сердце большой любви, подменяя ее удобными отношениями. Общественное мнение городка будоражит принятое судьей нетривиальное решение, но, помня всю горечь своего развода, Оливия все-таки заставляет молодых супругов Яна и Сесилию, чьи отношения разладились после смерти новорожденной дочери, еще раз подумать, прежде чем расстаться. Оливия старается поддержать и подругу Грейс, которую оставил муж, причем повел себя так странно, что поступок его потряс родных и знакомых. Мать Оливии Шарлота, несмотря на почтенный возраст, очень энергичная дама, занялась делом благородным, но противоречащим букве закона. И наконец, сама Оливия готова полюбить вновь, и все так хорошо складывалось... Но ее мужчина что-то скрывает, Оливия же не терпит недомолвок...</t>
  </si>
  <si>
    <t>19686</t>
  </si>
  <si>
    <t>Пауэлл Т.</t>
  </si>
  <si>
    <t>Кельты. Воины и маги</t>
  </si>
  <si>
    <t>978-5-9524-5540-5</t>
  </si>
  <si>
    <t>5460</t>
  </si>
  <si>
    <t>Монастырская А.</t>
  </si>
  <si>
    <t>Кенгуру в ночи</t>
  </si>
  <si>
    <t>5-9524-1505-9</t>
  </si>
  <si>
    <t>15837</t>
  </si>
  <si>
    <t>Лимонов Э.В</t>
  </si>
  <si>
    <t>Киев капут. Яростная книга</t>
  </si>
  <si>
    <t>978-5-227-05727-3</t>
  </si>
  <si>
    <t>11528</t>
  </si>
  <si>
    <t>Киллер</t>
  </si>
  <si>
    <t>978-5-9524-4694-6</t>
  </si>
  <si>
    <t>10347</t>
  </si>
  <si>
    <t>978-5-9524-3513-1</t>
  </si>
  <si>
    <t>2498</t>
  </si>
  <si>
    <t>Киллоу</t>
  </si>
  <si>
    <t>5-227-01202-4</t>
  </si>
  <si>
    <t>21401</t>
  </si>
  <si>
    <t>Милн Т</t>
  </si>
  <si>
    <t>Ким Филби. Неизвестная история супершпиона КГБ. Откровения близкого друга и коллеги по МИ-6</t>
  </si>
  <si>
    <t>978-5-9524-6283-0</t>
  </si>
  <si>
    <t>Автор настоящих мемуаров Тим Милн — друг и ближайший соратник агента советской разведки Кима Филби по МИ-6, секретной разведывательной службе Великобритании. Книга представляет собой откровенный в своих оценках рассказ о тридцатисемилетней дружбе, включившей десять лет тесной совместной работы, подробные воспоминания отношений двух близких людей, показанные как с личной, так и с политической стороны. Портрет крупнейшего шпиона КГБ, члена Кембриджской пятерки — самой сильной агентурной группы во время Второй мировой войны, по сути предателя своей страны, написан тем не менее без злобы и горечи.</t>
  </si>
  <si>
    <t>19624</t>
  </si>
  <si>
    <t>Маклей К.</t>
  </si>
  <si>
    <t>Киноклуб</t>
  </si>
  <si>
    <t>978-5-227-09439-1</t>
  </si>
  <si>
    <t>17008</t>
  </si>
  <si>
    <t>978-5-227-07066-1</t>
  </si>
  <si>
    <t>18506</t>
  </si>
  <si>
    <t>ПРОДУКТЫ</t>
  </si>
  <si>
    <t>Кисломолочные продукты вкусные, целебные. Готовим, едим, лечимся</t>
  </si>
  <si>
    <t>978-5-227-08299-2</t>
  </si>
  <si>
    <t>21159</t>
  </si>
  <si>
    <t>Эберхард В.</t>
  </si>
  <si>
    <t>Китайские праздники. Древние традиции, памятные до наших дней</t>
  </si>
  <si>
    <t>978-5-9524-6056-0</t>
  </si>
  <si>
    <t>Книга посвящена наиболее почитаемым китайским праздникам, уходящим корнями в древнюю историю и восточную мифологию. Описаны самобытные традиции и ритуалы новогодних, весенних и осенних торжеств, фестивалей лодок-драконов и голодных духов, рассказано, как они менялись с течением времени, не утрачивая ярких оригинальных черт и обретая новые.</t>
  </si>
  <si>
    <t>21874</t>
  </si>
  <si>
    <t>Шинни П.</t>
  </si>
  <si>
    <t>Китайские целебные травы. Классический труд по фармакологииавы. Классический труд по фармакологии</t>
  </si>
  <si>
    <t>978-5-9524-5878-9</t>
  </si>
  <si>
    <t>Вниманию читателей предлагается современная редакция классического труда китайского целителя XVI?века Ли Шичэня «Материя медика» («Пен Цао»), в котором обобщен богатый опыт народной медицины в области фитотерапии. В книге, представляющей большой исторический и практический интерес, подробно описаны полезные свойства лекарственных растений и целебных веществ, рассказано о формах и способах применения природных лечебных препаратов, традиционно используемых на Востоке, интерес к которым европейских медиков все более возрастает.</t>
  </si>
  <si>
    <t>21189</t>
  </si>
  <si>
    <t>Палош Ш.</t>
  </si>
  <si>
    <t>Китайское искусство целительства. Проверенные временем методики лечения природными средствами</t>
  </si>
  <si>
    <t>978-5-227-10698-8</t>
  </si>
  <si>
    <t>Эта книга — подробный справочник по истории и практике традиционного искусства китайского врачевания. Она содержит подробное описание основных принципов и методик народного целительства: акупунктуры, диагностики по пульсу, массажа, дыхательной гимнастики. Приводятся особенности использования различных лекарственных средств и растений.</t>
  </si>
  <si>
    <t>21875</t>
  </si>
  <si>
    <t>Лин Ван</t>
  </si>
  <si>
    <t>Китайское искусство чаепития</t>
  </si>
  <si>
    <t>978-5-9524-5880-2</t>
  </si>
  <si>
    <t>Книга рассказывает об истории происхождения чая и зарождении искусства чаепития в Древнем Китае. Автор приводит цитаты из древних трактатов, посвященных этому напитку, и прослеживает эволюцию искусства чаепития в разные исторические эпохи, объясняя его влияние на философию, культуру и традиции Китая.</t>
  </si>
  <si>
    <t>20536</t>
  </si>
  <si>
    <t>Каплан С.</t>
  </si>
  <si>
    <t>Классика Таро. Происхождение, история, гадание</t>
  </si>
  <si>
    <t>978-5-9524-5897-0</t>
  </si>
  <si>
    <t>В этой книге приводится множество интересных фактов из истории карт Таро, рассказывается о тайне их происхождения, различных системах гадания и тонкостях толкования._x000D_
При написании этой работы автор использовал свою уникальную коллекцию колод Таро и сведения из редких изданий.</t>
  </si>
  <si>
    <t>16279</t>
  </si>
  <si>
    <t>Классно быть богом, или школа мудрости</t>
  </si>
  <si>
    <t>978-5-227-06342-7</t>
  </si>
  <si>
    <t>17097</t>
  </si>
  <si>
    <t>Клеймо смерти</t>
  </si>
  <si>
    <t>978-5-227-06496-7</t>
  </si>
  <si>
    <t>21314</t>
  </si>
  <si>
    <t>Клеопатра. Последняя царица Египта</t>
  </si>
  <si>
    <t>978-5-227-10811-1</t>
  </si>
  <si>
    <t>"Артур Вейгалл — член экспедиции лорда Карнарвона, открывшего миру гробницу Тутанхамона, — был известным знатоком древностей Египта. Ученый и писатель, он создал объемный и прекрасный портрет самой необыкновенной женщины Античности.
Клеопатра пришла к власти в восемнадцать лет, она говорила на семи языках, возродила обряды древней религии Египта и приняла символ божественной сущности Матери­богини Хатхор, дочери Великого Ра. Бесстрашная, властолюбивая и обаятельная, она была очень любима своим народом. Деловая, с острым, проницательным умом, царица всеми возможными средствами отстаивала права женщин и оказывала поддержку правительницам маленьких и слабых государств."</t>
  </si>
  <si>
    <t>10066</t>
  </si>
  <si>
    <t>ЛМ</t>
  </si>
  <si>
    <t>Скрябина Лидия</t>
  </si>
  <si>
    <t>Клетка</t>
  </si>
  <si>
    <t>978-5-9524-3254-3</t>
  </si>
  <si>
    <t>76x108 1/32</t>
  </si>
  <si>
    <t>11973</t>
  </si>
  <si>
    <t>ГОРОД</t>
  </si>
  <si>
    <t>Клин клином</t>
  </si>
  <si>
    <t>978-5-227-02150-2</t>
  </si>
  <si>
    <t>16782</t>
  </si>
  <si>
    <t>Клыки и когти эскадрильи</t>
  </si>
  <si>
    <t>978-5-227-06820-0</t>
  </si>
  <si>
    <t>19358</t>
  </si>
  <si>
    <t>Ключ к его сердцу</t>
  </si>
  <si>
    <t>978-5-227-09084-3</t>
  </si>
  <si>
    <t>20510</t>
  </si>
  <si>
    <t>Ключ к ее желаниям</t>
  </si>
  <si>
    <t>978-5-227-10159-4</t>
  </si>
  <si>
    <t>Софи Валенте, специалист по компьютерной безопасности, устраивается в архитектурную фирму «Мэддокс Хилл», чтобы быть ближе к отцу, который не подозревает о ее существовании. Софи рискует не только карьерой, но и репутацией, пытаясь заполучить доказательства родства с основателем фирмы, но не может устоять перед обаянием молодого привлекательного босса. Ванн Акоста всегда остерегался служебных романов, но что делать, если любовь подстерегла на рабочем месте, а возлюбленную несправедливо обвинили в преступлении?..</t>
  </si>
  <si>
    <t>18147</t>
  </si>
  <si>
    <t>Чой ен Джун</t>
  </si>
  <si>
    <t>Ключ к здоровью вашего ребенка</t>
  </si>
  <si>
    <t>978-5-227-08187-2</t>
  </si>
  <si>
    <t>18178</t>
  </si>
  <si>
    <t>Ключ к тайнам сладострастия</t>
  </si>
  <si>
    <t>978-5-227-08150-6</t>
  </si>
  <si>
    <t>17210</t>
  </si>
  <si>
    <t>Ключик к сердцу принца</t>
  </si>
  <si>
    <t>978-5-227-07221-4</t>
  </si>
  <si>
    <t>16821</t>
  </si>
  <si>
    <t>Клятва соблазнителя</t>
  </si>
  <si>
    <t>978-5-227-06787-6</t>
  </si>
  <si>
    <t>14567</t>
  </si>
  <si>
    <t>Клятва у озера</t>
  </si>
  <si>
    <t>978-5-227-04516-4</t>
  </si>
  <si>
    <t>19950</t>
  </si>
  <si>
    <t>Дэй З.</t>
  </si>
  <si>
    <t>Клятвы в городе страсти</t>
  </si>
  <si>
    <t>978-5-227-09604-3</t>
  </si>
  <si>
    <t>20027</t>
  </si>
  <si>
    <t>Пуанкаре Р.</t>
  </si>
  <si>
    <t>Кн.1 На службе Франции. Президент республики о Первой мировой войне: В 2 кн. Кн. 1</t>
  </si>
  <si>
    <t>978-5-227-09811-5</t>
  </si>
  <si>
    <t>16956</t>
  </si>
  <si>
    <t>Кн.2 Знаем ли мы русский язык?</t>
  </si>
  <si>
    <t>978-5-227-06913-9</t>
  </si>
  <si>
    <t>14786</t>
  </si>
  <si>
    <t>Кн.2 Знаем ли мы свои любимые сказки? Тайны и секреты сказочных произведений.</t>
  </si>
  <si>
    <t>978-5-227-04797-7</t>
  </si>
  <si>
    <t>15159</t>
  </si>
  <si>
    <t>978-5-227-05184-4</t>
  </si>
  <si>
    <t>20028</t>
  </si>
  <si>
    <t>Кн.2 На службе Франции. Президент республики о Первой мировой войне: В 2 кн. Кн. 2</t>
  </si>
  <si>
    <t>978-5-227-09812-2</t>
  </si>
  <si>
    <t>21419</t>
  </si>
  <si>
    <t>Пейн-Голлуэй Р.</t>
  </si>
  <si>
    <t>Книга арбалетов. История средневекового метательного оружия</t>
  </si>
  <si>
    <t>978-5-9524-6315-8</t>
  </si>
  <si>
    <t>Эта книга является наиболее полным изложением истории арбалета и его предшественников, а также подробным описанием устройств осадных метательных машин и луков. От тяжелых осадных орудий арбалет отличался мобильностью, от лука — силой удара. Он оказался востребованным орудием и пользовался популярностью, особенно после того, как в Третьем крестовом походе Ричард Львиное Сердце с помощью арбалетчиков разгромил сарацин в битве при Арсуфе. В книге представлены многочисленные иллюстрации, среди которых подробные чертежи и средневековые батальные картины. Она будет интересна историкам, спортсменам и любителям оружия.</t>
  </si>
  <si>
    <t>21839</t>
  </si>
  <si>
    <t>ПДР</t>
  </si>
  <si>
    <t>Гинот Хаим Г.</t>
  </si>
  <si>
    <t>Книга для родителей. Развиваем личность ребенка от 3 до 12 лет. Преодолеваем проблемы переходного возраста</t>
  </si>
  <si>
    <t>978-5-9524-6534-3</t>
  </si>
  <si>
    <t>Автор книги — известный специалист в области педагогики. Его рекомендации, основанные на богатом профессиональном опыте, открыли миллионам родителей и их детям новые пути к взаимопониманию. Все родители хотят, чтобы их ребенок был счастливым, смелым, уверенным в себе, ответственным за свои поступки. Но всегда ли мы относимся к детям уважительно и понимаем, чем вызваны причины их поведения? Читая эту книгу, вы научитесь правильно выходить из сложных ситуаций. Узнаете, как вести себя, если ребенок капризничает без повода, перестает слушаться, лжет, требует немедленного исполнения своих желаний. Для вас откроется скрытый смысл их порой странных вопросов. Доступные советы, простые и эффективные приемы помогут сформировать психически устойчивую и всесторонне развитую личность своего ребенка. Издание уникально тем, что послужит полезным подспорьем родителям с первых лет жизни их детей до сложного периода взросления.</t>
  </si>
  <si>
    <t>18208</t>
  </si>
  <si>
    <t>Книга жизни. Ответы на все вопросы</t>
  </si>
  <si>
    <t>978-5-227-07846-9</t>
  </si>
  <si>
    <t>18511</t>
  </si>
  <si>
    <t>Фэй-цзы</t>
  </si>
  <si>
    <t>Книга закона и порядка. Советы разумному правителю</t>
  </si>
  <si>
    <t>978-5-227-07806-3</t>
  </si>
  <si>
    <t>21117</t>
  </si>
  <si>
    <t>Бертон Р.</t>
  </si>
  <si>
    <t>Книга мечей. Холодное оружие сквозь тысячелетия</t>
  </si>
  <si>
    <t>978-5-9524-6133-8</t>
  </si>
  <si>
    <t>Ричард Бёртон — автор этого фундаментального исследования, путешествуя по странам Ближнего Востока, Африки и Америки, собрал множество интересных сведений о древнем оружии. В своей книге он рассказывает о происхождении и многовековом совершенствовании оружия, царем которого с незапамятных времен является меч.</t>
  </si>
  <si>
    <t>20667</t>
  </si>
  <si>
    <t>ВОЛ</t>
  </si>
  <si>
    <t>Урусов С.П.</t>
  </si>
  <si>
    <t>Книга о лошади. Настольная книга коннозаводчика, коневода, коневладельца и любителя лошади</t>
  </si>
  <si>
    <t>978-5-227-10029-0</t>
  </si>
  <si>
    <t>Переиздание известного сочинения князя С.П. Урусова содержит обширный материал по коневодству, верховой езде и езде в экипажах; о породах, известных в дореволюционной России, строении и статях лошади, рационе питания, устройстве конюшен, упряжи, экипажах и снаряжении; о том, как выбирать, разводить, содержать спортивных и рабочих лошадей, об особенностях их режима и тренировки; об обучении всадников, использовании  верховых лошадей в упряжках и рабочих лошадей под седло, лечении лошадей. Язык адаптирован к современному. Более 1000 рисунков и фотографий.</t>
  </si>
  <si>
    <t>21160</t>
  </si>
  <si>
    <t>Юдзан Дайдодзи, Ямамото Цунэтомо, Миямото Мусаси</t>
  </si>
  <si>
    <t>Книга о самураях. Свод правил жизни японских воинов</t>
  </si>
  <si>
    <t>978-5-227-10714-5</t>
  </si>
  <si>
    <t>Мы представляем читателям самые известные тексты, посвященные пути воина в Стране восходящего солнца._x000D_
«Бусидо» Юдзана Дайдодзи — это кодекс чести, который определяет правила поведения самураев — профессиональных воинов, определявших историю своей страны на протяжении веков. Он наставлял самураев быть честными и мужественными, требовал от них быть готовыми к смерти в любой момент, если это было необходимо._x000D_
«Хагакурэ» — авторитетный трактат Ямамото Цунэтомо — великого самурая, пытавшегося по-своему ответить на вопрос: «Как мы живем? Как мы умираем?»_x000D_
Миямото Мусаси — личность легендарная — воин, мастер меча, а кроме того, художник-каллиграф, оставивший письменный труд, занимающий важное место в истории японской культуры. На протяжении жизни он вышел победителем в огромном количестве поединков и участвовал в шести войнах. Его «Книга пяти колец» является неким компендиумом об искусстве меча и трактатом по стратегии.</t>
  </si>
  <si>
    <t>20904</t>
  </si>
  <si>
    <t>Мусаси М.</t>
  </si>
  <si>
    <t>Книга пяти колец. Горин-но сё. Путь стратегии</t>
  </si>
  <si>
    <t>978-5-227-09887-0</t>
  </si>
  <si>
    <t>Миямото Мусаси — личность легендарная. Воин, мастер меча, а кроме того, художник, скульптор и каллиграф, оставивший письменный труд, занимающий важное место в истории японской культуры. Свой первый поединок Мусаси провел в тринадцать лет. На протяжении своего жизненного пути он вышел победителем в огромном количестве поединков и участвовал в шести войнах, пока наконец в возрасте пятидесяти лет не занялся подведением итогов. Его краткий, но содержательный «Горин-но сё», или «Книга пяти колец», является неким компендиумом об искусстве меча и трактатом по стратегии.</t>
  </si>
  <si>
    <t>5909</t>
  </si>
  <si>
    <t>Куршакова</t>
  </si>
  <si>
    <t>Книга счастливой толстушки</t>
  </si>
  <si>
    <t>5-9524-1841-4</t>
  </si>
  <si>
    <t>21844</t>
  </si>
  <si>
    <t>Книга чисел Кайро. Шифр вашей судьбы. Полезная нумерология</t>
  </si>
  <si>
    <t>978-5-227-11169-2</t>
  </si>
  <si>
    <t>Эта уникальная книга, несомненно, станет вашим мудрым советчиком и верным другом. Написал ее знаменитый Луис Хамон, известный всему миру под псевдонимом Кайро, — автор многих классических трудов по астрологии, хиромантии и нумерологии. С позиций своей системы Луис Хамон оценивает даты рождения, имена, фамилии и показывает, как с помощью нумерологии определить наиболее благоприятное время для принятия важных решений. Кайро объясняет влияние чисел на жизнь людей, бизнес, здоровье и счастье. Он подскажет, какие числа принесут удачу, а каких следует избегать.</t>
  </si>
  <si>
    <t>21433</t>
  </si>
  <si>
    <t>МАГИЯ</t>
  </si>
  <si>
    <t>Книга­оберег. Всё для защиты вашего здоровья и благополучия. Гарантия любви, добра и достатка в вашем доме</t>
  </si>
  <si>
    <t>978-5-9524-6075-1</t>
  </si>
  <si>
    <t>Каждый из нас в глубине души верит в чудеса, надеется на лучшее и мечтает о счастье. Чтобы чувствовать себя уверенным и защищённым, приобретите себе книгу-оберег. Оберег — предмет, обладающий способностью защищать его владельца от разных бедствий. Он может охранять не только человека, но и предметы — дом, имущество, домашних питомцев, автомобиль._x000D_
Мы собрали в это издание самые простые и действенные заговоры, молитвы, обряды, шепотки и талисманы, всё для защиты вашего здоровья и благополучия. Имея такую книгу и используя её во благо, вы получаете гарантию любви, добра и достатка в вашем доме. С её помощью вы легко избавитесь от неудач, нашепчете мир и уют своей семье, призовёте везение и прогоните хандру. Пока эта книга у вас, вы практически неуязвимы!</t>
  </si>
  <si>
    <t>7207</t>
  </si>
  <si>
    <t>РАСКРАСКИ</t>
  </si>
  <si>
    <t>Абашев</t>
  </si>
  <si>
    <t>Книжка раскраска В мире животных</t>
  </si>
  <si>
    <t>5-9524-2239-X</t>
  </si>
  <si>
    <t>60x84 1/8</t>
  </si>
  <si>
    <t>3370</t>
  </si>
  <si>
    <t>КСТ</t>
  </si>
  <si>
    <t>Койот</t>
  </si>
  <si>
    <t>Книжка раскраска для смышленых и любознательных</t>
  </si>
  <si>
    <t>5-227-005</t>
  </si>
  <si>
    <t>7186</t>
  </si>
  <si>
    <t>Книжка раскраска учим Английский</t>
  </si>
  <si>
    <t>5-9524-2219-5</t>
  </si>
  <si>
    <t>7184</t>
  </si>
  <si>
    <t>Книжка раскраска Учим буквы</t>
  </si>
  <si>
    <t>5-9524-2178-4</t>
  </si>
  <si>
    <t>16581</t>
  </si>
  <si>
    <t>Книжная лавка</t>
  </si>
  <si>
    <t>978-5-227-06552-0</t>
  </si>
  <si>
    <t>19375</t>
  </si>
  <si>
    <t>Князь Иван Шуйский. Воевода Ивана Грозного</t>
  </si>
  <si>
    <t>978-5-227-09235-9</t>
  </si>
  <si>
    <t>18774</t>
  </si>
  <si>
    <t>Малик В.К.</t>
  </si>
  <si>
    <t>Князь Игорь. Витязи червлёных щитов</t>
  </si>
  <si>
    <t>978-5-9524-5379-1</t>
  </si>
  <si>
    <t>18856</t>
  </si>
  <si>
    <t>Князь Кий</t>
  </si>
  <si>
    <t>978-5-9524-5384-5</t>
  </si>
  <si>
    <t>21716</t>
  </si>
  <si>
    <t>Князь Рюрик и Вещий Олег. Потерянная быль. Откуда пошла земля Русская</t>
  </si>
  <si>
    <t>978-5-227-11077-0</t>
  </si>
  <si>
    <t>Всем известно, что наш знаменитый современник Михаил Задорнов был не только выдающимся сатириком, драматургом и юмористом. Одной из самых ярких граней этой выдающейся личности была огромная любовь к России и глубокий интерес к её истории._x000D_
Но просто интересом Михаил Николаевич не ограничивался: он активно искал информацию, кропотливо собирал её, снимал познавательные фильмы, чтобы мы, жители России, знали, откуда пошла земля Русская._x000D_
«У кого нет прошлого — нет и будущего», — говорил Задорнов, и его авторский взгляд на древнерусскую историю, созвучный взглядам историков, не принявших норманнскую теорию, отражается в его замечательной книге, которой он пытается вернуть нам украденную быль.</t>
  </si>
  <si>
    <t>17906</t>
  </si>
  <si>
    <t>Мейер Д.</t>
  </si>
  <si>
    <t>Кобра</t>
  </si>
  <si>
    <t>978-5-227-07330-3</t>
  </si>
  <si>
    <t>16634</t>
  </si>
  <si>
    <t>Коварная скромница</t>
  </si>
  <si>
    <t>978-5-227-06533-9</t>
  </si>
  <si>
    <t>19964</t>
  </si>
  <si>
    <t>Ковчег Судного дня</t>
  </si>
  <si>
    <t>978-5-227-09491-9</t>
  </si>
  <si>
    <t>15622</t>
  </si>
  <si>
    <t>Когда жара невыносима</t>
  </si>
  <si>
    <t>978-5-227-05632-0</t>
  </si>
  <si>
    <t>10814</t>
  </si>
  <si>
    <t>Сяолун Цю</t>
  </si>
  <si>
    <t>Когда красное становится черным</t>
  </si>
  <si>
    <t>978-5-9524-3943-6</t>
  </si>
  <si>
    <t>20638</t>
  </si>
  <si>
    <t>Филдинг Л</t>
  </si>
  <si>
    <t>Когда поцелуя мало</t>
  </si>
  <si>
    <t>978-5-227-10304-8</t>
  </si>
  <si>
    <t>Люсьен Грей, известный военный репортер, страдает от посттравматического синдрома. Он прячется ото всех, не желая видеть и слышать людей. И только Жимми, девушка из соседнего коттеджа, сумела увидеть его внутреннюю боль и постепенно исцелить раны. Но смогут ли они начать жизнь с чистого листа, вдвоем?..</t>
  </si>
  <si>
    <t>0141</t>
  </si>
  <si>
    <t>Когда прерывается фильм</t>
  </si>
  <si>
    <t>978-5-227-06966-5</t>
  </si>
  <si>
    <t>17171</t>
  </si>
  <si>
    <t>Когда пришла чума</t>
  </si>
  <si>
    <t>978-5-227-07228-3</t>
  </si>
  <si>
    <t>17047</t>
  </si>
  <si>
    <t>Гейтс О.</t>
  </si>
  <si>
    <t>Когда страсть разгорается вновь</t>
  </si>
  <si>
    <t>978-5-227-07053-1</t>
  </si>
  <si>
    <t>20160</t>
  </si>
  <si>
    <t>Когда счастье рядом</t>
  </si>
  <si>
    <t>978-5-227-09670-8</t>
  </si>
  <si>
    <t>18413</t>
  </si>
  <si>
    <t>Когда ты станешь моей</t>
  </si>
  <si>
    <t>978-5-227-08359-3</t>
  </si>
  <si>
    <t>19480</t>
  </si>
  <si>
    <t>Байрон Д.Г.</t>
  </si>
  <si>
    <t>Когда я прижимал тебя к груди своей…</t>
  </si>
  <si>
    <t>978-5-227-09184-0</t>
  </si>
  <si>
    <t>18212</t>
  </si>
  <si>
    <t>Когда-нибудь ты вернешься</t>
  </si>
  <si>
    <t>978-5-227-08155-1</t>
  </si>
  <si>
    <t>17218</t>
  </si>
  <si>
    <t>Кое­какие отношения искусства к действительности. Конъюнктура, мифология, страсть</t>
  </si>
  <si>
    <t>978-5-227-07197-2</t>
  </si>
  <si>
    <t>16159</t>
  </si>
  <si>
    <t>Коктейли для взрослых и малышей</t>
  </si>
  <si>
    <t>978-5-227-05545-3</t>
  </si>
  <si>
    <t>17692</t>
  </si>
  <si>
    <t>Коктейль неутоленных желаний</t>
  </si>
  <si>
    <t>978-5-227-07710-3</t>
  </si>
  <si>
    <t>10709</t>
  </si>
  <si>
    <t>Ярилина Е.</t>
  </si>
  <si>
    <t>Колдовская любовь</t>
  </si>
  <si>
    <t>978-5-9524-3852-1</t>
  </si>
  <si>
    <t>20527</t>
  </si>
  <si>
    <t>Колдун, Жрец, Маг. Магические круги силы. Как становятся колдуном, жрецом и магом. В чём разница между ними. Свобода воли и свобода жизни</t>
  </si>
  <si>
    <t>978-5-227-10267-6</t>
  </si>
  <si>
    <t>Перед вами десятая книга серии «Магия в вопросах и ответах», и каждая из них поможет читателю узнать что-то сокровенное.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вопросы…_x000D_
В этой книге мы вновь поговорим о магических кругах силы. Узнаем, кто такие колдуны, жрецы, маги и как ими становятся. Увидим, в чём разница между ними, откуда они черпают свои знания и умения, на кого работают и чем расплачиваются за полученную силу. Обсудим также важный вопрос о свободе воли и свободе жизни как для колдуна, так и для обычного человека. Поговорим о свободе воли и жизни на разных кругах силы.</t>
  </si>
  <si>
    <t>21244</t>
  </si>
  <si>
    <t>Колдунья из Бельмаира</t>
  </si>
  <si>
    <t>978-5-227-09669-2</t>
  </si>
  <si>
    <t>Диллон, первый сын Лары, призван в забытый мир Бельмаир. Ему предстоит жениться на дочери короля и унаследовать трон. Синния, колдунья на далекой звезде, ученица Верховного Дракона Нидхуг, законно претендует на роль правителя своих земель, а не жены чужака, потомка некогда изгнанных из ее страны бунтовщиков. Но настоящей магии она еще только будет учиться, выйдя замуж. Ей предстоит, собрав вокруг себя сильнейших чародеев с неведомого Хетара, раскрыть тайну, несколько веков назад поставившую жителей Бельмаира на грань исчезновения.</t>
  </si>
  <si>
    <t>6404</t>
  </si>
  <si>
    <t>Колесо в колесе</t>
  </si>
  <si>
    <t>5-9524-2128-8</t>
  </si>
  <si>
    <t>14991</t>
  </si>
  <si>
    <t>КОЛ ЧЕЙЗ</t>
  </si>
  <si>
    <t>Коллекция избранных романов кн.10</t>
  </si>
  <si>
    <t>978-5-227-04868-4</t>
  </si>
  <si>
    <t>21715</t>
  </si>
  <si>
    <t>Давыдов Д.Ю.</t>
  </si>
  <si>
    <t>Колодец трёх рек. Москва приоткрывает вам тайны своих подземелий</t>
  </si>
  <si>
    <t>978-5-227-11000-8</t>
  </si>
  <si>
    <t>Действие разворачивается в начале нулевых. Из выпуска новостей герой узнаёт о произошедшей трагедии: в московском подземелье погиб телеоператор, а режиссёр получил травмы, но выжил. Выясняется, съёмочная группа планировала снять сюжет о подземном водопаде. Событие запоминается юноше, ему хочется узнать об этом объекте как можно больше, а в одиночку это сделать нелегко… Но Даниле повезло, он знакомится с диггерами и становится частью их отчаянной команды. Оказывается, быть диггером не так-то просто: нужно многое знать, понимать взаимосвязь наземного города с подземным. Вместе с новыми друзьями герой делает первые шаги по тоннелям и коллекторам, которые удивляют, страшат и вдохновляют его. От своих товарищей Данила узнаёт легенду о якобы существующем где-то под Москвой мистическом объекте — «Колодце трёх рек», который и становится основной целью поисков бесстрашной команды…_x000D_
Эта приключенческая книга автобиографична. Практически все герои имеют реальных прототипов, некоторые имена изменены, а некоторые сохранены, если в повествовании речь идёт о произошедших в действительности событиях, отголоски которых сохранились в публикациях и новостных архивах. В тексте период изучения истории подземной Москвы, чтения лекций, проведения экскурсий, занявший в жизни автора 25 лет, сжат до одного года, в течение которого и разворачиваются описанные события. Это позволило сделать текст насыщенным, сконцентрированным и очень занимательным.</t>
  </si>
  <si>
    <t>19820</t>
  </si>
  <si>
    <t>Коломяги. Любопытные факты из истории уникального петербургского предместья</t>
  </si>
  <si>
    <t>978-5-227-09657-9</t>
  </si>
  <si>
    <t>5767</t>
  </si>
  <si>
    <t>Кайдалова Е.</t>
  </si>
  <si>
    <t>Колыбельная для Варежки</t>
  </si>
  <si>
    <t>5-9524-1586-5</t>
  </si>
  <si>
    <t>18962</t>
  </si>
  <si>
    <t>Кольцо в знак мести</t>
  </si>
  <si>
    <t>978-5-227-08795-9</t>
  </si>
  <si>
    <t>15593</t>
  </si>
  <si>
    <t>Кольцо для наследника</t>
  </si>
  <si>
    <t>978-5-227-05612-2</t>
  </si>
  <si>
    <t>3856</t>
  </si>
  <si>
    <t>КРИМР</t>
  </si>
  <si>
    <t>Питерс</t>
  </si>
  <si>
    <t>Кольцо из Камелота</t>
  </si>
  <si>
    <t>5-9524-0296-8</t>
  </si>
  <si>
    <t>21687</t>
  </si>
  <si>
    <t>Маккензи К.</t>
  </si>
  <si>
    <t>Коминтерн и мировая революция. Роль Советского Союза во всемирном революционном процессе. 1919—1943</t>
  </si>
  <si>
    <t>978-5-9524-5957-1</t>
  </si>
  <si>
    <t>Книга К. Маккензи — одно из фундаментальных исследований, посвященных деятельности Коминтерна и особой роли Советского Союза в борьбе за мировую революцию. В ней рассказывается об этапах построения мирового интернационала коммунистов, о разработке стратегии и тактики захвата мирового господства и трансформации общества в соответствии с их идеологией. Важное место автор отводит взаимоотношениям «эталонного государства» — СССР с компартиями других стран и революционными движениями. В работе использованы исторические документы: стенограммы, резолюции, тезисы, программы, манифесты и работы крупных теоретиков коммунизма.</t>
  </si>
  <si>
    <t>17184</t>
  </si>
  <si>
    <t>Комитет-1991. Нерассказанная история КГБ России</t>
  </si>
  <si>
    <t>978-5-227-07231-3</t>
  </si>
  <si>
    <t>15711</t>
  </si>
  <si>
    <t>Кому же достанется кровать?</t>
  </si>
  <si>
    <t>978-5-227-05661-0</t>
  </si>
  <si>
    <t>15512</t>
  </si>
  <si>
    <t>Комфлота Бахирев</t>
  </si>
  <si>
    <t>978-5-227-05477-7</t>
  </si>
  <si>
    <t>21646</t>
  </si>
  <si>
    <t>ЗМП</t>
  </si>
  <si>
    <t>Брайтенедер Э., Фрут Э., Хаслер Дж</t>
  </si>
  <si>
    <t>Кондитерские, пекарни, чайные</t>
  </si>
  <si>
    <t>978-5-9524-6407-0</t>
  </si>
  <si>
    <t>В этой кондитерской мега-энциклопедии собрана обширнейшая коллекция рецептов и приемов приготовления блюд, которыми славятся лучшие из лучших кондитерских домов Европы и Америки. Подробно изложена технология приготовления восхитительной выпечки, десертов с оригинальными съедобными украшениями и полезных напитков с богатой палитрой вкусов. Приведены рецепты низкокалорийной выпечки для приверженцев диетического питания, а также таблицы, из которых можно узнать энергетическую ценность каждого продукта. Книга подарит множество прекрасных идей для творчества, снабдит практическими рекомендациями, помогающими их успешно реализовать, и кондитеров-профессионалов, и всех тех, кто увлекается домашней выпечкой.</t>
  </si>
  <si>
    <t>20859</t>
  </si>
  <si>
    <t>Конец белого Приморья. Последний поход белоповстанческой армии</t>
  </si>
  <si>
    <t>978-5-9524-6038-6</t>
  </si>
  <si>
    <t>Настоящая книга офицера-артиллериста Б. Филимонова является продолжением двух его книг «Белоповстанцы» и охватывает события лета и осени 1922 года, происходившие в Приморском крае, повествует о так называемом Дальневосточном исходе белогвардейцев и интервентов из России в Китай. По выражению автора, он хотел сохранить для поколений «дела и труды своих друзей и соратников».</t>
  </si>
  <si>
    <t>14375</t>
  </si>
  <si>
    <t>Морган Р.</t>
  </si>
  <si>
    <t>Конец романа</t>
  </si>
  <si>
    <t>978-5-227-04350-4</t>
  </si>
  <si>
    <t>19189</t>
  </si>
  <si>
    <t>Кларов Ю.М.,Безуглов А.А.</t>
  </si>
  <si>
    <t>Конец Хитрова рынка</t>
  </si>
  <si>
    <t>978-5-9524-5354-8</t>
  </si>
  <si>
    <t>15825</t>
  </si>
  <si>
    <t>Олссон Фредрик Т.</t>
  </si>
  <si>
    <t>Конец цепи</t>
  </si>
  <si>
    <t>978-5-227-05807-2</t>
  </si>
  <si>
    <t>21688</t>
  </si>
  <si>
    <t>Иннес Х.</t>
  </si>
  <si>
    <t>Конкистадоры: История испанских завоеваний XV—XVI веков</t>
  </si>
  <si>
    <t>978-5-9524-5842-0</t>
  </si>
  <si>
    <t>Подробное и яркое историческое исследование, повествующее об истории испанских завоеваний в Центральной и Южной Америке, о жизни и деятельности предводителей испанских конкистадоров Эрнана Кортеса и Франсиско Писарро, о тайнах древней культуры инков и ацтеков — коренных жителей Центральной и Южной Америки.</t>
  </si>
  <si>
    <t>17592</t>
  </si>
  <si>
    <t>Консервирование и заготовки</t>
  </si>
  <si>
    <t>978-5-227-07558-1</t>
  </si>
  <si>
    <t>21191</t>
  </si>
  <si>
    <t>Адамов Е.А.</t>
  </si>
  <si>
    <t>Константинополь и Проливы. Т.1. Борьба Российской империи за столицу Турции, владение Босфором и Дарданеллами в Первой мировой войне. В 2 т. Т. I</t>
  </si>
  <si>
    <t>978-5-227-10682-7</t>
  </si>
  <si>
    <t>Со времен Екатерины II, мечтавшей о возрождении Византии на ее исторических землях, наиболее характерной чертой внешней политики России являлось стремление к получению прохода через Проливы и полного господства на Черном море. В течение ХIХ века российские государи неоднократно предпринимали попытки возродить «греческий проект», однако наиболее остро вопрос о Проливах встал в 1908–1911 гг. в связи с турецкой революцией и итало-турецкой войной за Триполи, когда проход через Проливы стал невозможен как для военных, так и для торговых судов._x000D_
В двух томах настоящего издания представлены секретные документы архива Министерства иностранных дел о соглашении, заключенном в 1915 г. между Россией, Францией и Англией по вопросу о Константинополе и Проливах, а также секретные бумаги 1916—1917 гг., касающиеся «проекта босфорской экспедиции». Документальную часть первого тома профессор Е.А. Адамов, редактор и составитель данного издания, предваряет развернутой исторической справкой о политической ситуации в Европе в период обострения балканского кризиса и Первой мировой войны.</t>
  </si>
  <si>
    <t>21192</t>
  </si>
  <si>
    <t>Константинополь и Проливы. Т.2. Борьба Российской империи за столицу Турции, владение Босфором и Дарданеллами в Первой мировой войне. В 2 т. Т. II</t>
  </si>
  <si>
    <t>978-5-227-10684-1</t>
  </si>
  <si>
    <t>Со времен Екатерины II наиболее характерной чертой внешней политики России являлось стремление к получению прохода через Проливы и полного господства на Черном море. В течение ХIХ века российские государи неоднократно предпринимали попытки возродить «греческий проект», однако наиболее остро вопрос о Проливах встал в 1914-1915 гг., когда было принято решение о начале дарданелльской операции._x000D_
В двух томах настоящего издания представлены секретные документы архива Министерства иностранных дел, касающиеся соглашения между странами антигерманской коалиции относительно будущего управления Константинополем и переговоров о заключении перемирия с Германией и Турцией. Во второй том включена переписка с правительством Венизелоса о привлечении Греции на сторону держав Согласия и властями Болгарии по вопросу об использовании Бургаса в качестве базы русского флота. В предисловии профессор Э.Д. Гримм дает развернутую историческую справку о политической ситуации в Европе в годы Первой мировой войны и прослеживает ход военной операции за овладение Дарданеллами и выход в Средиземное море.</t>
  </si>
  <si>
    <t>21541</t>
  </si>
  <si>
    <t>Константинополь. От легендарного Виза до династии Палеологов</t>
  </si>
  <si>
    <t>978-5-9524-6348-6</t>
  </si>
  <si>
    <t>В этой книге А. Азимов пишет об одном из самых древних и прекрасных городов мира, основанном императором Константином. Его называли «золотым мостом между Европой и Западом», через столицу Востока шла торговля Западной Европы с Причерноморьем, Ираном, Индией, Китаем. Это был культурный центр со своим университетом, город, в котором процветали ремесла. Здесь набирал силу будущий христианский мир. На столицу Византии обращали завистливые взгляды европейские и восточные завоеватели, ему угрожали гунны, арабы, славяне, норманны, турки-сельджуки, его подвергали нападениям и длительным осадам. Но самым страшным испытанием были Крестовые походы, последний из них стал роковым для города.</t>
  </si>
  <si>
    <t>17308</t>
  </si>
  <si>
    <t>Сэй Алек</t>
  </si>
  <si>
    <t>Констебль с Третьего участка</t>
  </si>
  <si>
    <t>978-5-227-07360-0</t>
  </si>
  <si>
    <t>18449</t>
  </si>
  <si>
    <t>Курзанцев А.</t>
  </si>
  <si>
    <t>Контрзащита</t>
  </si>
  <si>
    <t>978-5-9524-5342-5</t>
  </si>
  <si>
    <t>19545</t>
  </si>
  <si>
    <t>Брайт В.В</t>
  </si>
  <si>
    <t>Контрольная точка</t>
  </si>
  <si>
    <t>978-5-227-09398-1</t>
  </si>
  <si>
    <t>19433</t>
  </si>
  <si>
    <t>Тупиков П.Ю</t>
  </si>
  <si>
    <t>Контуженный рыцарь</t>
  </si>
  <si>
    <t>978-5-227-09265-6</t>
  </si>
  <si>
    <t>21861</t>
  </si>
  <si>
    <t>Конфликты в Кремле. Сумерки богов по-русски</t>
  </si>
  <si>
    <t>978-5-227-11174-6</t>
  </si>
  <si>
    <t>Эта книга — не сведение счетов. Автору важнее было показать, что крушение Советского Союза обусловливалось не только и, судя по фактам, не столько императивами, парализовавшими рефлексы самосохранения нации, сколько спецификой властных структур и личными качествами, присущими последним руководителям СССР. _x000D_
На каждой ступени перестройки давались варианты, имелся выбор. Право решающего вердикта принадлежало, однако, единолично М.С. Горбачеву. Он не делился этим правом ни с кем — ни с парламентом, ни с правительством, ни с коллегами в Политбюро ЦК партии, ни с партией как институтом. Приняв сан президента, М.С. Горбачев и вовсе вознесся над Конституцией и народной волей, выраженной в ходе общесоюзного референдума. Если не застревать на форме — она могла быть и бархатной, — но последний советский правитель ни на йоту не отступил от авторитаризма. Напротив, при нем авторитаризм расцвел «самым махровым» цветом.</t>
  </si>
  <si>
    <t>20401</t>
  </si>
  <si>
    <t>Каидзука С</t>
  </si>
  <si>
    <t>Конфуций. Жизненный путь и учение великого философа Древнего Китая</t>
  </si>
  <si>
    <t>978-5-9524-5844-4</t>
  </si>
  <si>
    <t>Книга рассказывает о жизненном пути и учении великого философа Древнего Китая — Конфуция. Подробно воссоздана историческая эпоха, в которой жил великий человек, анализируются его труды, исследуется влияние личности мудреца на формирование государственного устройства Поднебесной.</t>
  </si>
  <si>
    <t>17500</t>
  </si>
  <si>
    <t>Конфуций. Жизнь, деятельность,мысли</t>
  </si>
  <si>
    <t>978-5-227-06634-3</t>
  </si>
  <si>
    <t>12684</t>
  </si>
  <si>
    <t>Аксельрод В.И., Манькова А.А.</t>
  </si>
  <si>
    <t>Конюшенная площадь и Малая Конюшенная улица</t>
  </si>
  <si>
    <t>978-5-227-02697-2</t>
  </si>
  <si>
    <t>17431</t>
  </si>
  <si>
    <t>Коралловый рай для любимой</t>
  </si>
  <si>
    <t>978-5-227-07298-6</t>
  </si>
  <si>
    <t>11904</t>
  </si>
  <si>
    <t>Коридор в конце ночи</t>
  </si>
  <si>
    <t>978-5-227-02031-4</t>
  </si>
  <si>
    <t>16864</t>
  </si>
  <si>
    <t>Харшак А.А.</t>
  </si>
  <si>
    <t>Корнилов. Личность. Время. События</t>
  </si>
  <si>
    <t>978-5-227-06646-6</t>
  </si>
  <si>
    <t>15988</t>
  </si>
  <si>
    <t>Королева вечеринок</t>
  </si>
  <si>
    <t>978-5-227-05957-4</t>
  </si>
  <si>
    <t>16327</t>
  </si>
  <si>
    <t>Королева его сердца</t>
  </si>
  <si>
    <t>978-5-227-06191-1</t>
  </si>
  <si>
    <t>17039</t>
  </si>
  <si>
    <t>Эллис Люси</t>
  </si>
  <si>
    <t>Королева моих грез</t>
  </si>
  <si>
    <t>978-5-227-07041-8</t>
  </si>
  <si>
    <t>18892</t>
  </si>
  <si>
    <t>Королева ночного клуба</t>
  </si>
  <si>
    <t>978-5-227-08785-0</t>
  </si>
  <si>
    <t>17845</t>
  </si>
  <si>
    <t>Королева соблазна</t>
  </si>
  <si>
    <t>978-5-227-07788-2</t>
  </si>
  <si>
    <t>21242</t>
  </si>
  <si>
    <t>Королева теней</t>
  </si>
  <si>
    <t>978-5-227-10754-1</t>
  </si>
  <si>
    <t>Овдовев по жестокой иронии судьбы, Лара, домина Теры, став негласным регентом, королевой теней, своего несовершеннолетнего сына, обнаруживает, что Тьма вновь набирает силу в лице Сумеречных близнецов и их ведьмы-сестры, желающих отомстить за своего отца, Повелителя Сумерек, и завершить начатую им войну по захвату власти над всем миром Хетара. Фея, как бы этого ни хотела, должна встретиться с детьми Колла. Но рядом с ней находится Калиг, величайший принц-тень, чья вечная любовь к Ларе будет ее спасением.</t>
  </si>
  <si>
    <t>18991</t>
  </si>
  <si>
    <t>Королевский роман</t>
  </si>
  <si>
    <t>978-5-227-08141-4</t>
  </si>
  <si>
    <t>17203</t>
  </si>
  <si>
    <t>Королевское искушение</t>
  </si>
  <si>
    <t>978-5-227-07144-6</t>
  </si>
  <si>
    <t>18743</t>
  </si>
  <si>
    <t>Правер Д.</t>
  </si>
  <si>
    <t>Королевство крестоносцев. Два века правления европейских рыцарей на древних библейских землях: от взятия Иерусалима до падения Акры</t>
  </si>
  <si>
    <t>978-5-9524-5382-1</t>
  </si>
  <si>
    <t>21879</t>
  </si>
  <si>
    <t>Федосов А.В., Раффенспергер К</t>
  </si>
  <si>
    <t>Королевство Русь. Древняя Русь глазами западных историков</t>
  </si>
  <si>
    <t>978-5-227-11139-5</t>
  </si>
  <si>
    <t>"Первая часть книги — это анализ новейшей англо-американской литературы по проблемам древнерусской государственности середины IX— начала XII в., которая мало известна не только широкому российскому читателю, но и специалистам в этой области, т. к. никогда не издавалась в России. Российским историком А.В. Федосовым рассмотрены наиболее заметные работы англо-американских авторов, вышедшие с начала 70-х годов прошлого века до настоящего времени. Определены направления развития новейшей русистики и ее научные достижения.
Вторая часть представляет собой перевод работы «Королевство Русь» профессора Виттенбергского университета (США) Кристиана Раффенспергера — одного из авторитетных современных исследователей Древней Руси. Основной идеей книги является тезис о том, что Русь, по крайней мере до XIII в., была неотъемлемой частью общеевропейской культурно-политической общности благодаря династическим союзам, культурным контактам, религиозному взаимодействию и т. д. Представлен оригинальный взгляд автора на проблему титулатуры древнерусских правителей и ее аналогии с западноевропейскими титулами."</t>
  </si>
  <si>
    <t>21790</t>
  </si>
  <si>
    <t>Король Георг VI. Жизнь и царствование наследника Виндзорской династии, главы Британской империи в годы Второй мировой войны</t>
  </si>
  <si>
    <t>978-5-9524-6339-4</t>
  </si>
  <si>
    <t>Известный английский историк Джон Уилер-Беннет создал портрет Георга VI Английского, возможно, более других монархов уважаемого и любимого в своей стране. Имея неограниченный доступ к королевским архивам, автор представил подробное жизнеописание этой незаурядной личности. Окончив Королевский военно-морской колледж в Осборне, принц Альберт в деятельности морского офицера, герцога Йоркского и короля Великобритании всегда проявлял спокойное мужество и упорство. Он научился летать, путешествовал по миру, сражался в Ютландии во время Первой мировой войны. В связи с отречением Эдуарда от престола в сорок один год принц вынужден был стать королем. Ему удалось продемонстрировать способность решительно действовать в чрезвычайных ситуациях, и таким образом он поступал на протяжении всей своей жизни. Георг VI стал первым правящим британским монархом, посетившим Америку. В годы войны король и королева укрепляли моральный дух Британии, — лондонцы помнят, что оба монарха отказались покинуть город во время сокрушительных бомбардировок. _x000D_
В книге помещены редкие фотоматериалы.</t>
  </si>
  <si>
    <t>15782</t>
  </si>
  <si>
    <t>Король коротких отношений</t>
  </si>
  <si>
    <t>978-5-227-05695-5</t>
  </si>
  <si>
    <t>21112</t>
  </si>
  <si>
    <t>Кухаренко Т.Е.</t>
  </si>
  <si>
    <t>Король Людвиг II Баварский. Драма длиною в жизнь. 1845—1886</t>
  </si>
  <si>
    <t>978-5-227-10667-4</t>
  </si>
  <si>
    <t>Людвиг II (1845–1886) — самый известный и популярный король Баварии, покровитель искусств, меценат композитора Рихарда Вагнера, создатель таких архитектурных шедевров, как замок Нойшванштайн, дворцов Линдерхоф и Херренхимзее. Людвиг II, как и хотел, остался для своих современников и будущих поколений «вечной загадкой для себя и других». Вокруг личности короля до сих пор ходит множество слухов и легенд. Пацифист Людвиг II против своей воли был вовлечен в войны за объединение Германии, это принесло ему тяжелые страдания, отчего он все больше отдалялся от окружающего мира и строил свой мир грез, становясь «теневым королем без власти»._x000D_
В книге, основанной на широкой документальной базе, развенчиваются мифы о безумии, странном поведении, аполитичности, таинственной смерти монарха.</t>
  </si>
  <si>
    <t>20670</t>
  </si>
  <si>
    <t>Король Фейсал: личность, эпоха, вера</t>
  </si>
  <si>
    <t>978-5-227-07929-9</t>
  </si>
  <si>
    <t>Книга посвящена одному из самых выдающихся арабских лидеров XX в., роли личности и духовного начала в политике. Богатый фактический материал позволяет читателю составить собственное представление о герое книги, о его самобытной стране, о переломных моментах ее истории, познакомиться «изнутри» с «исламским фактором», который играет столь важную роль в политической жизни мирового сообщества. Труд А.М. Васильева — и академическое, и литературное произведение, рассчитанное как на специалистов-востоковедов, так и на широкий круг читателей.</t>
  </si>
  <si>
    <t>20625</t>
  </si>
  <si>
    <t>Юрас М.</t>
  </si>
  <si>
    <t>Короткие слова — великие лекарства</t>
  </si>
  <si>
    <t>978-5-227-10316-1</t>
  </si>
  <si>
    <t>Молодой парижанин Алекс имеет новую для Франции и редкую специальность: он библиотерапевт, то есть психолог, который лечит с помощью художественной литературы. Алекс выписывает рецепты: прочитать такую-то книгу, и выбирает ту, которая поможет человеку привести душу в порядок, а иногда изменить жизнь. Но теперь лечение книгами понадобилось самому Алексу: его спутница жизни Мелани возмущенно заявила, что книги интересуют его больше, чем она, и ушла от него. Алексу приходится налаживать одновременно четыре жизни — трех пациентов и свою собственную. Алекс верит, что в любой области новое — это лучшее, и решает полечиться литературой от профессионального выгорания.</t>
  </si>
  <si>
    <t>21343</t>
  </si>
  <si>
    <t>Скоропадский П.П.</t>
  </si>
  <si>
    <t>Короткий век Украинской Державы. 1917—1918. Воспоминания последнего в истории гетмана</t>
  </si>
  <si>
    <t>978-5-9524-6231-1</t>
  </si>
  <si>
    <t>Генерал-лейтенант Российской армии, герой Русско-японской и Первой мировой войн Павел Петрович Скоропадский во время Гражданской войны стал гетманом всея Украины. В воспоминаниях, охватывающих довольно небольшой промежуток времени, но вместивший в себя грандиозные исторические события, он подробно описывает свою деятельность в создавшейся политической обстановке в Малороссии: провозглашение независимой Украинской Державы, фактически ее оккупация немцами, постоянная борьба за власть в неустоявшемся государстве, стремление к реформам, но в итоге — бегство последнего гетмана из Киева в Германию.</t>
  </si>
  <si>
    <t>17360</t>
  </si>
  <si>
    <t>Короткий роман с продолжением</t>
  </si>
  <si>
    <t>978-5-227-07425-6</t>
  </si>
  <si>
    <t>18553</t>
  </si>
  <si>
    <t>978-5-227-08457-6</t>
  </si>
  <si>
    <t>11674</t>
  </si>
  <si>
    <t>ВО</t>
  </si>
  <si>
    <t>Бараненко С.П.</t>
  </si>
  <si>
    <t>Корпоративный менеджмент: учебное пособие</t>
  </si>
  <si>
    <t>978-5-9524-4498-0</t>
  </si>
  <si>
    <t>12921</t>
  </si>
  <si>
    <t>Катериничев П.В.</t>
  </si>
  <si>
    <t>Корсар. Наваждение</t>
  </si>
  <si>
    <t>978-5-227-02907-2</t>
  </si>
  <si>
    <t>14471</t>
  </si>
  <si>
    <t>Коса до пят</t>
  </si>
  <si>
    <t>978-5-227-04039-8</t>
  </si>
  <si>
    <t>14545</t>
  </si>
  <si>
    <t>18718</t>
  </si>
  <si>
    <t>Косметический салон на вашей кухне</t>
  </si>
  <si>
    <t>978-5-227-08620-4</t>
  </si>
  <si>
    <t>19302</t>
  </si>
  <si>
    <t>Кот и пес. Дневничок</t>
  </si>
  <si>
    <t>978-5-227-09127-7</t>
  </si>
  <si>
    <t>19304</t>
  </si>
  <si>
    <t>Котенок в красной шапочке. Дневничок</t>
  </si>
  <si>
    <t>978-5-227-09304-2</t>
  </si>
  <si>
    <t>19306</t>
  </si>
  <si>
    <t>Котенок с бабочками. Дневничок</t>
  </si>
  <si>
    <t>978-5-227-09305-9</t>
  </si>
  <si>
    <t>19305</t>
  </si>
  <si>
    <t>Котенок с клубком. Дневничок</t>
  </si>
  <si>
    <t>978-5-227-09130-7</t>
  </si>
  <si>
    <t>19308</t>
  </si>
  <si>
    <t>Котенок. Дневничок</t>
  </si>
  <si>
    <t>978-5-227-09307-3</t>
  </si>
  <si>
    <t>16601</t>
  </si>
  <si>
    <t>Котик грустный Дневничок</t>
  </si>
  <si>
    <t>978-5-227-06683-1</t>
  </si>
  <si>
    <t>5726</t>
  </si>
  <si>
    <t>Котя котенька коток</t>
  </si>
  <si>
    <t>5-9524-1600-4</t>
  </si>
  <si>
    <t>18598</t>
  </si>
  <si>
    <t>Котята в корзинке. Дневничок</t>
  </si>
  <si>
    <t>978-5-227-08498-9</t>
  </si>
  <si>
    <t>74</t>
  </si>
  <si>
    <t>Кошка по имени Ксения</t>
  </si>
  <si>
    <t>978-5-9524-3082-2</t>
  </si>
  <si>
    <t>21161</t>
  </si>
  <si>
    <t>Кошки. Мистические истории, легенды и поверья. Коты целители, предсказатели и маги</t>
  </si>
  <si>
    <t>978-5-9524-6068-3</t>
  </si>
  <si>
    <t>Много тысячелетий кошки живут рядом с человеком, но до сих пор «гуляют сами по себе»... Ловкие и пластичные, хрупкие и настырные, пушистые и бесшерстные, независимые и ручные, все они маленькие и грациозные хищники, не утратившие независимости. «Даже самое маленькое из кошачьих — совершенство» — слова гениального Леонардо да Винчи. И он прав, кошки — удивительные животные, земные, но абсолютно нереальные. Видят то, чего не видим мы, легко странствуют между мирами и мирно спят в солнечных лучах. Они могут быть нежными домашними питомцами и мистическими фамильярами ведьм, предсказателями катастроф и целителями от недугов. Читайте книгу об этих очаровательных животных, вас ждут кошачьи легенды, приметы и поверья, правдивые истории и сказочные рассказы.</t>
  </si>
  <si>
    <t>7607</t>
  </si>
  <si>
    <t>Кошмар на улице Вятской</t>
  </si>
  <si>
    <t>5-9524-2376-0</t>
  </si>
  <si>
    <t>19441</t>
  </si>
  <si>
    <t>Кивинов А.В.</t>
  </si>
  <si>
    <t>Кошмар на улице Стачек</t>
  </si>
  <si>
    <t>978-5-9524-5358-6</t>
  </si>
  <si>
    <t>5352</t>
  </si>
  <si>
    <t>Гаскин</t>
  </si>
  <si>
    <t>Край бокала</t>
  </si>
  <si>
    <t>5-9524-1387-0</t>
  </si>
  <si>
    <t>17379</t>
  </si>
  <si>
    <t>Красавица с характером</t>
  </si>
  <si>
    <t>978-5-227-07428-7</t>
  </si>
  <si>
    <t>15610</t>
  </si>
  <si>
    <t>Красивый, богатый, свободный</t>
  </si>
  <si>
    <t>978-5-227-05630-6</t>
  </si>
  <si>
    <t>17329</t>
  </si>
  <si>
    <t>Красная роза для Френсис</t>
  </si>
  <si>
    <t>978-5-227-07224-5</t>
  </si>
  <si>
    <t>17033</t>
  </si>
  <si>
    <t>Красно солнышко</t>
  </si>
  <si>
    <t>978-5-227-07129-3</t>
  </si>
  <si>
    <t>7039</t>
  </si>
  <si>
    <t>Осипова А.Ю.</t>
  </si>
  <si>
    <t>Красное платье</t>
  </si>
  <si>
    <t>978-5-9524-3135-5</t>
  </si>
  <si>
    <t>16968</t>
  </si>
  <si>
    <t>Пежемский В.Г</t>
  </si>
  <si>
    <t>Красное село. Страницы истории</t>
  </si>
  <si>
    <t>978-5-227-06059-4</t>
  </si>
  <si>
    <t>14288</t>
  </si>
  <si>
    <t>Красота и здоровье зубов</t>
  </si>
  <si>
    <t>978-5-227-04251-4</t>
  </si>
  <si>
    <t>21421</t>
  </si>
  <si>
    <t>Краткая история биологии. От алхимии до генетики</t>
  </si>
  <si>
    <t>978-5-9524-6310-3</t>
  </si>
  <si>
    <t>В книге знаменитого фантаста, ученого с мировым именем А. Азимова ярко и увлекательно повествуется о зарождении и развитии интересной и сложной науки биологии от суеверий и предрассудков древности до современных фундаментальных теорий. Автор живо и доходчиво рассказывает о знаменитых ученых и их открытиях. А также о зарождении смежных с биологией наук и перспективных научных изысканиях.</t>
  </si>
  <si>
    <t>21877</t>
  </si>
  <si>
    <t>Хитти Ф.</t>
  </si>
  <si>
    <t>Краткая история Ближнего Востока. Формирование самого нестабильного региона мира на перекрестке трех</t>
  </si>
  <si>
    <t>978-5-9524-6378-3</t>
  </si>
  <si>
    <t>Филип Хитти, известный американский ученый, профессор Принстонского университета, посвятил свою книгу истории Ближнего Востока. На протяжении многих веков на этой обширнейшей части планеты жили самые разные народы: египтяне, вавилоняне, ассирийцы, финикийцы, евреи, турки, персы, арабы. В течение пяти тысячелетий эта территория динамично развивалась и являла собой источник материальной и духовной культуры, из которого черпали знания и умения жители Европы. Искусство одомашнивания животных, выплавки металлов, изготовления изделий из керамики, солнечный календарь, алфавит — все это и многое другое подарил Европе Ближний Восток. Исследуя жизнь Ближнего Востока, автор затронул важнейшие вопросы, связанные с территориальными завоеваниями, развитием науки, культуры, экономики, возникновения и распространения трех великих мировых религий: иудаизма, христианства, ислама.</t>
  </si>
  <si>
    <t>20129</t>
  </si>
  <si>
    <t>Монтгомери Б.Л.</t>
  </si>
  <si>
    <t>Краткая история военных сражений</t>
  </si>
  <si>
    <t>978-5-9524-5647-1</t>
  </si>
  <si>
    <t>20252</t>
  </si>
  <si>
    <t>Гулд Р.</t>
  </si>
  <si>
    <t>Краткая история масонства</t>
  </si>
  <si>
    <t>978-5-227-09851-1</t>
  </si>
  <si>
    <t>20887</t>
  </si>
  <si>
    <t>Дерри Т., Уильямс Т.</t>
  </si>
  <si>
    <t>Краткая история технологий</t>
  </si>
  <si>
    <t>978-5-9524-6025-6</t>
  </si>
  <si>
    <t>Т. Дерри и Т. Уильямс представили блистательный рассказ о технологических достижениях человечества с древности до наших дней, уделив пристальное внимание влиянию технического прогресса на ход истории. Первая часть повествования включает историю технологий с древних времен до 1750 года. Рассказ начинается с общего исторического обзора древних цивилизаций, затем авторы рассматривают такие темы, как производство продуктов питания, металлообработка, строительство зданий, ранние источники энергии и начало химической промышленности. Вторая часть текста посвящена развитию парового двигателя, станков, современного транспорта, добыче угля и металлов, подъему современной химической промышленности, текстилю, двигателю внутреннего сгорания, электричеству и многим другим. Каждому разделу предшествует историческое введение, книга завершается рядом таблиц, предназначенных для отображения взаимосвязи имен и событий в тексте._x000D__x000D_
Книга богато иллюстрирована и наполнена фактологическими данными.</t>
  </si>
  <si>
    <t>21378</t>
  </si>
  <si>
    <t>Краткая история химии. От магического кристалла до атомного ядра</t>
  </si>
  <si>
    <t>978-5-9524-6273-1</t>
  </si>
  <si>
    <t>В книге просто и доступно изложена история возникновения и развития химии. Автор приводит много интересных сведений о молекулах и атомах, изомерах и радикалах, об электролизе и катализе, валентности и радиоактивности, периодической системе Менделеева, популярно толкует суть сложных теоретических понятий. Читателей также ждет увлекательный экскурс в смежные отрасли знаний: физическую химию, химическую термодинамику, биохимию.</t>
  </si>
  <si>
    <t>17109</t>
  </si>
  <si>
    <t>Краткий англо-русский словарь. Abridged English­Russian Dictionary</t>
  </si>
  <si>
    <t>978-5-227-07111-8</t>
  </si>
  <si>
    <t>14070</t>
  </si>
  <si>
    <t>Пшеняник Г.</t>
  </si>
  <si>
    <t>Крах плана "Эдельвейс". Советская авиация в битве за Кавказ.1942-1943</t>
  </si>
  <si>
    <t>978-5-227-04073-2</t>
  </si>
  <si>
    <t>21498</t>
  </si>
  <si>
    <t>Терни А.</t>
  </si>
  <si>
    <t>Крах под Москвой. Зимняя кампания генерал-фельдмаршала фон Бока и группы армий «Центр». 1941—1942</t>
  </si>
  <si>
    <t>978-5-9524-6331-8</t>
  </si>
  <si>
    <t>Полковник американской армии и военный историк, профессор Альфред Тёрни проводит исследование комплекса проблем кампании 1941—1942 гг. на территории СССР, используя в качестве основного источника информации военный дневник генерал-фельдмаршала фон Бока. Командованию группы армий «Центр» во главе с фон Боком, одним из самых прославленных военачальников Германии, была поручена миссия вторжения в Центральную Россию и взятие Москвы. В течение шести месяцев, несмотря на плохие дороги и недостаточные поставки, конфликты с Гитлером и Верховным командованием армии, жестокие погодные условия и упорное сопротивление советских войск, фон Бок удерживал свои армии на подступах к Москве. Именно здесь, под Москвой, Германия потерпела первое за всю войну и наиболее серьезное поражение, прозвучавшее похоронным звоном для германской военной машины.</t>
  </si>
  <si>
    <t>20127</t>
  </si>
  <si>
    <t>Коршунова Н.В.</t>
  </si>
  <si>
    <t>Крах политической доктрины императора Павла I, или Как нельзя управлять страной</t>
  </si>
  <si>
    <t>978-5-227-09860-3</t>
  </si>
  <si>
    <t>8652</t>
  </si>
  <si>
    <t>Земан</t>
  </si>
  <si>
    <t>Кредит на революцию План Парвуса</t>
  </si>
  <si>
    <t>978-5-9524-2941-3</t>
  </si>
  <si>
    <t>15866</t>
  </si>
  <si>
    <t>Крейсерова соната</t>
  </si>
  <si>
    <t>978-5-227-05711-2</t>
  </si>
  <si>
    <t>16777</t>
  </si>
  <si>
    <t>Кремль-1953. Борьба за власть со смертельным исходом.</t>
  </si>
  <si>
    <t>978-5-227-06819-4</t>
  </si>
  <si>
    <t>17363</t>
  </si>
  <si>
    <t>Крепкая рассада для огорода. Гарантия высокого урожая</t>
  </si>
  <si>
    <t>978-5-227-07405-8</t>
  </si>
  <si>
    <t>21120</t>
  </si>
  <si>
    <t>Виолле­ле­Дюк Э.Э.</t>
  </si>
  <si>
    <t>Крепости и осадные орудия. Средства ведения войны в Средние века</t>
  </si>
  <si>
    <t>978-5-9524-6132-1</t>
  </si>
  <si>
    <t>Известный французский архитектор и знаток искусства Виолле-ле-Дюк в своем труде о средствах ведения войны в Средние века использовал не только знание принципов строительства, огромный опыт зодчего, но и результаты проведенных им исследований в области истории. Последовательно прослеживая смену и устройство средств обороны и наступления на примере знаменитых европейских замков и крепостей, автор объясняет важные эпизоды истории, особенно во время войн между Англией и Францией.</t>
  </si>
  <si>
    <t>15631</t>
  </si>
  <si>
    <t>Крепость</t>
  </si>
  <si>
    <t>978-5-227-05641-2</t>
  </si>
  <si>
    <t>21862</t>
  </si>
  <si>
    <t>Эсбридж Т.</t>
  </si>
  <si>
    <t>Крестовые походы. Войны Средневековья за Святую землю</t>
  </si>
  <si>
    <t>978-5-227-11186-9</t>
  </si>
  <si>
    <t>Британский историк Томас Эсбридж в своей книге ведет рассказ о Крестовых походах — войнах за господство над Святой землей, регионом, священным как для христиан, так и для приверженцев мусульманской веры, — которые велись на протяжении двух столетий. В них участвовали такие выдающиеся личности, как Ричард Львиное Сердце, Людовик IX, Филипп­Август, Занги, Бейбарс и многие другие. Рассматривая историю кровавой борьбы с точки зрения и христиан, и мусульман, автор тем самым избегает в повествовании предвзятости. Большое внимание он уделяет и урокам этих походов, предостерегая об опасности исторического параллелизма.</t>
  </si>
  <si>
    <t>20432</t>
  </si>
  <si>
    <t>Крик</t>
  </si>
  <si>
    <t>978-5-227-09843-6</t>
  </si>
  <si>
    <t>Психиатрическая больница «Гёустад» в Осло. На рассвете холодного зимнего дня одного из пациентов находят задушенным. Рот его открыт в безмолвном крике. Приехавшая на место происшествия инспектор полиции Сара Геринген сразу поняла, что столкнулась с делом из ряда вон выходящим. Вопросы возникают один за другим: что за странный шрам в виде числа 488 на лбу жертвы? Откуда взялись зловещие рисунки на стенах больничной палаты, где его содержали? Почему руководство больницы почти не обладает информацией о личности человека, который провел там больше тридцати лет? Так для Сары началось запутанное и крайне опасное расследование, которое заставит ее немало помотаться по миру: Париж, Лондон, вулканический остров Вознесения, заброшенные шахты Миннесоты, Ницца... Напарником ее окажется французский журналист Кристофер Кларенс, вместе с которым ей предстоит открыть ошеломляющую правду, похороненную в сверхсекретных лабораториях.</t>
  </si>
  <si>
    <t>21241</t>
  </si>
  <si>
    <t>978-5-227-10751-0</t>
  </si>
  <si>
    <t>16323</t>
  </si>
  <si>
    <t>Родионов С.</t>
  </si>
  <si>
    <t>Криминальный талант</t>
  </si>
  <si>
    <t>978-5-227-06319-9</t>
  </si>
  <si>
    <t>19056</t>
  </si>
  <si>
    <t>Кровавая плаха</t>
  </si>
  <si>
    <t>978-5-227-07912-1</t>
  </si>
  <si>
    <t>21070</t>
  </si>
  <si>
    <t>Гостони П.</t>
  </si>
  <si>
    <t>Кровавый Дунай. Решающие бои за крепость Будапешт, падение Румынии и Болгарии, борьба за Вену. 1944—1945</t>
  </si>
  <si>
    <t>978-5-9524-6060-7</t>
  </si>
  <si>
    <t>С наступлением Красной армии летом 1944 года Дунайский регион стал театром военных действий между германскими и советскими войсками, в эти действия так или иначе оказались вовлечены и народы Юго-Восточной Европы._x000D_
Известный венгерский историк Петер Гостони осветил политические и военные события, произошедшие в странах Дунайского региона с августа 1944 года вплоть до конца войны. В результате многолетней исследовательской работы, анализа журналов боевых действий группы армий «Юг», целого ряда интервью бывших командиров и офицеров дивизий, корпусов и армий вермахта, политических и военных деятелей придунайских стран, изучения огромного количества мемуарной литературы и документальных источников автор смог представить реалистическую картину того, как  в Дунайском регионе решалась судьба не только Германского рейха, но и будущее Румынии, Болгарии, Венгрии, Югославии и Чехословакии.</t>
  </si>
  <si>
    <t>19617</t>
  </si>
  <si>
    <t>Кровавый пасьянс</t>
  </si>
  <si>
    <t>978-5-227-09412-4</t>
  </si>
  <si>
    <t>17296</t>
  </si>
  <si>
    <t>Кровавый след</t>
  </si>
  <si>
    <t>978-5-227-07160-6</t>
  </si>
  <si>
    <t>19315</t>
  </si>
  <si>
    <t>Красников В.</t>
  </si>
  <si>
    <t>Кроманьонец</t>
  </si>
  <si>
    <t>978-5-227-09172-7</t>
  </si>
  <si>
    <t>21475</t>
  </si>
  <si>
    <t>Амирханов Л.И.</t>
  </si>
  <si>
    <t>Кронштадт. Город-крепость. От основания до наших дней</t>
  </si>
  <si>
    <t>978-5-227-10231-7</t>
  </si>
  <si>
    <t>Кронштадт — легендарный пригород Санкт-Петербурга. Сама природа создала здесь все предпосылки для строительства важнейшего для России опорного пункта, но, чтобы увидеть эти предпосылки, нужен был проницательный взгляд первого российского императора. Петр I считал Кронштадт неотъемлемой частью Петербурга и придавал колоссальное значение его развитию. К строительству города были привлечены самые лучшие архитекторы того времени: Василий Баженов, Доменико Трезини… Крепость Кронштадт стала мощным оборонительным рубежом, который не смогли преодолеть враги России ни в XVIII, ни в XIX, ни в XX веке… Но Кронштадт — это не только крепость, форты, доки и портовые сооружения. Это — люди, которые создавали все это, которые жили в Кронштадте и составили его славу. Книга Леонида Амирханова подробнейшим образом расскажет историю этого удивительного города и его жителей от момента основания и до наших дней.</t>
  </si>
  <si>
    <t>11228</t>
  </si>
  <si>
    <t>Круговой перекресток</t>
  </si>
  <si>
    <t>978-5-9524-4324-2</t>
  </si>
  <si>
    <t>17200</t>
  </si>
  <si>
    <t>Круиз с сюрпризом</t>
  </si>
  <si>
    <t>978-5-227-07204-7</t>
  </si>
  <si>
    <t>21306</t>
  </si>
  <si>
    <t>Лохнер Л.</t>
  </si>
  <si>
    <t>Круппы, Боши, Сименсы и Третий рейх. Кровавый контракт магнатов с тираном</t>
  </si>
  <si>
    <t>978-5-9524-6179-6</t>
  </si>
  <si>
    <t>"Луи Лохнер — известный американский писатель и журналист, многие годы занимавший должность шефа Берлинского бюро информационно-новостного агентства Ассошиэйтед Пресс, долгое время работал в довоенной и послевоенной Германии.
В предлагаемой читателю книге он подробнейшим образом, на основе тщательно изученных документов и фактов раскрывает историю отношений между крупными немецкими промышленниками, различными политическими партиями и правительством в период господства Третьего рейха и последовавшего затем его бесславного конца."</t>
  </si>
  <si>
    <t>13249</t>
  </si>
  <si>
    <t>Стелла Ч.</t>
  </si>
  <si>
    <t>Крутые парни</t>
  </si>
  <si>
    <t>978-5-227-03465-6</t>
  </si>
  <si>
    <t>11214</t>
  </si>
  <si>
    <t>Чарли С.</t>
  </si>
  <si>
    <t>978-5-9524-4290-0</t>
  </si>
  <si>
    <t>20686</t>
  </si>
  <si>
    <t>Бьюкенен М.</t>
  </si>
  <si>
    <t>Крушение великой империи. Дочь посла Великобритании о революционной России</t>
  </si>
  <si>
    <t>978-5-9524-5720-1</t>
  </si>
  <si>
    <t>Воспоминания Мириэл Бьюкенен (1886–1959) — дочери последнего британского посла в Российской империи Джорджа Бьюкенена, известного русским читателям своими мемуарами, — посвящены событиям восьми лет, предшествовавшим революции. В первой части книги автор описывает прибытие в Петербург осенью 1910 года, знакомство с императорской семьей, представителями высшего света и членами дипломатического корпуса. Мириэл, выполнявшая по поручению отца «светские обязанности» дипломатической службы, рассказывает не только о жизни при дворе, балах и приемах, но и об особенностях «русской жизни»: праздниках, традициях, быте простого народа, положении женщин, а также о политической ситуации в стране накануне Первой мировой войны. Во второй части книги говорится о драматических событиях, ускоривших падение великой державы: убийстве Распутина, череде восстаний и переворотов, расстреле царской семьи, после которых семья посла была вынуждена навсегда покинуть страну. Воспоминания Мириэл Бьюкенен в России публикуются впервые.</t>
  </si>
  <si>
    <t>21269</t>
  </si>
  <si>
    <t>Назанский В.И.</t>
  </si>
  <si>
    <t>Крушение великой России и Дома Романовых. Воспоминания помощника московского градоначальника</t>
  </si>
  <si>
    <t>978-5-227-10433-5</t>
  </si>
  <si>
    <t>Автор этой книги Владимир Иванович Назанский (1877—1939) говорил о себе: «Многое мои глаза видели на скромном моем посту в третьих рядах носителей исполнительной власти, многого привелось мне быть очевидцем до и после крушения России в 1917 году — многих малых и больших событий свидетелем Господь меня поставил». «До и после» 1917 года упомянуто им не случайно. Это — роковой перелом, разделивший его жизнь на две части. В одной Назанский — помощник московского градоначальника, полковник конной артиллерии Императорской русской армии, родовитый дворянин, монархист, по собственным словам: «один из бесчисленных верноподданных русского царя и служилых людей Российского государства»… В другой — все потерявший белый эмигрант, которого ждали лишь горькие годы долгого изгнания. Неудивительно, что он не смог полностью разорвать связь с Россией, постоянно возвращаясь к ней и мыслями, и душой. Раздумывая в изгнании о том, что привело императорскую Россию к краху, Назанский составил «летопись» исторических событий, кропотливо отбирая факты и опираясь на данные архивов, личные собрания документов представителей эмиграции, рассказы очевидцев, статьи из дореволюционной, советской, белоэмигрантской и западной прессы, труды ученых, письма, политические памфлеты и пр. И на собственные воспоминания и впечатления, так как и сам он всегда был в гуще описанных событий. Именовал свой труд В.И. Назанский «Книгой русской скорби»…</t>
  </si>
  <si>
    <t>21198</t>
  </si>
  <si>
    <t>Шейдеман Ф.</t>
  </si>
  <si>
    <t>Крушение Германской империи. Воспоминания первого канцлера Веймарской республики о распаде великой державы. 1914–1922 гг.</t>
  </si>
  <si>
    <t>978-5-227-10697-1</t>
  </si>
  <si>
    <t>Филипп Шейдеман (1865–1939) – немецкий политик, один из лидеров Социал-демократической партии Германии – описал в своей книге самые сложные периоды Первой мировой войны, кризис кайзеровского режима, а также события революционных дней в ноябре 1918 г. Воспоминания Шейдемана содержат бесценные сведения о последних днях Германской империи, учреждении Веймарской республики и политической ситуации в Европе в целом.</t>
  </si>
  <si>
    <t>20779</t>
  </si>
  <si>
    <t>Крушение империи Наполеона: Военно-исторические хроники</t>
  </si>
  <si>
    <t>978-5-9524-5804-8</t>
  </si>
  <si>
    <t>В книге в хронологическом порядке рассмотрены события последнего года правления Наполеона, дан подробный анализ сильных и слабых сторон имперского режима, причин успехов Наполеона до 1812 года и его поражений в Испании и России. Описание сражений, карты-схемы и выдержки из документов того времени дополняют картину военно-политической обстановки в Европе и помогают воссоздать дух далекой эпохи.</t>
  </si>
  <si>
    <t>21139</t>
  </si>
  <si>
    <t>Родзянко М.В.</t>
  </si>
  <si>
    <t>Крушение империи. Записки председателя Государственной думы</t>
  </si>
  <si>
    <t>978-5-227-10431-1</t>
  </si>
  <si>
    <t>Михаил Владимирович Родзянко относился к государственной и политической элите Российской империи. Действительный статский советник, камергер, член Государственного совета, депутат Третьей и Четвертой Государственных дум, в 1911—1917 гг. — председатель Государственной думы. Основатель Союза 17 октября… По роду деятельности он оказался причастен к ключевым событиям российской истории, лично знал многих ее персонажей, оставивших след на страницах учебников и… нажил немало врагов. Прежде всего, председателю Думы не могли простить его роль в событиях Февральской революции 1917 года; в среде белой эмиграции Родзянко даже ставили в вину, что ход истории принял именно такой оборот — отречение императора, крушение империи и всю последующую цепь событий лично Родзянко и другие облеченные властью лица должны были предотвратить. Возможно ли это было в 1917 году?_x000D_
Бывший председатель Государственной думы излагает свой взгляд на политическую жизнь Российской империи в предреволюционные годы.</t>
  </si>
  <si>
    <t>11791</t>
  </si>
  <si>
    <t>Крыжовник. Сажаем, выращиваем, заготавливаем</t>
  </si>
  <si>
    <t>978-5-9524-4825-4</t>
  </si>
  <si>
    <t>17372</t>
  </si>
  <si>
    <t>Мокиенко В.М., Сидоренко К.П.</t>
  </si>
  <si>
    <t>Крылатые выражения, литературные образы и цитаты из басен Ивана Андреевича Крылова</t>
  </si>
  <si>
    <t>978-5-227-07170-5</t>
  </si>
  <si>
    <t>21813</t>
  </si>
  <si>
    <t>Милнер Т.</t>
  </si>
  <si>
    <t>Крым. Ханы, султаны, цари. История полуострова под властью Древней Греции, Генуэзской респуб­лики, Крымского ханства, Османской и Российской империй</t>
  </si>
  <si>
    <t>978-5-9524-6523-7</t>
  </si>
  <si>
    <t>Эту книгу историк и географ Томас Милнер написал в разгар Крымской войны, в дни первой обороны Севастополя. Не имея цели подробного описания сражений, автор представил обзор всей истории Крыма: Античность, когда полуостров был греческим, Средние века, когда Крымом владели генуэзцы, затем Османская империя и татарское ханство и, наконец, события, приведшие к Русско-турецкой войне, в результате которой полуостров вошел в состав Российской империи. Милнер обращает внимание на особенности географического положения и климат этой земли, рассказывает о ее древних памятниках, о народах, ее населяющих, правителях и героях разных эпох, о бесконечных военных действиях и политических интригах.</t>
  </si>
  <si>
    <t>21841</t>
  </si>
  <si>
    <t>Хибберт К.</t>
  </si>
  <si>
    <t>Крымская кампания 1854—1855 гг. Британский экспедиционный корпус в Балаклавской битве, осаде Севастополя и штурме Малахова кургана</t>
  </si>
  <si>
    <t>978-5-9524-6531-2</t>
  </si>
  <si>
    <t>Эта книга посвящена Крымской кампании 1854—1855 годов. В ней достоверно и ярко описаны главные события: осада Севастополя, Балаклавская битва, штурм Малахова кургана. В центре повествования — трагическая фигура командующего британскими войсками лорда Раглана, человека, обладающего несомненными дипломатическими способностями, умного и храброго. Он не был великим полководцем, но был честным человеком и тяжело переживал последствия своих ошибок в ведении войны. Автор цитирует подлинные документы, письма и воспоминания очевидцев.</t>
  </si>
  <si>
    <t>19008</t>
  </si>
  <si>
    <t>Крысолов</t>
  </si>
  <si>
    <t>978-5-227-08828-4</t>
  </si>
  <si>
    <t>21439</t>
  </si>
  <si>
    <t>Ксеркс. Покоритель Вавилона</t>
  </si>
  <si>
    <t>978-5-9524-6295-3</t>
  </si>
  <si>
    <t>В книге Джекоба Эббота с неожиданной точки зрения повествуется о жизненном пути горделивого царя персов Ксеркса, завоевателя Египта и покорителя Вавилона. Во время похода  на?греков разгулявшийся шторм разрушил мост через Геллеспонт, и на глазах у жестокого тирана погибла большая часть огромной армии, равной которой не знала история. Это знаменовало закат Персидского царства.</t>
  </si>
  <si>
    <t>17564</t>
  </si>
  <si>
    <t>Кто мы друг другу?</t>
  </si>
  <si>
    <t>978-5-227-07609-0</t>
  </si>
  <si>
    <t>0140</t>
  </si>
  <si>
    <t>Кто останется жив-будет смеятся</t>
  </si>
  <si>
    <t>978-5-227-06967-2</t>
  </si>
  <si>
    <t>16810</t>
  </si>
  <si>
    <t>Кто прав, кто виноват?</t>
  </si>
  <si>
    <t>978-5-227-06752-4</t>
  </si>
  <si>
    <t>18741</t>
  </si>
  <si>
    <t>Кто придумал велосипед</t>
  </si>
  <si>
    <t>978-5-227-08742-3</t>
  </si>
  <si>
    <t>17681</t>
  </si>
  <si>
    <t>Кто сдастся первым?</t>
  </si>
  <si>
    <t>978-5-227-07709-7</t>
  </si>
  <si>
    <t>20896</t>
  </si>
  <si>
    <t>Кто удивил, тот победил. Мысли и цитаты знаменитых полководцев и военачальников</t>
  </si>
  <si>
    <t>978-5-227-10491-5</t>
  </si>
  <si>
    <t>Истории известны имена самых выдающихся военачальников, мудрыми мыслями которых хочется поделиться с читателями. Легендарный Александр Македонский и великий Ганнибал, знаменитые Аттила и Гай Юлий Цезарь, король франков Карл Великий и князь киевский Святослав Игоревич, политик и полководец Древней Руси Владимир Мономах и хан Монгольской империи Чингиcхан. Дмитрий Донской, Александр Невский, Пётр I, Джордж Вашингтон, Александр Суворов, Михаил Кутузов и ещё целый сонм мужественных мужей, которые были способны повести за собой и словом и делом.</t>
  </si>
  <si>
    <t>21046</t>
  </si>
  <si>
    <t>Кто украл мое сердце</t>
  </si>
  <si>
    <t>978-5-227-10603-2</t>
  </si>
  <si>
    <t>Клеа Рейс едва не погибла от взрыва на корабле, перевозившем коллекцию произведений искусства. В полиции ей не верят, так как она сидела в тюрьме и вообще у нее темное прошлое. Чтобы доказать правоту своих слов, Клеа решает украсть у богатого англичанина старинный кинжал, который якобы находился на корабле. Во время кражи она сталкивается с Джорданом Тэвистоком, настоящим джентльменом из почтенного английского рода, который тоже намерен кое-что украсть, а именно нескромные любовные письма своей приятельницы. Молодые люди конечно же уверены в случайности своей встречи, но судьбу не проведешь...</t>
  </si>
  <si>
    <t>7146</t>
  </si>
  <si>
    <t>СТРЕЛА</t>
  </si>
  <si>
    <t>Бишоп Энн</t>
  </si>
  <si>
    <t>Кузина королевы</t>
  </si>
  <si>
    <t>5-9524-2240-3</t>
  </si>
  <si>
    <t>21380</t>
  </si>
  <si>
    <t>Кулинарная книга выживальщика. Остаться в живых: в лесу, в пустыне, на берегу. Разводим огонь, добываем воду, готовим еду в экстремальных условиях</t>
  </si>
  <si>
    <t>978-5-227-10274-4</t>
  </si>
  <si>
    <t>Куда бы ни забросила вас судьба: на далекий необитаемый остров или в глухую тайгу, знания, полученные из этой книги,  помогут остаться в живых и не погибнуть с голода даже в самой безнадежной ситуации! Вдали от супермаркетов, холодильника, огорода… Не имея под рукой крана или колодца с чистой водой… Без плиты и печи, наедине с дикой и опасной природой вы всегда сможете добыть огонь, пропитание и воду!_x000D_
Специалисты интернет-портала «Last Day Club» знают, что делать, и с радостью делятся с читателями своими уникальными знаниями по выживанию в экстремальных ситуациях. Невозможно угадать наперед, куда занесут обстоятельства — в лес, в пустыню или на водоем, — нужно заранее быть готовым ко всему и  суметь позаботиться о себе и спутниках. Вы узнаете множество рецептов заготовок и простейшие блюда из подручных продуктов, научитесь определять опасные и съедобные растения и грибы, ловить рыбу без удочки, находить воду в пустыне и разводить костер без спичек и зажигалки.</t>
  </si>
  <si>
    <t>21593</t>
  </si>
  <si>
    <t>Кулинарная книга диабетика. Неотложная кулинарная помощь</t>
  </si>
  <si>
    <t>978-5-227-11003-9</t>
  </si>
  <si>
    <t>В доступной и увлекательной форме практикующий врач-эндокринолог рассказывает о причинах заболевания диабетом и возможных осложнениях при неправильном питании. В книге не только даны ответы на наиболее распространенные вопросы, возникающие при диабете, но и приведено более 800 рецептов блюд, что позволит разнообразить меню и даже очень вкусно поесть, несмотря на все ограничения.</t>
  </si>
  <si>
    <t>21843</t>
  </si>
  <si>
    <t>Эскофье О.</t>
  </si>
  <si>
    <t>Кулинарный путеводитель. Рецепты от короля французской кухни</t>
  </si>
  <si>
    <t>978-5-227-11181-4</t>
  </si>
  <si>
    <t>Эта книга - подлинная библия французской кулинарии, в которой собрано несколько тысяч рецептов от непревзойденного Огюста Эскофье, которого по праву назвали королем поваров и поваром королей. В книге собраны основные рецепты французских поваров, послужившие фундаментом для современной европейской кухни. Опытным профессионалам и кулинарам-любителям блистательный мастер предлагает подробное описание правил приготовления множества изысканных и сложных блюд.</t>
  </si>
  <si>
    <t>18481</t>
  </si>
  <si>
    <t>Кульминация страсти</t>
  </si>
  <si>
    <t>978-5-227-08396-8</t>
  </si>
  <si>
    <t>21197</t>
  </si>
  <si>
    <t>Уилсон Д</t>
  </si>
  <si>
    <t>Культура Древнего Египта. Материальное и духовное наследие народов долины Нила</t>
  </si>
  <si>
    <t>978-5-9524-6096-6</t>
  </si>
  <si>
    <t>Известный американский египтолог Джон А. Уилсон представил свою интерпретацию истории одного из величайших культурных периодов в человеческом опыте. Основываясь на письменных источниках, свидетельствах древних авторов, а также предметах материальной культуры, он собрал, проанализировал и представил исследование о религии, государственном устройстве, экономике, социальной структуре, ремесленных производствах, научных знаниях, искусстве, литературе и других предметах, включая изучение их особенностей в разные исторические периоды Древнего Египта. _x000D_
Повествование иллюстрируют карты и фотоматериалы.</t>
  </si>
  <si>
    <t>19856</t>
  </si>
  <si>
    <t>Купец пришел! Повествование о разорившемся дворянине и разбогатевших купцах</t>
  </si>
  <si>
    <t>978-5-227-09659-3</t>
  </si>
  <si>
    <t>15236</t>
  </si>
  <si>
    <t>Шаляпин Д.В</t>
  </si>
  <si>
    <t>Купчино. Четыре века истории. 50 лет современности.</t>
  </si>
  <si>
    <t>978-5-227-05163-9</t>
  </si>
  <si>
    <t>18512</t>
  </si>
  <si>
    <t>Немытов Н.</t>
  </si>
  <si>
    <t>Курганник</t>
  </si>
  <si>
    <t>978-5-227-08504-7</t>
  </si>
  <si>
    <t>18628</t>
  </si>
  <si>
    <t>Курортная прелюдия к браку</t>
  </si>
  <si>
    <t>978-5-227-08516-0</t>
  </si>
  <si>
    <t>7518</t>
  </si>
  <si>
    <t>Курочка рябушечка</t>
  </si>
  <si>
    <t>5-9524-1596-2</t>
  </si>
  <si>
    <t>16312</t>
  </si>
  <si>
    <t>ОИ Книги для детей</t>
  </si>
  <si>
    <t>Сонми Хван</t>
  </si>
  <si>
    <t>Курочка, которая мечтала летать</t>
  </si>
  <si>
    <t>978-5-227-05825-6</t>
  </si>
  <si>
    <t>15171</t>
  </si>
  <si>
    <t>Эшфорд Люси</t>
  </si>
  <si>
    <t>Куртизанка и капитан</t>
  </si>
  <si>
    <t>978-5-227-05230-8</t>
  </si>
  <si>
    <t>5769</t>
  </si>
  <si>
    <t>Кухни Скандинавии</t>
  </si>
  <si>
    <t>5-9524-1689-6</t>
  </si>
  <si>
    <t>10197</t>
  </si>
  <si>
    <t>Кухни славянских народов</t>
  </si>
  <si>
    <t>978-5-9524-3369-4</t>
  </si>
  <si>
    <t>12289</t>
  </si>
  <si>
    <t>СЕРВИС</t>
  </si>
  <si>
    <t>Митше Э.</t>
  </si>
  <si>
    <t>Кухня.Менеджмент и организация</t>
  </si>
  <si>
    <t>978-5-227-02301-8</t>
  </si>
  <si>
    <t>21355</t>
  </si>
  <si>
    <t>Елисеев Ф.И.</t>
  </si>
  <si>
    <t>Лабинцы. Побег из красной России. Последний этап Белой борьбы Кубанского Казачьего Войска</t>
  </si>
  <si>
    <t>978-5-9524-6242-7</t>
  </si>
  <si>
    <t>Книга посвящена истории последнего этапа Белой борьбы Кубанского Казачьего Войска в начале 1920 г. и раскрывает трагизм положения тысяч кубанских казаков, отступивших с боями на Черноморское побережье и вынужденных сдаться в красный плен. Автор подробно описывает заключение казаков в лагеря, этапы в Москву, на Урал, в Архангельскую губернию и захватывающую историю своего побега из красной России через Финляндию на Запад.</t>
  </si>
  <si>
    <t>5867</t>
  </si>
  <si>
    <t>Лает весело щенок</t>
  </si>
  <si>
    <t>5-9524-1424-9</t>
  </si>
  <si>
    <t>20846</t>
  </si>
  <si>
    <t>ОИ ДОМОВОДСТВО</t>
  </si>
  <si>
    <t>Вимла К.</t>
  </si>
  <si>
    <t>Лайфхаки для счастливой хозяйки. Рецепты идеального порядка. Успеваем всё и не устаём</t>
  </si>
  <si>
    <t>978-5-227-10489-2</t>
  </si>
  <si>
    <t>Только ленивые дамы сегодня не рассказывают о том, как содержать свой дом в безупречной чистоте не тратя на это безумное количество времени и не валясь с ног от усталости. Вот и составитель этой книги не осталась в стороне и делится с неравнодушными хозяйками секретами и лайфхаками содержания дома в идеальном состоянии без особых усилий. Вы узнаете, как минимизировать количество вещей в доме и шкафу, как расхламляться и наводить уют, как всё успевать, даже если ты работаешь всю неделю. Вы научитесь мыть окна и пол с любым покрытием, чистить мягкую мебель и ковры, узнаете, как ухаживать за фарфоровой и глиняной посудой, как очистить серебряные изделия, кухонную утварь и ювелирные изделия… Вы сможете, используя приведённые советы, быстро и аккуратно вычистить любую одежду не хуже, чем в итальянской химчистке. В книге есть советы по удалению любых пятен, стирке любых тканей любой загрязнённости, мелкому ремонту всего подряд и ещё тысячи драгоценных советов для того, чтобы ваш дом искрился чистотой, прекрасно пах и был добр и светел.</t>
  </si>
  <si>
    <t>11363</t>
  </si>
  <si>
    <t>Ламинат: шаг за шагом</t>
  </si>
  <si>
    <t>978-5-9524-4438-6</t>
  </si>
  <si>
    <t>21177</t>
  </si>
  <si>
    <t>Лара</t>
  </si>
  <si>
    <t>978-5-227-09755-2</t>
  </si>
  <si>
    <t>Юная дочь феи и солдата Лара согласилась быть проданной мачехой в Дом удовольствий, чтобы ее отец смог участвовать в турнире Доблестных Рыцарей и выбиться из нищеты. Но у девушки неземной красоты было свое предназначение: ей предстояла долгая дорога из города, центра королевства Хетар, к лесным лордам, принцам-теням, прибрежным королям и, наконец, в Дальноземье, где она познает истинный смысл любви и жгучую страсть. Сможет ли она, полукровка, научиться убивать и изменить мир порока и обмана своей родины?..</t>
  </si>
  <si>
    <t>20225</t>
  </si>
  <si>
    <t>Ласковое противостояние султану</t>
  </si>
  <si>
    <t>978-5-227-09423-0</t>
  </si>
  <si>
    <t>17391</t>
  </si>
  <si>
    <t>Вирконделе А</t>
  </si>
  <si>
    <t>Легендарная любовь. 10 самых эпатажных пар ХХ века</t>
  </si>
  <si>
    <t>978-5-227-07423-2</t>
  </si>
  <si>
    <t>21895</t>
  </si>
  <si>
    <t>Шаффер Х.</t>
  </si>
  <si>
    <t>Легендарная подлодка U-977. Воспоминания командира немецкой субмарины. 1939—1945</t>
  </si>
  <si>
    <t>978-5-9524-6566-4</t>
  </si>
  <si>
    <t>Хайнц Шаффер, командир немецкой подводной лодки U-977, рассказывает о событиях Второй мировой войны, о службе на подводном флоте, не утаивая ее тягот, опасностей и условий быта; о битве за Атлантику и удивительном спасении субмарины, совершившей длительный автономный переход до Аргентины, где команду ждало заключение и обвинение в спасении Гитлера. Приведенная в книге информация особенно ценна тем, что дана с позиции противника СССР в войне.</t>
  </si>
  <si>
    <t>20503</t>
  </si>
  <si>
    <t>МЛНМ НОВ</t>
  </si>
  <si>
    <t>Кэртин Д.</t>
  </si>
  <si>
    <t>Легенды и мифы Ирландии</t>
  </si>
  <si>
    <t>978-5-9524-5767-6</t>
  </si>
  <si>
    <t>Книга представляет собой собрание ирландских преданий, составленное знаменитым фольклористом и лингвистом Джеремией Кэртином. Почерпнутые у гэльских сказителей, эти предания автор объединил в две группы: в первой предлагаются ирландские версии распространенных европейских сказок; во второй - истории из цикла о фениях, о Финне Маккумайле и др.</t>
  </si>
  <si>
    <t>20286</t>
  </si>
  <si>
    <t>Дуглас Д.</t>
  </si>
  <si>
    <t>Легенды и предания Шотландии</t>
  </si>
  <si>
    <t>978-5-9524-5736-2</t>
  </si>
  <si>
    <t>21753</t>
  </si>
  <si>
    <t>Легенды Крыма. Многовековая история края в чудесных сказках и правдивых преданиях</t>
  </si>
  <si>
    <t>978-5-9524-6481-0</t>
  </si>
  <si>
    <t>В этой книге собраны волшебные и правдивые легенды Крыма, прекрасная природа которого полна песен, сказок и поэзии. В издании собраны 70 чудесных историй. Сначала идут 35 уникальных легенд, записанных генерал-лейтенантом царской армии, археологом и фольклористом Никандром Марксом. Их названия состоят из двух уровней. Они познакомят читателя с волшебным миром крымского фольклора, культурой и традициями полуострова. Последующие предания собраны из разных источников, но все они также повествуют в иносказательной форме историю прекрасного южного края. Здесь и легенды, изложенные по трагедиям греческого писателя Еврипида, по письмам латинского писателя Овидия, по сообщениям латинских писателей Юниана Юстина и Плиния Старшего. Некоторые легенды записаны Василием Кондараки, а легенда «Хан и его сын» принадлежит перу Максима Горького…</t>
  </si>
  <si>
    <t>19024</t>
  </si>
  <si>
    <t>Митфорд А.</t>
  </si>
  <si>
    <t>Легенды о самураях. Традиции старой Японии</t>
  </si>
  <si>
    <t>978-5-227-07712-7</t>
  </si>
  <si>
    <t>19747</t>
  </si>
  <si>
    <t>Хартленд Э.</t>
  </si>
  <si>
    <t>Легенды старой Англии</t>
  </si>
  <si>
    <t>978-5-9524-5542-9</t>
  </si>
  <si>
    <t>17834</t>
  </si>
  <si>
    <t>Легенды, символы и традиции Рождества и Нового года. Правда и вымысел, приключения, любовь и магия</t>
  </si>
  <si>
    <t>978-5-227-07963-3</t>
  </si>
  <si>
    <t>108х70 1/32</t>
  </si>
  <si>
    <t>21901</t>
  </si>
  <si>
    <t>Дандо-Коллинз С.</t>
  </si>
  <si>
    <t>Легионы Рима. Полная история всех легионов Римской империи</t>
  </si>
  <si>
    <t>978-5-9524-6563-3</t>
  </si>
  <si>
    <t>Новый труд известного австралийского писателя Дандо­Коллинза, автора многих книг по истории Античности, посвящен имперским легионам Рима. Автор собрал и систематизировал сведения обо всех легионах Рима начиная с момента создания каждого из них, проследил их боевой путь, отмечая успехи и поражения в битвах. Дандо­Коллинз детально изучил условия отбора и методы военной подготовки легионеров, описал их вооружение, экипировку, воинские отличия и награды, систему заработной платы, особенности дисциплины и наказаний. Проанализировав структуру легионов, стратегию и тактику ведения боя, особое внимание автор уделил сражениям и завоеваниям Римской империи, а также представил портреты великих императоров и полководцев._x000D__x000D_
Книга, являющаяся уникальным и полным справочником по истории римских легионов, включает более 150 карт, фотографий, диаграмм и планов сражений.</t>
  </si>
  <si>
    <t>10777</t>
  </si>
  <si>
    <t>Легкие деньги</t>
  </si>
  <si>
    <t>978-5-9524-3692-3</t>
  </si>
  <si>
    <t>0170</t>
  </si>
  <si>
    <t>978-5-227-06968-9</t>
  </si>
  <si>
    <t>15563</t>
  </si>
  <si>
    <t>Легкий выигрыш</t>
  </si>
  <si>
    <t>978-5-227-05611-5</t>
  </si>
  <si>
    <t>21092</t>
  </si>
  <si>
    <t>Легко ли быть принцессой. Как на самом деле живётся наследникам престола. Всегда ли сказка красивая и добрая</t>
  </si>
  <si>
    <t>978-5-227-10643-8</t>
  </si>
  <si>
    <t>Жизнь принцев и принцесс часто далека от нашего представления о «сахарных» счастливых девочках и беспечных мальчиках… Только в сказках всё красиво, справедливо и свадьбы по любви. На самом деле высокое происхождение совсем не залог счастливой жизни, а дети даже самой бедной крестьянки иногда любимее царских отпрысков, ведь они ежедневно живут с мамой и не ограничены рамками бесконечных условностей… Истории наследников престола от императорских отпрысков до детей вождей различных племён иногда безрадостны. Детей продавали, а порой и приносили в жертву. Они служили разменной монетой в политических играх, заложниками, предметом торга при заключении династических браков. Например, совсем ещё маленькую девочку могли отдать замуж за зрелого мужчину, а мнение женщин при заключении брака даже не учитывалось…_x000D_
Из книги вы узнаете, как на самом деле живётся наследникам престолов, во что играли, что ели, чем болели принцы и принцессы. Как и кто их воспитывал и всегда ли сказка о детях из королевских семей долгая, красивая и добрая.</t>
  </si>
  <si>
    <t>11861</t>
  </si>
  <si>
    <t>Шолохов В.</t>
  </si>
  <si>
    <t>Легко побеждаем болезни! 5 способов восстановления здоровья в любом возрасте</t>
  </si>
  <si>
    <t>978-5-227-01996-7</t>
  </si>
  <si>
    <t>16992</t>
  </si>
  <si>
    <t>Карпентер Т.</t>
  </si>
  <si>
    <t>Легкомысленный сердцеед</t>
  </si>
  <si>
    <t>978-5-227-07034-0</t>
  </si>
  <si>
    <t>19609</t>
  </si>
  <si>
    <t>Леди PINK. V.Plans. Женский планировщик. Новая Я. (Вид 5)</t>
  </si>
  <si>
    <t>978-5-227-09377-6</t>
  </si>
  <si>
    <t>18397</t>
  </si>
  <si>
    <t>Леди и плейбой</t>
  </si>
  <si>
    <t>978-5-227-08355-5</t>
  </si>
  <si>
    <t>15439</t>
  </si>
  <si>
    <t>Леди рискует всем</t>
  </si>
  <si>
    <t>978-5-227-05385-5</t>
  </si>
  <si>
    <t>15252</t>
  </si>
  <si>
    <t>Леди с серьезными намерениями</t>
  </si>
  <si>
    <t>978-5-227-05243-8</t>
  </si>
  <si>
    <t>19296</t>
  </si>
  <si>
    <t>Престон</t>
  </si>
  <si>
    <t>Леди-бесприданница</t>
  </si>
  <si>
    <t>978-5-227-09063-8</t>
  </si>
  <si>
    <t>18311</t>
  </si>
  <si>
    <t>Ледовый материк. Вангол-4</t>
  </si>
  <si>
    <t>978-5-227-08336-4</t>
  </si>
  <si>
    <t>17505</t>
  </si>
  <si>
    <t>Филлипс С.</t>
  </si>
  <si>
    <t>Ледяной урожай</t>
  </si>
  <si>
    <t>978-5-227-07591-8</t>
  </si>
  <si>
    <t>13769</t>
  </si>
  <si>
    <t>Лекарственная зелень</t>
  </si>
  <si>
    <t>978-5-227-03772-5</t>
  </si>
  <si>
    <t>19269</t>
  </si>
  <si>
    <t>Лекарство для разбитого сердца</t>
  </si>
  <si>
    <t>978-5-227-09060-7</t>
  </si>
  <si>
    <t>17558</t>
  </si>
  <si>
    <t>Лекарство от развода</t>
  </si>
  <si>
    <t>978-5-227-07582-6</t>
  </si>
  <si>
    <t>18235</t>
  </si>
  <si>
    <t>Лекарь морковь. От диабета, онкологии, авитаминоза, ожирения, гипертонии, нарушений пищеварения</t>
  </si>
  <si>
    <t>978-5-227-08199-5</t>
  </si>
  <si>
    <t>13548</t>
  </si>
  <si>
    <t>Ленинградская утопия. Авангард в архитектуре Северной столицы.</t>
  </si>
  <si>
    <t>978-5-227-03673-5</t>
  </si>
  <si>
    <t>18162</t>
  </si>
  <si>
    <t>MAGISTERIUM</t>
  </si>
  <si>
    <t>Леонардо да Винчи. Универсальный гений</t>
  </si>
  <si>
    <t>978-5-227-08161-2</t>
  </si>
  <si>
    <t>7279</t>
  </si>
  <si>
    <t>Феллоуз</t>
  </si>
  <si>
    <t>Леонора</t>
  </si>
  <si>
    <t>5-9524-2340-X</t>
  </si>
  <si>
    <t>18726</t>
  </si>
  <si>
    <t>Краснова Т. А.</t>
  </si>
  <si>
    <t>Лесная сказка</t>
  </si>
  <si>
    <t>978-5-227-08687-7</t>
  </si>
  <si>
    <t>14595</t>
  </si>
  <si>
    <t>Замковой А.В.</t>
  </si>
  <si>
    <t>Лесной фронт. Благими намерениями</t>
  </si>
  <si>
    <t>978-5-227-04661-1</t>
  </si>
  <si>
    <t>19755</t>
  </si>
  <si>
    <t>Лесной, Гражданка, Ручьи, Удельная. Неповторимая история северных пригородов Санкт-Петербурга</t>
  </si>
  <si>
    <t>978-5-227-09548-0</t>
  </si>
  <si>
    <t>17563</t>
  </si>
  <si>
    <t>Захаров В.А.</t>
  </si>
  <si>
    <t>Летопись жизни и творчества М.Ю. Лермонтова</t>
  </si>
  <si>
    <t>978-5-227-07253-5</t>
  </si>
  <si>
    <t>18588</t>
  </si>
  <si>
    <t>Лечебная хурма. От гипертонии, онкологии, анемии, простуды, снижения иммунитета…</t>
  </si>
  <si>
    <t>978-5-227-08477-4</t>
  </si>
  <si>
    <t>19519</t>
  </si>
  <si>
    <t>Лечебное дыхание. Дыхательные упражнения. Первая помощь. Народные рецепты. Профилактика. Лечение</t>
  </si>
  <si>
    <t>978-5-9524-5361-6</t>
  </si>
  <si>
    <t>18875</t>
  </si>
  <si>
    <t>Лечебные комнатные растения. ТОП­20 лекарей с вашего подоконника</t>
  </si>
  <si>
    <t>978-5-227-08817-8</t>
  </si>
  <si>
    <t>17634</t>
  </si>
  <si>
    <t>Лечебные корнеплоды. Редька, свекла, репа, морковь, редис</t>
  </si>
  <si>
    <t>978-5-227-06868-2</t>
  </si>
  <si>
    <t>17451</t>
  </si>
  <si>
    <t>Лечебные масла. Амарантовое, льняное, облепиховое, кунжутное.</t>
  </si>
  <si>
    <t>978-5-227-07411-9</t>
  </si>
  <si>
    <t>19555</t>
  </si>
  <si>
    <t>Лечебные свойства активированного угля. Борьба с онкологией, очищение от токсинов, снижение холестерина…</t>
  </si>
  <si>
    <t>978-5-227-08857-4</t>
  </si>
  <si>
    <t>18568</t>
  </si>
  <si>
    <t>Лечебный гранат. От колита, язвы желудка, атеросклероза, гипертонии, заболеваний печени и почек…</t>
  </si>
  <si>
    <t>978-5-227-08468-2</t>
  </si>
  <si>
    <t>19899</t>
  </si>
  <si>
    <t>Лечение бессонницы. 100% гарантия улучшения вашего сна</t>
  </si>
  <si>
    <t>978-5-227-09585-5</t>
  </si>
  <si>
    <t>6223</t>
  </si>
  <si>
    <t>Бурдейный</t>
  </si>
  <si>
    <t>Лечение водой</t>
  </si>
  <si>
    <t>5-9524-2026-5</t>
  </si>
  <si>
    <t>19835</t>
  </si>
  <si>
    <t>Лечение гипертонии. Причины возникновения и методы профилактики. Лишний вес. Питание. Гипертония и б</t>
  </si>
  <si>
    <t>978-5-227-09655-5</t>
  </si>
  <si>
    <t>19853</t>
  </si>
  <si>
    <t>Лечение деревьями. 500 рецептов от 100 недугов</t>
  </si>
  <si>
    <t>978-5-227-09558-9</t>
  </si>
  <si>
    <t>6349</t>
  </si>
  <si>
    <t>Лечение золотым усом</t>
  </si>
  <si>
    <t>5-9524-2088-5</t>
  </si>
  <si>
    <t>6118</t>
  </si>
  <si>
    <t>Андреева</t>
  </si>
  <si>
    <t>Лечение индийским луком</t>
  </si>
  <si>
    <t>5-9524-1892-9</t>
  </si>
  <si>
    <t>18601</t>
  </si>
  <si>
    <t>Лечение капустой при онкологии, ожирении, диабете, простуде, геморрое, заболеваниях печени, суставов</t>
  </si>
  <si>
    <t>978-5-227-08605-1</t>
  </si>
  <si>
    <t>17866</t>
  </si>
  <si>
    <t>Лечение клюквой от астмы, гипертонии, диабета, атеросклероза, подагры, артрита</t>
  </si>
  <si>
    <t>978-5-227-07670-0</t>
  </si>
  <si>
    <t>18136</t>
  </si>
  <si>
    <t>Лечение луком. От атеросклероза, гипертонии, диабета, отита, простуды</t>
  </si>
  <si>
    <t>978-5-227-08162-9</t>
  </si>
  <si>
    <t>6224</t>
  </si>
  <si>
    <t>Дубровская</t>
  </si>
  <si>
    <t>Лечение мастопатии травами</t>
  </si>
  <si>
    <t>5-9524-2030-3</t>
  </si>
  <si>
    <t>18677</t>
  </si>
  <si>
    <t>Лечение минеральной водой. От диабета, панкреатита, гепатита, колита, язвенной болезни, ожирения…</t>
  </si>
  <si>
    <t>978-5-227-08467-5</t>
  </si>
  <si>
    <t>19691</t>
  </si>
  <si>
    <t>Лечение полынью. При ожирении, бесплодии, бессоннице, болезнях желудка и кишечника, травмах, артрите</t>
  </si>
  <si>
    <t>978-5-227-08478-1</t>
  </si>
  <si>
    <t>18714</t>
  </si>
  <si>
    <t>Лечение простатита народными методами</t>
  </si>
  <si>
    <t>978-5-227-08626-6</t>
  </si>
  <si>
    <t>19022</t>
  </si>
  <si>
    <t>Лечение простуды народными средствами</t>
  </si>
  <si>
    <t>978-5-227-08866-6</t>
  </si>
  <si>
    <t>18054</t>
  </si>
  <si>
    <t>Лечение сельдереем. Душистый лекарь против ожирения, стресса, отложения солей, анемии, гипертонии...</t>
  </si>
  <si>
    <t>978-5-227-08172-8</t>
  </si>
  <si>
    <t>17848</t>
  </si>
  <si>
    <t>Лечение серебром. Драгоценное лекарство от ста недугов</t>
  </si>
  <si>
    <t>978-5-227-07945-9</t>
  </si>
  <si>
    <t>17018</t>
  </si>
  <si>
    <t>Лечение содой</t>
  </si>
  <si>
    <t>978-5-227-07083-8</t>
  </si>
  <si>
    <t>14220</t>
  </si>
  <si>
    <t>Лечение солью. Народные рецепты</t>
  </si>
  <si>
    <t>978-5-227-04021-3</t>
  </si>
  <si>
    <t>18137</t>
  </si>
  <si>
    <t>Лечение хреном. От стенокардии, анемии, бронхита, синусита,  подагры, ревматизма… </t>
  </si>
  <si>
    <t>978-5-227-08163-6</t>
  </si>
  <si>
    <t>19118</t>
  </si>
  <si>
    <t>Лечение цистита народными средствами</t>
  </si>
  <si>
    <t>978-5-227-08320-3</t>
  </si>
  <si>
    <t>18942</t>
  </si>
  <si>
    <t>Лечение цитрусовыми.  От авитаминоза, простуды, гипертонии, ожирения, атеросклероза, сердечно­сосудистых заболеваний</t>
  </si>
  <si>
    <t>978-5-227-08298-5</t>
  </si>
  <si>
    <t>18347</t>
  </si>
  <si>
    <t>Лечение яблоками. От варикоза, тромбофлебита, диабета, подагры, ожирения.</t>
  </si>
  <si>
    <t>978-5-227-08271-8</t>
  </si>
  <si>
    <t>20343</t>
  </si>
  <si>
    <t>Лечим болезни сосудов народными средствами</t>
  </si>
  <si>
    <t>978-5-227-09788-0</t>
  </si>
  <si>
    <t>Сердечно-сосудистая система устроена так, что состояние сосудов незамедлительно отражается на здоровье всего организма. Артерии доставляют к органам и тканям насыщенную кислородом кровь, а вены отводят кровь обратно к сердцу. Если на каком-то участке этой отлаженной природой системы возникает сужение просвета или нарушается проходимость кровеносных сосудов за счёт поражения их стенок, это сразу приводит к негативным последствиям._x000D_
При поражении сосудов в питаемых ими областях существенно нарушается кровообращение, возникает застой, дефицит питательных веществ и кислорода, и вот уже звучат диагнозы: атеросклероз, флебит, варикоз, тромбоз, и как следствие гипертония, ишемическая болезнь сердца, инфаркты и инсульты… В этой книге автор рассказывает, как сохранить здоровье ваших сосудов и поправить его в том случае, если уже стоит неприятный диагноз. Народная медицина, гимнастика, правильная диета и методики по чистке сосудов помогут быть бодрым и всегда оставаться в строю.</t>
  </si>
  <si>
    <t>14024</t>
  </si>
  <si>
    <t>Лечим воспаления народными средствами</t>
  </si>
  <si>
    <t>978-5-227-04048-0</t>
  </si>
  <si>
    <t>14803</t>
  </si>
  <si>
    <t>15082</t>
  </si>
  <si>
    <t>978-5-227-05154-7</t>
  </si>
  <si>
    <t>13462</t>
  </si>
  <si>
    <t>Лечим геморрой народными методами</t>
  </si>
  <si>
    <t>978-5-227-03327-7</t>
  </si>
  <si>
    <t>16455</t>
  </si>
  <si>
    <t>Лечим народными методами заболевания ухо-горло-нос</t>
  </si>
  <si>
    <t>978-5-227-06337-3</t>
  </si>
  <si>
    <t>19961</t>
  </si>
  <si>
    <t>Лечим нервы народными средствами</t>
  </si>
  <si>
    <t>978-5-227-09722-4</t>
  </si>
  <si>
    <t>16664</t>
  </si>
  <si>
    <t>Лечим раны, порезы, травмы народными методами</t>
  </si>
  <si>
    <t>978-5-227-06425-7</t>
  </si>
  <si>
    <t>21169</t>
  </si>
  <si>
    <t>Брахмачари Свами</t>
  </si>
  <si>
    <t>Лёгкая йога для похудения. Идеальное тело за 5 минут в день. Гарантированный результат в любом возрасте</t>
  </si>
  <si>
    <t>978-5-227-10709-1</t>
  </si>
  <si>
    <t>Сложно остановиться, когда перед тобой красиво сервированный стол, уставленный всевозможными яствами. А праздник следует за праздником, блюдо за блюдом… Не успеешь оглянуться — килограммы уже набраны. Как от них избавиться? Можно сесть на диету, только надо иметь в виду, что сработает та диета, которая обещает медленное снижение веса, иначе ушедшие килограммы быстренько вернутся. Можно заняться физическими упражнениями, но не всем хватает силы воли и здоровья заниматься этим постоянно и ежедневно. Что же делать?_x000D_
Займитесь йогой! _x000D_
Сложно, скажете вы, и будете не правы. Мы предлагаем читателям комплекс самых простых асан, исполнение которых доступно КАЖДОМУ. Регулярно занимаясь лёгкой йогой всего несколько минут в день, вы гарантированно вернёте юношескую гибкость и идеальную фигуру за очень небольшой период времени. Уверяем вас, толстых йогов не бывает!</t>
  </si>
  <si>
    <t>18079</t>
  </si>
  <si>
    <t>Белль К.</t>
  </si>
  <si>
    <t>Лживый брак</t>
  </si>
  <si>
    <t>978-5-227-08117-9</t>
  </si>
  <si>
    <t>19079</t>
  </si>
  <si>
    <t>Латыпов А.</t>
  </si>
  <si>
    <t>Линия Горизонта</t>
  </si>
  <si>
    <t>978-5-227-08689-1</t>
  </si>
  <si>
    <t>16316</t>
  </si>
  <si>
    <t>Саква Р.</t>
  </si>
  <si>
    <t>Линия фронта - Украина. Кризис на приграничных территориях</t>
  </si>
  <si>
    <t>978-5-227-06245-1</t>
  </si>
  <si>
    <t>0149</t>
  </si>
  <si>
    <t>Лиса в капкане</t>
  </si>
  <si>
    <t>978-5-227-06969-6</t>
  </si>
  <si>
    <t>6996</t>
  </si>
  <si>
    <t>Лиса и Куропатка</t>
  </si>
  <si>
    <t>5-9524-1720-5</t>
  </si>
  <si>
    <t>20792</t>
  </si>
  <si>
    <t>Шелеметьева Е.А.</t>
  </si>
  <si>
    <t>Лисий след на снегу</t>
  </si>
  <si>
    <t>978-5-227-10074-0</t>
  </si>
  <si>
    <t>Московская журналистка Алиса Куратова наткнулась на странные неувязки в громком криминальном скандале, о котором она узнала во время туристической поездки в Исландию. Убийство юной девушки всколыхнуло небольшое островное государство, и его продолжали обсуждать даже спустя три года после ареста и осуждения подозреваемого. Но Алиса сомневалась в правильности расследования и в том, что осужден настоящий виновник преступления. Своими сомнениями она поделилась по телефону с другом юности, специалистом в журналистских расследованиях Дмитрием Стриженовым. А спустя три дня Алиса пропала. Стриженов немедленно вылетел в Исландию, потому что законы настоящей дружбы, которые друзья установили в годы студенчества, не позволяли ему поступить иначе. А главное, он не мог поверить и принять, что в его жизни больше не будет Лисы…</t>
  </si>
  <si>
    <t>7867</t>
  </si>
  <si>
    <t>Даль</t>
  </si>
  <si>
    <t>Лисичка со скалочкой</t>
  </si>
  <si>
    <t>978-5-9524-2689-4</t>
  </si>
  <si>
    <t>20903</t>
  </si>
  <si>
    <t>Пу Сунлин</t>
  </si>
  <si>
    <t>Лисьи чары. Легендарные новеллы китайского писателя XVII—XVIII вв.</t>
  </si>
  <si>
    <t>978-5-227-10546-2</t>
  </si>
  <si>
    <t>Сегодня во всём мире очень популярна тема восточного эпоса. Мы хотим предложить вам сказочные рассказы известного китайского автора Пу Сунлина, которые стяжали в Китае бессмертную славу и, несмотря на свою трёхсотлетнюю историю, давно перешагнули границы Поднебесной и по сей день востребованы читателями._x000D__x000D_
Лиса — изворотливый персонаж сказок многих народов, но в китайской культуре ей отведено особое место. Лиса в Китае представляется существом-оборотнем, одарённым особой способностью к вкрадчивому лицемерию, легко обольщающим жертву и потом безжалостно её эксплуатирующим. Она наделена долголетием, достигающим тысячи лет, и сверхчеловеческими, даже божественными особенностями. Но лисы могут как обмануть, заморочить и запутать, так и помочь! Неся человеку фатальное очарование, порой приводя его к границе смерти, часто лиса сама же несёт ему чудесное исцеление…_x000D__x000D_
Книга переведена замечательным филологом-китаистом Василием Михайловичем Алексеевым, им же даны многочисленные примечания к тексту.</t>
  </si>
  <si>
    <t>21812</t>
  </si>
  <si>
    <t>Литературные герои на улицах Петербурга. Дома, события, адреса персонажей из любимых произведений русских писателей</t>
  </si>
  <si>
    <t>978-5-227-11159-3</t>
  </si>
  <si>
    <t>Петербург, будучи столицей Российской империи, не раз становился местом действия русских произведений XVIII, XIX и начала XX века. И не только местом действия. «Блистательный Санкт-Петербург», «великолепная столица», «проклятый город», «город-призрак», «город-фантом», «Петербург Пушкина», «Петербург Достоевского», «Петербург Блока» — это полноправный герой русской литературы. О том, где жили герои любимых произведений, какие события происходили на петербургских улицах в романах и повестях русских писателей, и о том, как менялся образ Петербурга в литературе с ходом лет, расскажет эта книга.</t>
  </si>
  <si>
    <t>5771</t>
  </si>
  <si>
    <t>Литовская кухня</t>
  </si>
  <si>
    <t>5-9524-1688-8</t>
  </si>
  <si>
    <t>20796</t>
  </si>
  <si>
    <t>Брянцев П.Д.</t>
  </si>
  <si>
    <t>Литовское государство. От возникновения в XIII веке до союза с Польшей и образования Речи Посполитой</t>
  </si>
  <si>
    <t>978-5-227-10392-5</t>
  </si>
  <si>
    <t>Павел Дмитриевич Брянцев несколько лет преподавал историю в одном из средних учебных заведений и заметил, с каким вниманием ученики слушают объяснения тех отделов русской истории, которые касаются Литвы и ее отношений к Польше и России. Ввиду интереса к этой теме и отсутствия необходимых источников Брянцев решил сам написать историю Литовского государства. Занимался он этим сочинением семь лет: пересмотрел множество источников и пособий, выбрал из них только самые главные и существенные события и соединил их в одну общую картину истории Литовского государства.</t>
  </si>
  <si>
    <t>20617</t>
  </si>
  <si>
    <t>Крючков В.</t>
  </si>
  <si>
    <t>Личное дело. Три дня и вся жизнь</t>
  </si>
  <si>
    <t>978-5-227-09721-7</t>
  </si>
  <si>
    <t>Автор книги — бывший председатель КГБ СССР, член просуществовавшего три дня в августе 1991 года Государственного комитета по чрезвычайному положению (ГКЧП), — делясь с читателем воспоминаниями о собственном жизненном пути, размышляет о важнейших исторических событиях, свидетелем или непосредственным участником которых он был. Значительное место в мемуарах В.А. Крючкова уделено деятелям высшего эшелона партийно­государственного руководства. Опираясь на тот огромный объем информации, которым автор располагал как председатель КГБ СССР, во второй части своих воспоминаний он рассказывает о горбачевской перестройке, о нелегкой работе органов госбезопасности в этот период, о деятельности спецслужб иностранных держав в нашей стране, анализирует процессы, приведшие к распаду СССР.</t>
  </si>
  <si>
    <t>18050</t>
  </si>
  <si>
    <t>Фицджеральд Ф.С.</t>
  </si>
  <si>
    <t>Лови момент, завтра умрем</t>
  </si>
  <si>
    <t>978-5-9524-5245-9</t>
  </si>
  <si>
    <t>16653</t>
  </si>
  <si>
    <t>Ловушка для влюбленных</t>
  </si>
  <si>
    <t>978-5-227-06707-4</t>
  </si>
  <si>
    <t>20605</t>
  </si>
  <si>
    <t>Ловушка для донжуана</t>
  </si>
  <si>
    <t>978-5-227-10286-7</t>
  </si>
  <si>
    <t>Богатый итальянский плейбой Данте Лукарелли поклялся не жениться, чтобы отомстить своим жестоким родителям, лишив их наследника. Но для покупки участка покойного брата для соблюдения приличий ему необходимо обзавестись девушкой. Его взгляд случайно падает на рыжеволосую официантку Белль Форрестер. Она в отчаянном положении: одна, в чужой стране, живет в фургоне с собакой, и ей отчаянно нужны деньги. Они заключают сделку: две недели «игры в пару» в обмен на круглую сумму. Но наивность девушки интригует заядлого ловеласа. Может ли его ледяное сердце растаять, или через несколько дней им суждено расстаться?</t>
  </si>
  <si>
    <t>17939</t>
  </si>
  <si>
    <t>Ловушка для капитана</t>
  </si>
  <si>
    <t>978-5-227-08030-1</t>
  </si>
  <si>
    <t>18240</t>
  </si>
  <si>
    <t>Ловушка для настоящего мужчины</t>
  </si>
  <si>
    <t>978-5-227-08232-9</t>
  </si>
  <si>
    <t>19906</t>
  </si>
  <si>
    <t>Ловушка для обольстителя</t>
  </si>
  <si>
    <t>978-5-227-09564-0</t>
  </si>
  <si>
    <t>16989</t>
  </si>
  <si>
    <t>Ловушка для супермена</t>
  </si>
  <si>
    <t>978-5-227-06935-1</t>
  </si>
  <si>
    <t>18039</t>
  </si>
  <si>
    <t>Ловушка для чужого жениха</t>
  </si>
  <si>
    <t>978-5-227-08086-8</t>
  </si>
  <si>
    <t>21852</t>
  </si>
  <si>
    <t>Кунин Е.В.</t>
  </si>
  <si>
    <t>Логика случая. О природе и происхождении биологической эволюции</t>
  </si>
  <si>
    <t>978-5-9524-6542-8</t>
  </si>
  <si>
    <t>В этой амбициозной книге Евгений Кунин освещает переплетение случайного и закономерного, лежащих в основе самой сути жизни. В попытке достичь более глубокого понимания взаимного влияния случайности и необходимости, двигающих вперед биологическую эволюцию, Кунин сводит воедино новые данные и концепции, намечая при этом дорогу, ведущую за пределы синтетической теории эво люции. Он интерпретирует эволюцию как стохастический процесс, основанный на заранее непредвиденных обстоятельствах, ограниченный необходимостью поддержки клеточной организации и направляемый процессом адаптации. Для поддержки своих выводов он объединяет между собой множество концептуальных идей: сравнительную геномику, проливающую свет на предковые формы; новое понимание шаблонов, способов и непредсказуемости процесса эволюции; достижения в изучении экспрессии генов, распространенности белков и других фенотипических молекулярных характеристик; применение методов статистической физики для изучения генов и геномов и новый взгляд на вероятность самопроизвольного появления жизни, порождаемый современной космологией._x000D_
Логика случая демонстрирует, что то понимание эволюции, которое было выработано наукой XX века, является устаревшим и неполным, и обрисовывает фундаментально новый подход – вызывающий, иногда противоречивый, но всегда основанный на твердых научных знаниях.</t>
  </si>
  <si>
    <t>17846</t>
  </si>
  <si>
    <t>Иден С.</t>
  </si>
  <si>
    <t>Ложь</t>
  </si>
  <si>
    <t>978-5-227-07797-4</t>
  </si>
  <si>
    <t>16342</t>
  </si>
  <si>
    <t>Бетс Хейди</t>
  </si>
  <si>
    <t>Ложь, страсть и бриллианты</t>
  </si>
  <si>
    <t>978-5-227-06198-0</t>
  </si>
  <si>
    <t>21600</t>
  </si>
  <si>
    <t>Лондонский матч</t>
  </si>
  <si>
    <t>978-5-9524-6369-1</t>
  </si>
  <si>
    <t>Бернарду Сэмсону удалось завербовать агента КГБ, но на этом его миссия не завершена — под подозрением не только он, но и все руководство лондонского Центра. В заключительном романе шпионской трилогии «Гейм, сет и матч» сотрудник британской секретной службы Бернард Сэмсон идет на отчаянную авантюру, чтобы узнать правду и выйти победителем из этой схватки.</t>
  </si>
  <si>
    <t>8651</t>
  </si>
  <si>
    <t>Лазарева И.</t>
  </si>
  <si>
    <t>Лось в облаке</t>
  </si>
  <si>
    <t>978-5-9524-2890-4</t>
  </si>
  <si>
    <t>2738</t>
  </si>
  <si>
    <t>Киреев Р.</t>
  </si>
  <si>
    <t>Лот из Содома</t>
  </si>
  <si>
    <t>5-227-01393-4</t>
  </si>
  <si>
    <t>21491</t>
  </si>
  <si>
    <t>Лотерея соблазна</t>
  </si>
  <si>
    <t>978-5-227-10695-7</t>
  </si>
  <si>
    <t>В штате Техас в городе Ройал живут две влиятельных и богатых семьи — Дель Рио и Уинтерс. Предки их стали заклятыми врагами, с той поры такие отношения сохранились и между потомками. Однако Мэгги Дель Рио и Джерико Уинтерс знакомятся случайно на сайте и решают пожениться. На их помолвке брат Мэгги Престон решает воспользоваться потеплением между семьями и завести разговор с Тиффани Уинтерс, которая нравилась ему в юности. Притяжение оказывается взаимным, и они проводят ночь, после которой Тиффани сообщает Престону, что беременна. В ближайшие дни глава семьи Дель Рио должен объявить, что отходит от дел и передает управление компанией сыну. Если отец узнает о ребенке, возможно, он изменит решение, и не случится то, к чему Престон шел всю жизнь.</t>
  </si>
  <si>
    <t>19307</t>
  </si>
  <si>
    <t>Лохматый пёсик. Дневничок</t>
  </si>
  <si>
    <t>978-5-227-09306-6</t>
  </si>
  <si>
    <t>15775</t>
  </si>
  <si>
    <t>Набокина О.В., Носков А.В.</t>
  </si>
  <si>
    <t>Луга и окрестности. Из истории населенных мест Лужского района</t>
  </si>
  <si>
    <t>978-5-227-05553-8</t>
  </si>
  <si>
    <t>19980</t>
  </si>
  <si>
    <t>Борискин А.</t>
  </si>
  <si>
    <t>Лукинский фактор</t>
  </si>
  <si>
    <t>978-5-227-09759-0</t>
  </si>
  <si>
    <t>21748</t>
  </si>
  <si>
    <t>Беллончи М.</t>
  </si>
  <si>
    <t>Лукреция Борджиа. Эпоха и жизнь блестящей обольстительницы</t>
  </si>
  <si>
    <t>978-5-9524-6470-4</t>
  </si>
  <si>
    <t>В книге увлекательно и ярко описывается эпоха беспощадной борьбы за власть в Ватикане XV века. Появившейся апрельским днем светловолосой девочке, нареченной Лукрецией, предстояло стать орудием политических интриг своего отца, могущественного папы Александра VI. Принятая ею губительная тактика уступок и привычка не замечать происходящего вокруг, превратили образ Лукреции Борджиа в символ «черной вдовы» и отравительницы.</t>
  </si>
  <si>
    <t>14912</t>
  </si>
  <si>
    <t>ЧИТАТЬ</t>
  </si>
  <si>
    <t>Лулу</t>
  </si>
  <si>
    <t>978-5-227-04540-9</t>
  </si>
  <si>
    <t>7291</t>
  </si>
  <si>
    <t>ВЛА</t>
  </si>
  <si>
    <t>Мазова</t>
  </si>
  <si>
    <t>Луна удачи и любви Путеводитель на каждый день</t>
  </si>
  <si>
    <t>5-9524-2366-3</t>
  </si>
  <si>
    <t>4645</t>
  </si>
  <si>
    <t>Фирсов</t>
  </si>
  <si>
    <t>Лунный календарь</t>
  </si>
  <si>
    <t>5-9524-0850-8</t>
  </si>
  <si>
    <t>16499</t>
  </si>
  <si>
    <t>Луч солнца на цветных стеклах</t>
  </si>
  <si>
    <t>978-5-227-06402-8</t>
  </si>
  <si>
    <t>18337</t>
  </si>
  <si>
    <t>Лучи света. Афоризмы и притчи Талмуда</t>
  </si>
  <si>
    <t>978-5-227-07861-2</t>
  </si>
  <si>
    <t>20371</t>
  </si>
  <si>
    <t>Лучшая жена для султана</t>
  </si>
  <si>
    <t>978-5-227-09510-7</t>
  </si>
  <si>
    <t>15695</t>
  </si>
  <si>
    <t>Лучшая награда</t>
  </si>
  <si>
    <t>978-5-227-05647-4</t>
  </si>
  <si>
    <t>19337</t>
  </si>
  <si>
    <t>Лучшая награда для него</t>
  </si>
  <si>
    <t>978-5-227-09083-6</t>
  </si>
  <si>
    <t>16287</t>
  </si>
  <si>
    <t>Лучшая ошибка в его жизни</t>
  </si>
  <si>
    <t>978-5-227-06204-8</t>
  </si>
  <si>
    <t>0142</t>
  </si>
  <si>
    <t>Лучше остаться бедным</t>
  </si>
  <si>
    <t>978-5-227-06971-9</t>
  </si>
  <si>
    <t>20539</t>
  </si>
  <si>
    <t>Лучшее время для любви</t>
  </si>
  <si>
    <t>978-5-227-10243-0</t>
  </si>
  <si>
    <t>В юности Риз Фаррелл встретила свою первую любовь, Кейда Смита. Он ответил ей взаимностью. Они мечтали о семье, детях и успешной карьере. Однако по стечению обстоятельств через год им пришлось расстаться. Новая встреча произошла двенадцать лет спустя, когда Риз оказалась нежданной гостьей в доме Кейда на его частном острове. Былые чувства вспыхивают с новой силой. Смогут ли они преодолеть взаимное недоверие и раскрыть секреты своего прошлого во имя счастливого совместного будущего?..</t>
  </si>
  <si>
    <t>19729</t>
  </si>
  <si>
    <t>978-5-227-09354-7</t>
  </si>
  <si>
    <t>15827</t>
  </si>
  <si>
    <t>Лучшее время нашей жизни</t>
  </si>
  <si>
    <t>978-5-227-05716-7</t>
  </si>
  <si>
    <t>19328</t>
  </si>
  <si>
    <t>Лучшее доказательство любви</t>
  </si>
  <si>
    <t>978-5-227-09074-4</t>
  </si>
  <si>
    <t>19902</t>
  </si>
  <si>
    <t>Лучшее признание в любви</t>
  </si>
  <si>
    <t>978-5-227-09485-8</t>
  </si>
  <si>
    <t>20926</t>
  </si>
  <si>
    <t>Лучшее свидание</t>
  </si>
  <si>
    <t>978-5-227-10448-9</t>
  </si>
  <si>
    <t>Топ-модель красавица Лана мечтает уйти из напряженного, шумного бизнеса. Но она не может этого сделать — бывший муж сбежал, получив огромный кредит под залог ее квартиры. В сердцах она выпалила свою историю великолепному мужчине в ответ на его предложение вместе поужинать. И вот этот мужчина, успешный итальянский бизнесмен, предлагает Лане выйти за него замуж. Прелесть заключается в том, что спустя год они разведутся, причем она, получив крупную сумму, решит свои проблемы, а он избавится от назойливых притязаний дочери своего компаньона. Но Лане грустно оттого, что их брак — временное предприятие…</t>
  </si>
  <si>
    <t>7631</t>
  </si>
  <si>
    <t>Лучшему учителю</t>
  </si>
  <si>
    <t>5-9524-2422-7</t>
  </si>
  <si>
    <t>17591</t>
  </si>
  <si>
    <t>Лучшие блюда из грибов</t>
  </si>
  <si>
    <t>978-5-227-07548-2</t>
  </si>
  <si>
    <t>19456</t>
  </si>
  <si>
    <t>ДОСУГ</t>
  </si>
  <si>
    <t>Лучшие игры для девочек. Для маленьких принцесс и юных леди. Развлекательные и развивающие. Творческ</t>
  </si>
  <si>
    <t>978-5-227-09319-6</t>
  </si>
  <si>
    <t>19327</t>
  </si>
  <si>
    <t>МОЛИТВЫ</t>
  </si>
  <si>
    <t>Светлова В.</t>
  </si>
  <si>
    <t>Лучшие молитвы о детях. Могучая защита от бед и болезней</t>
  </si>
  <si>
    <t>978-5-227-08760-7</t>
  </si>
  <si>
    <t>21240</t>
  </si>
  <si>
    <t>Лучшие молитвы о здравии. Надежная помощь при разных недугах</t>
  </si>
  <si>
    <t>978-5-227-10732-9</t>
  </si>
  <si>
    <t>Молитва излечит больное тело и израненную душу. Молитесь горячо и светло и да исполнятся ваши прошения! Господь Всемогущий, Пресвятая Богородица, Спиридон Тримифунтский, Серафим Саровский, Святой Лука, Целитель Пантелеймон, Николай Чудотворец, Сергий Радонежский, Матрона Московская и целый сонм православных святых встанут на защиту здоровья вашей семьи и даже домашних питомцев._x000D_
Мы предлагаем воздвигнуть вокруг себя и близких нерушимую стену христианских молитв. В этом небольшом сборнике лучшие молитвы о даровании здравия, исцелении болящих и, конечно же, молитвы о детях, ведь все знают, что нет ничего сильнее материнской молитвы. Любая, даже сказанная своими словами молитва, как и любое доброе слово, несет положительную энергетику, но традиционные церковные молитвы заряжены колоссальной силой, которая обязательно поможет.</t>
  </si>
  <si>
    <t>17748</t>
  </si>
  <si>
    <t>Лучшие народные средства для улучшения самочувствия при климаксе</t>
  </si>
  <si>
    <t>978-5-227-07678-6</t>
  </si>
  <si>
    <t>16538</t>
  </si>
  <si>
    <t>Лучшие рецепты из цитрусов</t>
  </si>
  <si>
    <t>978-5-227-06359-5</t>
  </si>
  <si>
    <t>12271</t>
  </si>
  <si>
    <t>Лучшие рецепты от похмелья</t>
  </si>
  <si>
    <t>978-5-227-02409-1</t>
  </si>
  <si>
    <t>12769</t>
  </si>
  <si>
    <t>978-5-227-02875-4</t>
  </si>
  <si>
    <t>11063</t>
  </si>
  <si>
    <t>ТПР</t>
  </si>
  <si>
    <t>Войт А.</t>
  </si>
  <si>
    <t>Лучшие сценарии девичников и мальчишников</t>
  </si>
  <si>
    <t>978-5-9524-4175-0</t>
  </si>
  <si>
    <t>16958</t>
  </si>
  <si>
    <t>Лучший жених во Флориде</t>
  </si>
  <si>
    <t>978-5-227-07056-2</t>
  </si>
  <si>
    <t>19969</t>
  </si>
  <si>
    <t>Лучший способ влюбиться</t>
  </si>
  <si>
    <t>978-5-227-09605-0</t>
  </si>
  <si>
    <t>17524</t>
  </si>
  <si>
    <t>Лучший способ примирения</t>
  </si>
  <si>
    <t>978-5-227-07585-7</t>
  </si>
  <si>
    <t>20544</t>
  </si>
  <si>
    <t>Лучший тест на страсть</t>
  </si>
  <si>
    <t>978-5-227-10195-2</t>
  </si>
  <si>
    <t>Джастин Кэри встречает бывшую возлюбленную, с которой расстался полтора года назад, без объяснений разорвав отношения. Теперь они с Сэди Харрис — деловые партнеры, вместе готовятся к открытию отеля. Его влечет к ней так же сильно, как раньше, однако Сэди не спешит возобновлять роман. Джастин не подозревает, что шесть месяцев назад стал отцом…</t>
  </si>
  <si>
    <t>2309</t>
  </si>
  <si>
    <t>Зорич А.</t>
  </si>
  <si>
    <t>Люби и властвуй</t>
  </si>
  <si>
    <t>5-227-01095-1</t>
  </si>
  <si>
    <t>18554</t>
  </si>
  <si>
    <t>Люби меня мертвым</t>
  </si>
  <si>
    <t>978-5-227-08522-1</t>
  </si>
  <si>
    <t>17430</t>
  </si>
  <si>
    <t>978-5-227-07447-8</t>
  </si>
  <si>
    <t>11057</t>
  </si>
  <si>
    <t>Добровольская Ю.</t>
  </si>
  <si>
    <t>Люби себя, как я тебя</t>
  </si>
  <si>
    <t>978-5-9524-4172-9</t>
  </si>
  <si>
    <t>16117</t>
  </si>
  <si>
    <t>Любима и свободна</t>
  </si>
  <si>
    <t>978-5-227-06105-8</t>
  </si>
  <si>
    <t>21128</t>
  </si>
  <si>
    <t>Любимая бывшая жена</t>
  </si>
  <si>
    <t>978-5-227-10506-6</t>
  </si>
  <si>
    <t>Хавьер Касас очнулся в больнице после аварии. К нему приехала жена, Эмили, шесть лет назад она ушла от него без объяснения причины. Хавьер притворяется, что у него амнезия. Ему необходимо, чтобы Эмили была рядом с ним, ведь только так он сумеет отомстить ей за предательство...</t>
  </si>
  <si>
    <t>17831</t>
  </si>
  <si>
    <t>Любимая предательница</t>
  </si>
  <si>
    <t>978-5-227-07756-1</t>
  </si>
  <si>
    <t>16860</t>
  </si>
  <si>
    <t>Любимый бывший муж</t>
  </si>
  <si>
    <t>978-5-227-06822-4</t>
  </si>
  <si>
    <t>20538</t>
  </si>
  <si>
    <t>Любимый забытый муж</t>
  </si>
  <si>
    <t>978-5-227-10241-6</t>
  </si>
  <si>
    <t>В результате несчастного случая в море Алли оказалась на частном пляже. Спасение пришло в лице красавца Анджело Ричи, владельца пляжа и роскошной виллы. Из-за травмы Алли потеряла память и вынуждена жить в доме своего спасителя. Однако этот мужчина утверждает, что она его бывшая жена, которая жестоко обманула его. Вскоре Алли догадывается, что, несмотря на обиду и злость, он по-прежнему увлечен своей женой…</t>
  </si>
  <si>
    <t>19782</t>
  </si>
  <si>
    <t>Любимый придуманный муж</t>
  </si>
  <si>
    <t>978-5-227-09401-8</t>
  </si>
  <si>
    <t>19424</t>
  </si>
  <si>
    <t>Любимый притворщик</t>
  </si>
  <si>
    <t>978-5-227-09114-7</t>
  </si>
  <si>
    <t>18539</t>
  </si>
  <si>
    <t>Любимый чужой муж</t>
  </si>
  <si>
    <t>978-5-227-08442-2</t>
  </si>
  <si>
    <t>12273</t>
  </si>
  <si>
    <t>М ГОРОД</t>
  </si>
  <si>
    <t>Любит не любит</t>
  </si>
  <si>
    <t>978-5-227-02449-7</t>
  </si>
  <si>
    <t>15828</t>
  </si>
  <si>
    <t>Любительница авантюр</t>
  </si>
  <si>
    <t>978-5-227-05717-4</t>
  </si>
  <si>
    <t>20314</t>
  </si>
  <si>
    <t>Пастернак Б.Л.</t>
  </si>
  <si>
    <t>Любить иных тяжелый крест…</t>
  </si>
  <si>
    <t>978-5-227-09523-7</t>
  </si>
  <si>
    <t>18985</t>
  </si>
  <si>
    <t>Лермонтов М.Ю.</t>
  </si>
  <si>
    <t>Люблю, люблю одну!</t>
  </si>
  <si>
    <t>978-5-227-08856-7</t>
  </si>
  <si>
    <t>18656</t>
  </si>
  <si>
    <t>Любовная греческая провокация</t>
  </si>
  <si>
    <t>978-5-227-08545-0</t>
  </si>
  <si>
    <t>15605</t>
  </si>
  <si>
    <t>Любовная связь напоказ</t>
  </si>
  <si>
    <t>978-5-227-05048-9</t>
  </si>
  <si>
    <t>18605</t>
  </si>
  <si>
    <t>Любовник из модного каталога</t>
  </si>
  <si>
    <t>978-5-227-08515-3</t>
  </si>
  <si>
    <t>12354</t>
  </si>
  <si>
    <t>РТ М</t>
  </si>
  <si>
    <t>Коуэн Д.</t>
  </si>
  <si>
    <t>Любовник под подозрением</t>
  </si>
  <si>
    <t>978-5-227-02512-8</t>
  </si>
  <si>
    <t>10182</t>
  </si>
  <si>
    <t>Любовники</t>
  </si>
  <si>
    <t>978-5-9524-3353-3</t>
  </si>
  <si>
    <t>19148</t>
  </si>
  <si>
    <t>Любовники по ошибке</t>
  </si>
  <si>
    <t>978-5-227-08969-4</t>
  </si>
  <si>
    <t>18284</t>
  </si>
  <si>
    <t>Любовница без прошлого</t>
  </si>
  <si>
    <t>978-5-227-08248-0</t>
  </si>
  <si>
    <t>17769</t>
  </si>
  <si>
    <t>Любовница маркиза</t>
  </si>
  <si>
    <t>978-5-227-07738-7</t>
  </si>
  <si>
    <t>11905</t>
  </si>
  <si>
    <t>Любовница отменяется</t>
  </si>
  <si>
    <t>978-5-227-02060-4</t>
  </si>
  <si>
    <t>18438</t>
  </si>
  <si>
    <t>Любовное зелье для плейбоя</t>
  </si>
  <si>
    <t>978-5-227-08384-5</t>
  </si>
  <si>
    <t>20821</t>
  </si>
  <si>
    <t>Любовное настроение</t>
  </si>
  <si>
    <t>978-5-227-10370-3</t>
  </si>
  <si>
    <t>Данте Руссо производит пиво и ради новой рекламной кампании должен сменить свой имидж. Он нанимает консультанта-имиджмейкера, не подозревая, что ею окажется Олив Хейз — его прежняя любовь, девушка, которая когда-то публично унизила его. Данте понимает, что Олив не узнала его, а значит, у него появился шанс отомстить!..</t>
  </si>
  <si>
    <t>18975</t>
  </si>
  <si>
    <t>Гиффорд Б.</t>
  </si>
  <si>
    <t>Любовные ошибки леди Валери</t>
  </si>
  <si>
    <t>978-5-227-08894-9</t>
  </si>
  <si>
    <t>21775</t>
  </si>
  <si>
    <t>Любовные страсти старого Петербурга. Скандальные романы, сердечные драмы, тайные венчания и роковые вдовы</t>
  </si>
  <si>
    <t>978-5-227-11147-0</t>
  </si>
  <si>
    <t>Что может быть банальнее слов «любви все возрасты покорны»? Тем не менее книга именно об этом. Не выступая ни в коем случае ни судьей, не давая никаких моральных и нравственных оценок, автор знакомит читателей с сердечными событиями прошлых веков. Теми, которые в силу различных обстоятельств оказались известными широкой публике, нашли свое отражение на страницах прессы, книг, воспоминаний… Какие эпизоды собраны в книгу? Самые разные. Любовные треугольники и семейные драмы, эпатажные амурные приключения, неразделенные чувства, сбежавшие невесты, тайные венчания, роковые вдовы и мужья, дуэли ради защиты чести возлюбленной, всякого рода нежелательные происшествия… В XIX — начале ХХ века Северная столица пережила настоящий разгул «эротических страстей». По сравнению с этим все как будто отступало на второй план — и кровавые вихри первой революции, и холерные эпидемии, и светские скандалы, и политические интриги…_x000D_
Эта книга — попытка собрать вместе любовные истории, так или иначе связанные с городом на Неве… Здесь и великосветские истории, и хитросплетения судеб царствующего дома Романовых, и истории из жизни «веселого Петербурга».</t>
  </si>
  <si>
    <t>19558</t>
  </si>
  <si>
    <t>Олвард Д.</t>
  </si>
  <si>
    <t>Любовный компромисс</t>
  </si>
  <si>
    <t>978-5-227-09202-1</t>
  </si>
  <si>
    <t>18198</t>
  </si>
  <si>
    <t>Любовный поединок</t>
  </si>
  <si>
    <t>978-5-227-08209-1</t>
  </si>
  <si>
    <t>19329</t>
  </si>
  <si>
    <t>Любовный рейс для двоих</t>
  </si>
  <si>
    <t>978-5-227-09075-1</t>
  </si>
  <si>
    <t>17567</t>
  </si>
  <si>
    <t>Любовный талисман</t>
  </si>
  <si>
    <t>978-5-227-07625-0</t>
  </si>
  <si>
    <t>16347</t>
  </si>
  <si>
    <t>Любовный ультиматум</t>
  </si>
  <si>
    <t>978-5-227-06246-8</t>
  </si>
  <si>
    <t>17821</t>
  </si>
  <si>
    <t>Любовь без правил</t>
  </si>
  <si>
    <t>978-5-227-07771-4</t>
  </si>
  <si>
    <t>18778</t>
  </si>
  <si>
    <t>Любовь без страховки</t>
  </si>
  <si>
    <t>978-5-227-08720-1</t>
  </si>
  <si>
    <t>16050</t>
  </si>
  <si>
    <t>Карр С.</t>
  </si>
  <si>
    <t>Любовь в главной роли</t>
  </si>
  <si>
    <t>978-5-227-05977-2</t>
  </si>
  <si>
    <t>20106</t>
  </si>
  <si>
    <t>Любовь в Золотом веке. Удивительные истории любви русских поэтов. Радости и переживания, испытания и трагедии</t>
  </si>
  <si>
    <t>978-5-227-09716-3</t>
  </si>
  <si>
    <t>11506</t>
  </si>
  <si>
    <t>Эштон Э.</t>
  </si>
  <si>
    <t>Любовь в наследство</t>
  </si>
  <si>
    <t>978-5-9524-4634-2</t>
  </si>
  <si>
    <t>20036</t>
  </si>
  <si>
    <t>Любовь в Серебряном веке. Истории о музах и женах русских поэтов и писателей. Радости и переживания</t>
  </si>
  <si>
    <t>978-5-227-09726-2</t>
  </si>
  <si>
    <t>16294</t>
  </si>
  <si>
    <t>Любовь в формате "плюс один"</t>
  </si>
  <si>
    <t>978-5-227-06206-2</t>
  </si>
  <si>
    <t>19506</t>
  </si>
  <si>
    <t>Любовь всегда права</t>
  </si>
  <si>
    <t>978-5-227-09154-3</t>
  </si>
  <si>
    <t>19242</t>
  </si>
  <si>
    <t>978-5-227-09065-2</t>
  </si>
  <si>
    <t>16953</t>
  </si>
  <si>
    <t>Любовь государственной важности</t>
  </si>
  <si>
    <t>978-5-227-06850-7</t>
  </si>
  <si>
    <t>11639</t>
  </si>
  <si>
    <t>Булганова Е.</t>
  </si>
  <si>
    <t>Любовь до востребования</t>
  </si>
  <si>
    <t>978-5-9524-4778-3</t>
  </si>
  <si>
    <t>15549</t>
  </si>
  <si>
    <t>Любовь до полуночи</t>
  </si>
  <si>
    <t>978-5-227-05045-8</t>
  </si>
  <si>
    <t>20463</t>
  </si>
  <si>
    <t>Любовь еще жива</t>
  </si>
  <si>
    <t>978-5-227-10156-3</t>
  </si>
  <si>
    <t>Генри Портер уже много лет вредит семье Кэри, которая однажды предала его. Когда он в очередной раз перекупает у них объект недвижимости, к нему приходит его бывшая возлюбленная, Аманда Кэри, и требует объяснений. Думая, что забыл ее, Генри с удивлением обнаруживает, что их взаимная страсть жива.</t>
  </si>
  <si>
    <t>15072</t>
  </si>
  <si>
    <t>Любовь и прочие неприятности</t>
  </si>
  <si>
    <t>978-5-227-05009-0</t>
  </si>
  <si>
    <t>20631</t>
  </si>
  <si>
    <t>Любовь как наваждение</t>
  </si>
  <si>
    <t>978-5-227-10303-1</t>
  </si>
  <si>
    <t>Натали Гастингс влюбилась в Джонатана Латтимора еще в детстве. Она так увлеклась им, что однажды на вечеринке призналась ему в любви перед всем городом во время трансляции в Интернете. Джонатан стал сторониться ее, и Натали решила сбежать из города. Она отправилась в отпуск, чтобы развеяться, и внезапно встречает там объект своей страсти...</t>
  </si>
  <si>
    <t>14534</t>
  </si>
  <si>
    <t>Любовь не выбирает</t>
  </si>
  <si>
    <t>978-5-227-04512-6</t>
  </si>
  <si>
    <t>15855</t>
  </si>
  <si>
    <t>Карсон Э.</t>
  </si>
  <si>
    <t>Любовь онлайн</t>
  </si>
  <si>
    <t>978-5-227-05812-6</t>
  </si>
  <si>
    <t>16140</t>
  </si>
  <si>
    <t>Любовь по ошибке</t>
  </si>
  <si>
    <t>978-5-227-06120-1</t>
  </si>
  <si>
    <t>10790</t>
  </si>
  <si>
    <t>Соловьева А.</t>
  </si>
  <si>
    <t>Любовь по правилам и без</t>
  </si>
  <si>
    <t>978-5-9524-3897-2</t>
  </si>
  <si>
    <t>16918</t>
  </si>
  <si>
    <t>Любовь по расписанию</t>
  </si>
  <si>
    <t>978-5-227-06847-7</t>
  </si>
  <si>
    <t>18361</t>
  </si>
  <si>
    <t>Любовь побеждает все</t>
  </si>
  <si>
    <t>978-5-227-08400-2</t>
  </si>
  <si>
    <t>21099</t>
  </si>
  <si>
    <t>Грейсон Э.</t>
  </si>
  <si>
    <t>Любовь под маской льда</t>
  </si>
  <si>
    <t>978-5-227-10505-9</t>
  </si>
  <si>
    <t>Александра Волдсворт — наследница огромного состояния и завидная невеста. У нее было все, кроме отцовской любви, — властный и жестокий Дэвид Волдсворт предпочитал управлять жизнью дочери, а не дарить ей счастье. Он заставил ее расстаться с ее любимым, и от этого удара Александра не могла оправиться много лет... Жизнь ее перевернулась с ног на голову — пришлось познать и темные ее страницы. В один из самых тяжелых дней Александра встретилась с тем, кто мог бы помочь начать все сначала. По иронии судьбы им оказался ее прежний возлюбленный…</t>
  </si>
  <si>
    <t>19561</t>
  </si>
  <si>
    <t>Любовь под подозрением</t>
  </si>
  <si>
    <t>978-5-227-09238-0</t>
  </si>
  <si>
    <t>17202</t>
  </si>
  <si>
    <t>Любовь с аукциона</t>
  </si>
  <si>
    <t>978-5-227-07213-9</t>
  </si>
  <si>
    <t>16158</t>
  </si>
  <si>
    <t>Любовь с первого дубля</t>
  </si>
  <si>
    <t>978-5-227-06147-8</t>
  </si>
  <si>
    <t>17378</t>
  </si>
  <si>
    <t>Любовь с препятствиями</t>
  </si>
  <si>
    <t>978-5-227-07427-0</t>
  </si>
  <si>
    <t>19300</t>
  </si>
  <si>
    <t>Любовь со второго взгляда</t>
  </si>
  <si>
    <t>978-5-227-09097-3</t>
  </si>
  <si>
    <t>18414</t>
  </si>
  <si>
    <t>978-5-227-08360-9</t>
  </si>
  <si>
    <t>19860</t>
  </si>
  <si>
    <t>Любовь творит чудеса</t>
  </si>
  <si>
    <t>978-5-227-09486-5</t>
  </si>
  <si>
    <t>7501</t>
  </si>
  <si>
    <t>Белякова Л.</t>
  </si>
  <si>
    <t>Любовь. Офисная версия</t>
  </si>
  <si>
    <t>5-9524-2486-4</t>
  </si>
  <si>
    <t>11155</t>
  </si>
  <si>
    <t>Звонков А.</t>
  </si>
  <si>
    <t>Любовью спасены будете</t>
  </si>
  <si>
    <t>978-5-9524-4109-5</t>
  </si>
  <si>
    <t>21194</t>
  </si>
  <si>
    <t>Люди Зимнего дворца. Монаршие особы, их фавориты и слуги</t>
  </si>
  <si>
    <t>978-5-227-10728-2</t>
  </si>
  <si>
    <t>В предлагаемой книге профессор И.В. Зимин приводит результаты своих очередных исследований повседневных аспектов жизни российских монархов в Зимнем дворце. Кроме того, он обстоятельно рассказывает о традиционных церемониалах, праздниках и развлечениях в монаршем доме, о медиках, обслуживавших государей, об организации охраны Зимнего дворца в различные периоды его истории, о том, что происходило во дворце в революционном 1917 году.</t>
  </si>
  <si>
    <t>17048</t>
  </si>
  <si>
    <t>Лалум Ханс Улав</t>
  </si>
  <si>
    <t>Люди-мухи</t>
  </si>
  <si>
    <t>978-5-227-07079-1</t>
  </si>
  <si>
    <t>20705</t>
  </si>
  <si>
    <t>Барц К.</t>
  </si>
  <si>
    <t>Люфтваффе во Второй мировой войне. Победы и поражения германских военно-воздушных сил. 1939—1945 гг.</t>
  </si>
  <si>
    <t>978-5-9524-5972-4</t>
  </si>
  <si>
    <t>Карл Барц рассматривает историю люфтваффе с их основания до полного поражения, подробно описывая все значительные операции с участием германских авиационных подразделений. Люфтваффе нанесли огромный урон противнику. В Германии была разработана автоматизированная система наведения ночных истребителей, превосходящий по техническим параметрам все зарубежные аналоги истребитель Ме-262, а в декабре 1944 года состоялся первый запуск «Кобр» — пилотируемых ракет, предназначенных для использования против соединений бомбардировщиков врага. Однако никакие научные достижения уже не могли спасти Германию, погубленную противоречивыми действиями диктатора.</t>
  </si>
  <si>
    <t>19524</t>
  </si>
  <si>
    <t>Дози Р.</t>
  </si>
  <si>
    <t>Мавританская Испания. Эпоха правления халифов. VI—XI века</t>
  </si>
  <si>
    <t>978-5-227-09264-9</t>
  </si>
  <si>
    <t>16597</t>
  </si>
  <si>
    <t>Маг. Школа</t>
  </si>
  <si>
    <t>978-5-227-06555-1</t>
  </si>
  <si>
    <t>21077</t>
  </si>
  <si>
    <t>Магазинчик на Цветочной улице</t>
  </si>
  <si>
    <t>978-5-227-10638-4</t>
  </si>
  <si>
    <t>Лидия Хофман шестнадцать лет боролась с тяжелым недугом и победила его с помощью самоотверженной любви родных, доброты друзей и… вязания. Теперь она – удачливая владелица магазинчика пряжи «Путеводная нить» на Цветочной улице – набрала первую группу на курсы вязания. Словно волшебная нить Ариадны прочно связала не знакомых прежде женщин. Общая энергия преодоления помогает блистательной Жаклин восстановить гармонию в семье и наладить отношения с простушкой-невесткой и «неверным» супругом, неформальной боевой Аликс найти надежную пристань в житейском море, а отчаявшейся в попытке родить ребенка Кэрол – обрести чудесного сыночка. Сама Лидия под влиянием этой энергии начинает верить, что ее любовь не в прошлом, а в будущем.</t>
  </si>
  <si>
    <t>20716</t>
  </si>
  <si>
    <t>Магическая нумерология, или как преодолеть любой кризис</t>
  </si>
  <si>
    <t>978-5-227-10406-9</t>
  </si>
  <si>
    <t>Эта книга о нумерологии и ее законах расскажет вам, как создать действующий Денежный талисман и личную Звезду защиты; как заставить денежный эгрегор работать на вас; как рассчитать свой личный звездный период, чтобы подключиться к энергии Высших сил; как перестать сомневаться и стать преуспевающим человеком. _x000D_
Вы научитесь создавать канал собственной связи со Вселенной и пользоваться защитой вашей Звезды, защищать себя от негативных факторов и воздействия окружающих, выходить победителем из любой ситуации, создавать такие условия, чтобы деньги сами текли к вам в руки.</t>
  </si>
  <si>
    <t>21044</t>
  </si>
  <si>
    <t>Магия ароматов. Эфирные масла и специи от всех болезней</t>
  </si>
  <si>
    <t>978-5-227-10593-6</t>
  </si>
  <si>
    <t>Бесконечно огромна кладовая матушки-природы. Она одаривает нас травами, цветами, плодами, а волшебное благоухание растений может потягаться в эффективности с целебными настоями и отварами. Добываемые из лечебных растений эфирные масла пригодятся везде: ароматизировать помещение, сделать духи, шампунь, маску для лица, массажное масло, ингаляцию, принять расслабляющую ванну или тонизирующий душ. Запахи воздействуют напрямую на центральную нервную систему и могут творить чудеса, избавляя от болезней, стресса, напряжения, бессонницы, улучшая настроение и повышая работоспособность. У знаков зодиака и цветов радуги тоже есть соответствующие им запахи, как и у влияющих на вашу жизнь планет. Главное — подобрать аромат, который подойдет лично вам, подарит радость и окажет положительное магическое влияние на вашу жизнь, в чем и поможет эта книга.</t>
  </si>
  <si>
    <t>11874</t>
  </si>
  <si>
    <t>Ветров С.</t>
  </si>
  <si>
    <t>Магия в крови</t>
  </si>
  <si>
    <t>978-5-227-01975-2</t>
  </si>
  <si>
    <t>21681</t>
  </si>
  <si>
    <t>Магия Древнего Египта. Тайны Книги мертвых</t>
  </si>
  <si>
    <t>978-5-227-11084-8</t>
  </si>
  <si>
    <t>Уоллис Бадж, хранитель отдела египетских древностей Британского музея, рассказывает о роли магии в египетской религии, о могущественных амулетах, отгоняющих злых духов, скарабеях бессмертия, магических рисунках и заклинаниях. Вы узнаете о тайне имени, ритуалах и проклятиях черной магии древней цивилизации Нила. В книге приводятся тексты магических заклинаний, цитаты из древних папирусов и надписей на стенах гробниц.</t>
  </si>
  <si>
    <t>16340</t>
  </si>
  <si>
    <t>Магия желаний</t>
  </si>
  <si>
    <t>978-5-227-06193-5</t>
  </si>
  <si>
    <t>20200</t>
  </si>
  <si>
    <t>МАГИЯ НОВ</t>
  </si>
  <si>
    <t>Давид­Неэль А.</t>
  </si>
  <si>
    <t>Магия и тайна Тибета</t>
  </si>
  <si>
    <t>978-5-9524-5756-0</t>
  </si>
  <si>
    <t>20290</t>
  </si>
  <si>
    <t>Магия как система. Магическая система 12 первооснов. Круги существования сознания. Формирование быти</t>
  </si>
  <si>
    <t>978-5-227-10049-8</t>
  </si>
  <si>
    <t>21580</t>
  </si>
  <si>
    <t>Дюген Э.</t>
  </si>
  <si>
    <t>Магия кошек. Как впустить в свой дом удачу</t>
  </si>
  <si>
    <t>978-5-9524-6387-5</t>
  </si>
  <si>
    <t>Элен Дюген — известная западная писательница — откроет для вас таинственный мир кошек. Вы узнаете, как впустить в свой дом благополучие и создать уют, постигнете секреты кошачьего фэн-шуй, сможете вернуть домой заблудившуюся любимицу. Некоторые секреты обращения с этими магическими животными помогут вам решить текущие проблемы. Автор подскажет, какая именно кошка принесет вам удачу в зависимости от ее цвета и знака зодиака!</t>
  </si>
  <si>
    <t>19292</t>
  </si>
  <si>
    <t>Магия первой встречи</t>
  </si>
  <si>
    <t>978-5-227-09054-6</t>
  </si>
  <si>
    <t>18341</t>
  </si>
  <si>
    <t>Магия смелых фантазий</t>
  </si>
  <si>
    <t>978-5-227-08327-2</t>
  </si>
  <si>
    <t>21100</t>
  </si>
  <si>
    <t>Мейсон Б.</t>
  </si>
  <si>
    <t>Магия соблазна</t>
  </si>
  <si>
    <t>978-5-227-10569-1</t>
  </si>
  <si>
    <t>Лили Барнс-Шах — девушка из богатой семьи. Джулиан Форд — молодой миллиардер, добившийся всего своим трудом. У них разные цели: Лили хочет избежать навязанного ей брака с нелюбимым человеком и жить своей жизнью, а Джулиан пытается войти в высшее общество Сан-Франциско, чтобы добиться процветания своей компании, хотя каждый раз ему намекают, что человеку без связей там не место. Лили и Джулиан заключают взаимовыгодную сделку, но внезапно возникшее чувство рушит их планы...</t>
  </si>
  <si>
    <t>21700</t>
  </si>
  <si>
    <t>ОИ НПЛ</t>
  </si>
  <si>
    <t>Белл Эрик Т.</t>
  </si>
  <si>
    <t>Магия чисел. Нумерология Пифагора с древности до наших дней</t>
  </si>
  <si>
    <t>978-5-9524-5815-4</t>
  </si>
  <si>
    <t>Американский математик, исследователь в области теории чисел Эрик Т. Белл посвятил свою книгу истории происхождения математической мысли и разработки численной теории с момента ее зарождения в древности до современной эпохи. Обоснованно и убедительно автор демонстрирует влияние, которое оказала «магия чисел» на развитие религии, философии, науки и математики. Э.Т. Белл рассматривает процесс превращения числа из инструмента счета в объект культуры, сформировавшийся в VI веке до н. э. в школе древнегреческого философа, мистика, физика-экспериментатора и математика Пифагора — главного героя его исследования. Основополагающим моментом учения великого ученого древности стала доктрина о том, что «все сущее есть число». Доктор Белл изучил развитие этой доктрины: ее упадок в XVII веке и блистательное возрождение в современной физике. Автор также представил и проанализировал труды таких гигантов математики, как Галилей, Джордано Бруно, Ньютон.</t>
  </si>
  <si>
    <t>18334</t>
  </si>
  <si>
    <t>Кэнтрелл К.</t>
  </si>
  <si>
    <t>Магнетическое притяжение</t>
  </si>
  <si>
    <t>978-5-227-08332-6</t>
  </si>
  <si>
    <t>17444</t>
  </si>
  <si>
    <t>Берто Ж.­И.</t>
  </si>
  <si>
    <t>Мадемуазель С</t>
  </si>
  <si>
    <t>978-5-227-07445-4</t>
  </si>
  <si>
    <t>14863</t>
  </si>
  <si>
    <t>Майорат на двоих</t>
  </si>
  <si>
    <t>978-5-227-04866-0</t>
  </si>
  <si>
    <t>20679</t>
  </si>
  <si>
    <t>Ко М.</t>
  </si>
  <si>
    <t>Майя. Исчезнувшая цивилизация: легенды и факты</t>
  </si>
  <si>
    <t>978-5-9524-5653-2</t>
  </si>
  <si>
    <t>Книга Майкла Ко, профессора антропологии Йельского университета, автора нескольких научно-популярных исследований цивилизаций Мезоамерики, — увлекательный рассказ о зарождении, расцвете и крушении цивилизации майя, чья история на протяжении полутора веков вызывает повышенный интерес ученых и неспециалистов. Вы узнаете много интересного о достижениях древнего народа в области математики, письменности, астрономии, искусства, архитектуры. Специальная статья посвящена трудам российского ученого Ю.В. Кнорозова, внесшего неоценимый вклад в расшифровку письменности майя.</t>
  </si>
  <si>
    <t>17619</t>
  </si>
  <si>
    <t>Жукова Т.</t>
  </si>
  <si>
    <t>Малая энциклопедия консервирования</t>
  </si>
  <si>
    <t>978-5-227-07559-8</t>
  </si>
  <si>
    <t>10446</t>
  </si>
  <si>
    <t>КЭ+</t>
  </si>
  <si>
    <t>Жукова Ю.</t>
  </si>
  <si>
    <t>978-5-9524-3642-8</t>
  </si>
  <si>
    <t>16873</t>
  </si>
  <si>
    <t>Матиев Т.Х</t>
  </si>
  <si>
    <t>Малгобекский бастион</t>
  </si>
  <si>
    <t>978-5-227-06776-0</t>
  </si>
  <si>
    <t>17496</t>
  </si>
  <si>
    <t>Джени Крауч</t>
  </si>
  <si>
    <t>Маленькая ложь</t>
  </si>
  <si>
    <t>978-5-227-07563-5</t>
  </si>
  <si>
    <t>15772</t>
  </si>
  <si>
    <t>Маленький секрет Энджел</t>
  </si>
  <si>
    <t>978-5-227-05682-5</t>
  </si>
  <si>
    <t>11770</t>
  </si>
  <si>
    <t>Малина, ежевика. Сорта, выращивание, уход</t>
  </si>
  <si>
    <t>978-5-9524-4760-8</t>
  </si>
  <si>
    <t>16974</t>
  </si>
  <si>
    <t>Мальчик из будущего</t>
  </si>
  <si>
    <t>978-5-227-07065-4</t>
  </si>
  <si>
    <t>20996</t>
  </si>
  <si>
    <t>Мамина школа. Растим здорового, умного и сытого ребенка. Советы и рецепты педиатров, педагогов, поваров. Для родителей малышей от 0 до школы</t>
  </si>
  <si>
    <t>978-5-227-10587-5</t>
  </si>
  <si>
    <t>Все мы когда-то были малышами и понимаем, насколько важно гармонично и правильно прожить этот период, ведь в нём закладывается психическое и физическое здоровье, то есть задел на всю дальнейшую жизнь человека. Мы вырастаем и сами становимся родителями… Иметь детей безмерное счастье, но и огромная ответственность. Каждый родитель хочет своему ребёнку всего самого хорошего. И очень волнуется, если ему кажется, что малыш отстаёт в развитии или ведёт себя «не так». А как это — «так»? Чем кормить? Как лечить? Что можно и что нельзя детям? Когда можно обойтись домашними средствами, а когда пора паниковать и бежать к врачу? На эти и многие другие вопросы касательно питания, развития и здоровья дошкольников расскажет эта книга.</t>
  </si>
  <si>
    <t>14</t>
  </si>
  <si>
    <t>Элен Эксли</t>
  </si>
  <si>
    <t>Мамочке</t>
  </si>
  <si>
    <t>978-5-9524-2966-6</t>
  </si>
  <si>
    <t>20063</t>
  </si>
  <si>
    <t>ТП Арт Терапия</t>
  </si>
  <si>
    <t>Манипура. Солнечное сплетение. Исцеление пищеварительной системы</t>
  </si>
  <si>
    <t>978-5-227-09898-6</t>
  </si>
  <si>
    <t>10761</t>
  </si>
  <si>
    <t>Дэвис Ч.</t>
  </si>
  <si>
    <t>Мания</t>
  </si>
  <si>
    <t>978-5-9524-3879-8</t>
  </si>
  <si>
    <t>15871</t>
  </si>
  <si>
    <t>Кувайкова А.А., Созонова Ю.В.</t>
  </si>
  <si>
    <t>Мантикора и Дракон. Эпизод 1</t>
  </si>
  <si>
    <t>978-5-227-05844-7</t>
  </si>
  <si>
    <t>18232</t>
  </si>
  <si>
    <t>Мантикора и Дракон: вернуться и вернуть. Эпизод 1</t>
  </si>
  <si>
    <t>978-5-22708339-5</t>
  </si>
  <si>
    <t>18274</t>
  </si>
  <si>
    <t>Манускрипт</t>
  </si>
  <si>
    <t>978-5-227-08346-3</t>
  </si>
  <si>
    <t>17833</t>
  </si>
  <si>
    <t>Марафон страсти с шафером</t>
  </si>
  <si>
    <t>978-5-227-07761-5</t>
  </si>
  <si>
    <t>20340</t>
  </si>
  <si>
    <t>Марионетка</t>
  </si>
  <si>
    <t>978-5-227-09043-0</t>
  </si>
  <si>
    <t>20877</t>
  </si>
  <si>
    <t>Маршал Берия. Штрихи к биографии</t>
  </si>
  <si>
    <t>978-5-227-10494-6</t>
  </si>
  <si>
    <t>Лаврентий Павлович Берия — глава НКВД в 1938—1943 гг. и глава объединенного Министерства внутренних дел и государственной безопасности. В 1945—1953 гг. зампредседателя Совета министров СССР, в годы войны член ГКО, представитель Ставки во время обороны Кавказа, маршал СССР. После войны куратор создания атомного и ракетного оружия. Через четыре месяца после смерти И.В. Сталина смещен со всех пос­тов, объявлен английским шпионом, мусаватистом, заговорщиком и расстрелян… В то же время есть и другие версии: убит во время ареста, скрывается за рубежом и т. п. Л.П. Берия — один из немногих деятелей КПСС, кто до сих пор не реабилитирован, хотя его заслуги и вклад в оборону страны мало у кого сегодня вызывают сомнение. Несмотря на то что за последние шестьдесят лет вышли десятки фильмов и книг о Берии, его личность и его история продолжают вызывать интерес. _x000D__x000D_
В предлагаемой читателю книге сделана попытка (со ссылками на всю имеющуюся к настоящему времени в открытом доступе информацию) дать объективную характеристику этому незаурядному деятелю Советского Союза. Издание снабжено архивными документами и фотографиями.</t>
  </si>
  <si>
    <t>20880</t>
  </si>
  <si>
    <t>Маршалы Наполеона: Исторические портреты</t>
  </si>
  <si>
    <t>978-5-9524-6045-4</t>
  </si>
  <si>
    <t>В книге рассказывается о жизни двадцати шести знаменитых полководцев, которые получили свой маршальский жезл от Наполеона. Это были люди самого разного происхождения: от аристократов до выходцев из низших слоев общества. Читатель узнает, с чего начинали эти храбрые и честолюбивые люди, как относились к власти, с чем пришли к концу жизни и как вели себя по отношению к человеку, которому были обязаны своим высоким положением. Книга поможет понять влияние Наполеона на людей его поколения и на политическую ситуацию в Европе.</t>
  </si>
  <si>
    <t>14594</t>
  </si>
  <si>
    <t>Маска возмездия</t>
  </si>
  <si>
    <t>978-5-227-04658-1</t>
  </si>
  <si>
    <t>20496</t>
  </si>
  <si>
    <t>Маскарад</t>
  </si>
  <si>
    <t>978-5-227-09822-1</t>
  </si>
  <si>
    <t>Когда Элизабет Фицджеральд вернулась из Дублина с ребенком на руках, все ахнули. Такая застенчивая, такая благонравная девушка — и вдруг опозорена! Имя отца вызвало еще большее удивление — лорд Тайрел де Уоррен, будущий граф Адар. Лизи была с детства влюблена в Тайрела. И знатного наследника привлекала скромная тихая девушка. Так привлекала, что он настойчиво предлагал Элизабет стать его любовницей, хотя был помолвлен. Кроме того, Тайрел был уверен, что ребенок не от него. Но вскоре он узнал, что и Лизи не мать мальчика. Какую странную игру затеяла эта с виду невинная девушка? И какая тайна связана с этим так похожим на Тайрела малышом?..</t>
  </si>
  <si>
    <t>18719</t>
  </si>
  <si>
    <t>Черных Д.</t>
  </si>
  <si>
    <t>Маскарад реальностей</t>
  </si>
  <si>
    <t>978-5-227-08690-7</t>
  </si>
  <si>
    <t>16525</t>
  </si>
  <si>
    <t>Маскарад чувств</t>
  </si>
  <si>
    <t>978-5-227-06486-8</t>
  </si>
  <si>
    <t>18879</t>
  </si>
  <si>
    <t>Васильев Я.М</t>
  </si>
  <si>
    <t>Мастер искажений</t>
  </si>
  <si>
    <t>978-5-227-08834-5</t>
  </si>
  <si>
    <t>17758</t>
  </si>
  <si>
    <t>Мастер лута</t>
  </si>
  <si>
    <t>978-5-227-07346-4</t>
  </si>
  <si>
    <t>17953</t>
  </si>
  <si>
    <t>Мастер незабываемого соблазнения</t>
  </si>
  <si>
    <t>978-5-227-07999-2</t>
  </si>
  <si>
    <t>18316</t>
  </si>
  <si>
    <t>Мастер-класс от плейбоя</t>
  </si>
  <si>
    <t>978-5-227-08247-3</t>
  </si>
  <si>
    <t>18117</t>
  </si>
  <si>
    <t>Аренс В.</t>
  </si>
  <si>
    <t>Математические игры</t>
  </si>
  <si>
    <t>978-5-9524-5246-6</t>
  </si>
  <si>
    <t>17705</t>
  </si>
  <si>
    <t>Шуберт Г.</t>
  </si>
  <si>
    <t>Математические развлечения и игры</t>
  </si>
  <si>
    <t>978-5-9524-5239-8</t>
  </si>
  <si>
    <t>7311</t>
  </si>
  <si>
    <t>Верещагинъ</t>
  </si>
  <si>
    <t>Материалы для библиографии</t>
  </si>
  <si>
    <t>5-9524-1194-0</t>
  </si>
  <si>
    <t>70x100 1/8</t>
  </si>
  <si>
    <t>14361</t>
  </si>
  <si>
    <t>Мать-и-мачеха</t>
  </si>
  <si>
    <t>978-5-227-04371-9</t>
  </si>
  <si>
    <t>18734</t>
  </si>
  <si>
    <t>Мафия</t>
  </si>
  <si>
    <t>978-5-9524-5381-4</t>
  </si>
  <si>
    <t>17605</t>
  </si>
  <si>
    <t>Кубанин М.И, Махно Н.И.</t>
  </si>
  <si>
    <t>Махновщина. Крестьянское движение в степной Украине в годы Гражданской. Ответ Кубанину М.</t>
  </si>
  <si>
    <t>978-5-227-07503-1</t>
  </si>
  <si>
    <t>17648</t>
  </si>
  <si>
    <t>Мачо из виртуальных грез</t>
  </si>
  <si>
    <t>978-5-227-07681-6</t>
  </si>
  <si>
    <t>20929</t>
  </si>
  <si>
    <t>МВД, или Мгновенно, вкусно, доступно</t>
  </si>
  <si>
    <t>978-5-227-10113-6</t>
  </si>
  <si>
    <t>Представляем новую совместную работу Ильи Лазерсона и Михаила Спички. На протяжении многих лет они ведут на радио передачу, посвящённую кулинарии, и собрали великолепную коллекцию самых разных рецептов._x000D__x000D_
Это издание завершает трилогию книг, названия которых очень коротки и весьма строги. Ключевое слово в названии — мгновенно! Быстро приготовленная еда не может быть дорогой и не имеет права быть невкусной, так что вы получаете подборку рецептов великолепных блюд, которые не отнимут много времени и средств._x000D__x000D_
Книга построена по классическому принципу универсальной — в ней можно найти рецепты всех групп блюд, составляющих трапезу — салатов, закусок, супов, основных блюд из рыбы, птицы и мяса, десертов. Авторы не обошли вниманием и вегетарианце._x000D__x000D_
Поверьте, никто не останется голодным!</t>
  </si>
  <si>
    <t>5322</t>
  </si>
  <si>
    <t>Дмитриева</t>
  </si>
  <si>
    <t>Мед ваш домашний доктор</t>
  </si>
  <si>
    <t>5-9524-1401-X</t>
  </si>
  <si>
    <t>17095</t>
  </si>
  <si>
    <t>Мед. Природный целитель</t>
  </si>
  <si>
    <t>978-5-227-06661-9</t>
  </si>
  <si>
    <t>20473</t>
  </si>
  <si>
    <t>Медные лбы. Картинки с натуры</t>
  </si>
  <si>
    <t>978-5-227-09978-5</t>
  </si>
  <si>
    <t>В очередном сборнике юмористических рассказов классика Н.А. Лейкина раскрываются типичные для того времени темы. Традиционные праздники и способы их отмечать, в том числе способы накрывать на стол за счет гостей, и угощение приютских сирот на господском празднике — конечно, о равноправном веселье не может быть и речи. Вездесущие купцы, безуспешно пытающиеся понять значение пьес, балета, цирковых представлений, принципы составления библиотеки (на вес или объем книг), архитектурные особенности городских новинок — фонтанов и мостов. Последние особенно настораживают: как бы чего не случилось, лучше поехать по льду, чем по мосту. И еще о страхах: до сих пор люди опасаются летать самолетами, а в конце XIX — начале XX века уже заранее оплакивали поднимающихся на воздушном шаре, попутчики же по железной дороге и вовсе не изменились. Так же жутковато и ночью на улицах, схожие увлекательные байки рассказывают о загранице, и настолько же похожи современные объявления о продаже на старинные — как и то, что ждет покупателей на месте. Зато радует, что отношение к труду художников медленно, но верно меняется к лучшему.</t>
  </si>
  <si>
    <t>10205</t>
  </si>
  <si>
    <t>Медовая ловушка</t>
  </si>
  <si>
    <t>978-5-9524-3409-7</t>
  </si>
  <si>
    <t>19641</t>
  </si>
  <si>
    <t>Медовый вкус страсти</t>
  </si>
  <si>
    <t>978-5-227-09288-5</t>
  </si>
  <si>
    <t>19113</t>
  </si>
  <si>
    <t>Медовый месяц без гарантий</t>
  </si>
  <si>
    <t>978-5-227-08940-3</t>
  </si>
  <si>
    <t>19463</t>
  </si>
  <si>
    <t>Медовый месяц без правил</t>
  </si>
  <si>
    <t>978-5-227-09151-2</t>
  </si>
  <si>
    <t>15489</t>
  </si>
  <si>
    <t>Браун Д.</t>
  </si>
  <si>
    <t>Медовый месяц в Греции</t>
  </si>
  <si>
    <t>978-5-227-05459-3</t>
  </si>
  <si>
    <t>17436</t>
  </si>
  <si>
    <t>Медовый месяц для любовницы</t>
  </si>
  <si>
    <t>978-5-227-07452-2</t>
  </si>
  <si>
    <t>19849</t>
  </si>
  <si>
    <t>Медовый месяц на Бали</t>
  </si>
  <si>
    <t>978-5-227-09512-1</t>
  </si>
  <si>
    <t>18971</t>
  </si>
  <si>
    <t>Медовый месяц с незнакомцем</t>
  </si>
  <si>
    <t>978-5-227-08837-6</t>
  </si>
  <si>
    <t>20347</t>
  </si>
  <si>
    <t>Меж трех огней. Роман из актерской жизни</t>
  </si>
  <si>
    <t>978-5-227-09997-6</t>
  </si>
  <si>
    <t>19732</t>
  </si>
  <si>
    <t>Междукняжеские отношения на Руси. Х – первая четверть XII в.</t>
  </si>
  <si>
    <t>978-5-227-09424-7</t>
  </si>
  <si>
    <t>16817</t>
  </si>
  <si>
    <t>Мексиканские страсти</t>
  </si>
  <si>
    <t>978-5-227-06806-4</t>
  </si>
  <si>
    <t>21625</t>
  </si>
  <si>
    <t>Мексиканский сет</t>
  </si>
  <si>
    <t>978-5-9524-6368-4</t>
  </si>
  <si>
    <t>Во втором романе шпионской трилогии «Гейм, сет и матч» сотрудник британской секретной службы Бернард Сэмсон после разоблачения жены, переметнувшейся к противнику, отправляется в Мексику, чтобы завербовать агента КГБ. После череды непредвиденных происшествий успех операции под вопросом, однако Бернард готов пойти на риск, чтобы убедить Центр в своей благонадежности и снять с себя подозрения в причастности к подрывной деятельности Фионы...</t>
  </si>
  <si>
    <t>17352</t>
  </si>
  <si>
    <t>Мелодия для двоих</t>
  </si>
  <si>
    <t>978-5-227-07320-4</t>
  </si>
  <si>
    <t>7327</t>
  </si>
  <si>
    <t>Чейс</t>
  </si>
  <si>
    <t>Мелодия любви</t>
  </si>
  <si>
    <t>5-9524-2380-9</t>
  </si>
  <si>
    <t>11556</t>
  </si>
  <si>
    <t>Колядина Е.</t>
  </si>
  <si>
    <t>Мелодия моей любви</t>
  </si>
  <si>
    <t>978-5-9524-4697-7</t>
  </si>
  <si>
    <t>16954</t>
  </si>
  <si>
    <t>Мелодрама по голливудски</t>
  </si>
  <si>
    <t>978-5-227-06933-7</t>
  </si>
  <si>
    <t>21870</t>
  </si>
  <si>
    <t>Клейнмихель М.Э.</t>
  </si>
  <si>
    <t>Мемуары знатной дамы: путь от фрейлины до эмигрантки. Из потонувшего мира</t>
  </si>
  <si>
    <t>978-5-227-10879-1</t>
  </si>
  <si>
    <t>Графиня Мария Эдуардовна Клейнмихель — светская дама из высшего общества Российской империи, пережившая за свою долгую жизнь трех императоров и лично знавшая многих людей, оставивших след в истории. Пройдя путь от юной фрейлины до пожилой хозяйки петербургского салона, по-дружески принимавшей у себя аристократов, министров, генералов и дипломатов, она оказалась причастна ко многим тайнам политической жизни. Ей было уже за 70 лет, когда 1917 год навсегда изменил жизнь в России. Оказавшись в эмиграции, графиня Клейнмихель сочла своим долгом написать воспоминания о «потонувшем мире» Российской империи, ведь ей было что вспомнить.</t>
  </si>
  <si>
    <t>16398</t>
  </si>
  <si>
    <t>Озолс К.</t>
  </si>
  <si>
    <t>Мемуары посланника</t>
  </si>
  <si>
    <t>978-5-227-05761-7</t>
  </si>
  <si>
    <t>19808</t>
  </si>
  <si>
    <t>Ментальный ЗОЖ. Хирология для исцеления души и судьбы</t>
  </si>
  <si>
    <t>978-5-227-09535-0</t>
  </si>
  <si>
    <t>17484</t>
  </si>
  <si>
    <t>Меняя историю</t>
  </si>
  <si>
    <t>978-5-227-07566-6</t>
  </si>
  <si>
    <t>17615</t>
  </si>
  <si>
    <t>Мертвое время</t>
  </si>
  <si>
    <t>978-5-227-07602-1</t>
  </si>
  <si>
    <t>16612</t>
  </si>
  <si>
    <t>Мертвые не кусаются</t>
  </si>
  <si>
    <t>978-5-227-06548-3</t>
  </si>
  <si>
    <t>0171</t>
  </si>
  <si>
    <t>978-5-227-06972-6</t>
  </si>
  <si>
    <t>20813</t>
  </si>
  <si>
    <t>Кайоли Л.</t>
  </si>
  <si>
    <t>Месси. Исключительная биография. Обновленное и дополненное издание</t>
  </si>
  <si>
    <t>978-5-227-10465-6</t>
  </si>
  <si>
    <t>Известный спортивный журналист Лука Кайоли посвятил свою книгу Лионелю Месси, одному из самых почитаемых футболистов в истории, семикратному обладателю «Золотого мяча» и шестикратному — «Золотой бутсы», чемпиону мира и Олимпийских игр. В книге много интересных подробностей из личной жизни и футбольной карьеры мировой легенды. Новое, значительно доработанное издание автор дополнил самыми яркими моментами последних десяти лет спортивной биографии невероятно результативного, хладнокровного и безошибочно последовательного футболиста.</t>
  </si>
  <si>
    <t>10217</t>
  </si>
  <si>
    <t>Место где убивают хороших мальчиков</t>
  </si>
  <si>
    <t>978-5-9524-3428-8</t>
  </si>
  <si>
    <t>18662</t>
  </si>
  <si>
    <t>Место под солнцем</t>
  </si>
  <si>
    <t>978-5-227-08560-3</t>
  </si>
  <si>
    <t>20462</t>
  </si>
  <si>
    <t>Месть бывшему любовнику</t>
  </si>
  <si>
    <t>978-5-227-10142-6</t>
  </si>
  <si>
    <t>Нат и Джеймс давно знакомы, и оба пережили душевную травму: серая мышка Нат переживает расставание с красавцем Генри Полсоном, который бросил ее ради девицы с броской внешностью. Скромный невыразительный Джеймс еще не пришел в себя после предательства невесты, которая сбежала от него в день свадьбы и спустя короткое время вышла замуж за другого мужчину. Однажды, оценив свое печальное положение, Нат и Джеймс решают измениться, – стать яркими и привлекательными для противоположного пола. Сообща они увлеченно берутся за дело…</t>
  </si>
  <si>
    <t>14339</t>
  </si>
  <si>
    <t>Месть и любовь</t>
  </si>
  <si>
    <t>978-5-227-04348-1</t>
  </si>
  <si>
    <t>17816</t>
  </si>
  <si>
    <t>Месть идеальной женщине</t>
  </si>
  <si>
    <t>978-5-227-07755-4</t>
  </si>
  <si>
    <t>19021</t>
  </si>
  <si>
    <t>Месяц в деревне</t>
  </si>
  <si>
    <t>978-5-227-08958-8</t>
  </si>
  <si>
    <t>20270</t>
  </si>
  <si>
    <t>Месяц знойных ласк</t>
  </si>
  <si>
    <t>978-5-227-09807-8</t>
  </si>
  <si>
    <t>20935</t>
  </si>
  <si>
    <t>Грубер А.</t>
  </si>
  <si>
    <t>Метка смерти</t>
  </si>
  <si>
    <t>978-5-227-10577-6</t>
  </si>
  <si>
    <t>Комиссар уголовной полиции Сабина Немез крайне удивлена, встретив в главном здании БКА в Висбадене женщину в монашеской одежде, которая заявляет о желании признаться в преступлении. И не кому-либо, а исключительно коллеге Сабины Мартену С. Снейдеру. Но после бурной дискуссии с новым руководителем БКА он уволился, поэтому заменить его приходится Сабине. От услышанного у нее перехватывает дыхание: безобидная на первый взгляд женщина заявляет, что в следующие семь дней совершит семь убийств – о мотиве и способе она хранит молчание. Пожилую монахиню задерживают, а в БКА начинается суматоха — особенно после того, как Сабине, несмотря на все усилия, не удается предотвратить первое убийство. Очень скоро становится ясно, что за всем этим скрывается исключительно изощренный план, который заинтриговывает и Снейдера. Он возвращается в БКА и вместе с Сабиной ввязывается в игру монахини, не подозревая, в какие темные бездны вовлечет его в этот раз непредсказуемая соперница...</t>
  </si>
  <si>
    <t>20170</t>
  </si>
  <si>
    <t>978-5-227-09934-1</t>
  </si>
  <si>
    <t>0148</t>
  </si>
  <si>
    <t>Меткий стрелок</t>
  </si>
  <si>
    <t>978-5-227-06973-3</t>
  </si>
  <si>
    <t>21896</t>
  </si>
  <si>
    <t>Жданов А.М.</t>
  </si>
  <si>
    <t>Метрополитен Петербурга. Легенды метро, проекты, архитекторы, художники и скульпторы, станции, наземные вестибюли</t>
  </si>
  <si>
    <t>978-5-227-11202-6</t>
  </si>
  <si>
    <t>"Знаете ли вы, что подземную дорогу в Санкт-Петербурге предполагалось построить еще в 1820-х годах и великий поэт Александр Сергеевич Пушкин вполне бы мог стать пассажиром метрополитена? В 1814 году английский изобретатель Марк Изамбар Брюнель представил императору Александру I проект первого в мире проходческого щита для прокладки тоннелей под Невой. Но построили с помощью этого щита подводный тоннель под Темзой для Лондонского метрополитена, а вот в городе на Неве первая подземная линия появилась только в ноябре 1955 года, хотя открыть ее собирались и в 1925, и в 1942 годах.
Читатели побывают на всех станциях Петербургского метрополитена, узнают немало любопытного из биографий архитекторов, художников и скульпторов, принимавших участие в их создании, а желающим предлагается, воспользовавшись подсказками, самим отыскать сюрпризы, «спрятанные» мастерами в их творениях.
Возможно, некоторые факты окажутся неожиданными, не обошлось без легенд и удивительных историй: вы узнаете, чем занимался на строительстве метро писатель Сергей Довлатов и где снимались известные кинофильмы..."</t>
  </si>
  <si>
    <t>14763</t>
  </si>
  <si>
    <t>Ланцов М.А.</t>
  </si>
  <si>
    <t>Механический дракон</t>
  </si>
  <si>
    <t>978-5-227-04739-7</t>
  </si>
  <si>
    <t>21031</t>
  </si>
  <si>
    <t>Меч в век рыцарства. Классификация, типология, описание</t>
  </si>
  <si>
    <t>978-5-9524-6116-1</t>
  </si>
  <si>
    <t>В основу книги легло четвертьвековое изучение средневекового меча, а именно европейского оружия 1100—1500­х годов, не только как археологического артефакта, но и как благородного вида оружия практического назначения. Вы узнаете, что рыцарский меч произошел от длинных железных мечей древних кельтов, о скандинавских прародителях рыцарского оружия и много других интересных исторических фактов. Автор приводит классификацию типов мечей, разновидностей форм наверший, указывает особенности рукоятей и ножен, описывает стили украшения крестовых гард.</t>
  </si>
  <si>
    <t>18536</t>
  </si>
  <si>
    <t>Конычев И.</t>
  </si>
  <si>
    <t>Меч Валькирии</t>
  </si>
  <si>
    <t>978-5-227-08533-7</t>
  </si>
  <si>
    <t>21010</t>
  </si>
  <si>
    <t>Хаттон А.</t>
  </si>
  <si>
    <t>Меч сквозь столетия. Искусство владения оружием</t>
  </si>
  <si>
    <t>978-5-9524-6099-7</t>
  </si>
  <si>
    <t>Автор повествует об истории фехтования и развития клинкового оружия, охватывая период от Средневековья до XIX века. Вы узнаете о двуручном мече, рапире, кинжале, сабле, палаше и дуэльной шпаге. Книгу дополняют фрагменты древних манускриптов.</t>
  </si>
  <si>
    <t>11759</t>
  </si>
  <si>
    <t>Эш П.</t>
  </si>
  <si>
    <t>Мечта моего сердца</t>
  </si>
  <si>
    <t>978-5-9524-4884-1</t>
  </si>
  <si>
    <t>19052</t>
  </si>
  <si>
    <t>Сейтимбетов С.А</t>
  </si>
  <si>
    <t>Мечты сбываются</t>
  </si>
  <si>
    <t>978-5-227-09022-5</t>
  </si>
  <si>
    <t>20438</t>
  </si>
  <si>
    <t>Миг воплощенных желаний</t>
  </si>
  <si>
    <t>978-5-227-10125-9</t>
  </si>
  <si>
    <t>Впервые встретившись со своей сводной сестрой, Майя Монк не подозревала, что та бросит на нее своего ребенка. Не успев смириться с ситуацией, в которую попала, Майя сталкивается с миллиардером Самуэле Агости, который требует отдать ему малыша.</t>
  </si>
  <si>
    <t>21248</t>
  </si>
  <si>
    <t>Мэрчент С.</t>
  </si>
  <si>
    <t>Миг запретных ласк</t>
  </si>
  <si>
    <t>978-5-227-10521-9</t>
  </si>
  <si>
    <t>Биолог Анна Кендалл возвращается в Южную Африку, в заповедник дикой природы, где прошли ее детство и юность. Одиннадцать лет назад ей пришлось покинуть Тембу с разбитым сердцем — мужчина, которого она полюбила, отверг ее любовь. От прежней девчонки-дикарки не осталось и следа, теперь Анна — авторитетный специалист, от ее заключения зависит финансирование заповедника. Однако при встрече с Джеком Элиотом в ее сердце с новой силой разгорается любовь, а влечение, возникшее меду ними, жарче африканского солнца…</t>
  </si>
  <si>
    <t>21175</t>
  </si>
  <si>
    <t>Миг пылких чувств</t>
  </si>
  <si>
    <t>978-5-227-10611-7</t>
  </si>
  <si>
    <t>Дейли и Тристан испытывают влечение друг к другу, однако об отношениях не может быть и речи. Тристан — ловелас, к тому же его компания в скором времени поглотит небольшое рекламное агентство Дейли. Ситуацию осложняет то, что их семьи вот-вот породнятся, а значит, новых встреч не избежать. Накануне свадьбы Тристан и Дейли заключают соглашение, что их интрижка закончится в последний день празднования, однако вскоре нарушают уговор...</t>
  </si>
  <si>
    <t>20183</t>
  </si>
  <si>
    <t>Миг страсти в Нэшвилле</t>
  </si>
  <si>
    <t>978-5-227-09682-1</t>
  </si>
  <si>
    <t>7393</t>
  </si>
  <si>
    <t>Уолш</t>
  </si>
  <si>
    <t>Милая Бренда</t>
  </si>
  <si>
    <t>5-9524-2425-2</t>
  </si>
  <si>
    <t>18230</t>
  </si>
  <si>
    <t>Кубика М</t>
  </si>
  <si>
    <t>Милая девочка</t>
  </si>
  <si>
    <t>978-5-227-08148-3</t>
  </si>
  <si>
    <t>18061</t>
  </si>
  <si>
    <t>Миллиард долларов наличными</t>
  </si>
  <si>
    <t>978-5-9524-5301-2</t>
  </si>
  <si>
    <t>17324</t>
  </si>
  <si>
    <t>BEST №1</t>
  </si>
  <si>
    <t>Миллиардер</t>
  </si>
  <si>
    <t>978-5-227-07356-3</t>
  </si>
  <si>
    <t>Миллионерами мечтают стать многие, но только не брокер Алекс Рок. Его цель — заработать миллиард. Амбициозный молодой человек не боится играть по-крупному, однако блестящий план, который должен был принести ему желанное богатство, оказывается, связан с гораздо большим риском, чем он рассчитывал. Рок даже не подозревает, какую роль ему предстоит сыграть в крупной политической авантюре, от которой зависит судьба целых государств и сама мировая стабильность. Удастся ли ему уцелеть и не пасть жертвой интриг сильных мира сего? События развиваются так стремительно, что у Алекса просто нет времени беспокоиться из-за ревнивого бывшего бойфренда своей девушки. Но именно этому на первый взгляд невзрачному и неприметному человеку предстоит решить его судьбу...</t>
  </si>
  <si>
    <t>21868</t>
  </si>
  <si>
    <t>Миллиарды Рокфеллеров. История самого крупного состояния в XIX—XX веках</t>
  </si>
  <si>
    <t>978-5-9524-6515-2</t>
  </si>
  <si>
    <t>Многие современники Джона Д. Рокфеллера считали, что богатым его сделали изворотливость, беспощадность и фанатичная скаредность. У известного экономического аналитика Жюля Абельса несколько иной взгляд на этот вопрос. На основе разносторонних и скрупулезных изысканий Абельс исследует происхождение самого крупного в мире в XIX—XX веках состояния и предоставляет возможность понять, как один человек построил империю «Стандарт ойл» и накопил баснословное богатство, которое питает бессчетные благотворительные и образовательные направления. В то же время Абельс четко показывает, что, пока Рокфеллер балансировал на тонкой линии между деловой хваткой и хитростью с одной стороны и безнравственными средствами ведения экономической войны с конкурентами — с другой, он пересек эту линию по собственным меркам и по меркам общества того времени.</t>
  </si>
  <si>
    <t>18479</t>
  </si>
  <si>
    <t>Миллион за жену-беглянку</t>
  </si>
  <si>
    <t>978-5-227-08390-6</t>
  </si>
  <si>
    <t>16067</t>
  </si>
  <si>
    <t>Мимолетное увлечение</t>
  </si>
  <si>
    <t>978-5-227-06071-6</t>
  </si>
  <si>
    <t>18783</t>
  </si>
  <si>
    <t>Лукашевич А.</t>
  </si>
  <si>
    <t>Министерство несбывшихся желаний</t>
  </si>
  <si>
    <t>978-5-227-08741-6</t>
  </si>
  <si>
    <t>21644</t>
  </si>
  <si>
    <t>Лотт А.</t>
  </si>
  <si>
    <t>Минная война на море в годы Второй мировой. Операции тральщиков и заградителей в Атлантике и на Тихом океане</t>
  </si>
  <si>
    <t>978-5-9524-6379-0</t>
  </si>
  <si>
    <t>Эта книга — рассказ о минной войне на море — наименее известной стороне периода Второй мировой войны. Автор правдиво повествует о суровых буднях моряков минных тральщиков и заградителей. Об их ежедневных подвигах и о трудном пути к победе мало кто знал и говорил. Экипажам небольших кораблей приходилось воевать в опасных водах, при плохой погоде, под беспрерывными атаками противника. Эти люди скромно делали свое дело, не ожидая ни славы, ни почестей.</t>
  </si>
  <si>
    <t>20629</t>
  </si>
  <si>
    <t>Фант Д.</t>
  </si>
  <si>
    <t>Минута на размышление. Как вернуть креативность, победить вечную занятость и работать лучше всех</t>
  </si>
  <si>
    <t>978-5-227-10083-2</t>
  </si>
  <si>
    <t>Джульет Фант — известный спикер и консультант, основатель и генеральный директор консультативной фирмы Juliet Funt Group. Ей посвящены материалы в журналах Forbes и Fast Company. В своей книге она объясняет, как вернуть креативность в трудовой процесс, победить вечную занятость и работать лучше всех. Не тратя попусту время своих читателей, она предлагает конкретные меры и способы решения этих задач. Остроумная, теплая, доступная манера изложения с яркими примерами, с предложением активных действий вызвала широкое признание ее методов во всем мире. Джульет работала с такими организациями, как Spotify, National Geographic, Anthem, Vans, Abbott, Costco, Pepsi, и многими другими.</t>
  </si>
  <si>
    <t>18101</t>
  </si>
  <si>
    <t>Мир до и после дня рождения</t>
  </si>
  <si>
    <t>978-5-227-07793-6</t>
  </si>
  <si>
    <t>21730</t>
  </si>
  <si>
    <t>Мир живых и мир мертвых Древнего Египта. Легенды и факты</t>
  </si>
  <si>
    <t>978-5-9524-6263-2</t>
  </si>
  <si>
    <t>В книге известной американской исследовательницы Барбары Мертц развенчиваются некоторые легенды Древнего Египта, но реальные факты оказываются гораздо интереснее вымысла. Вы узнаете все о жизни древних египтян, их философии, науках, отношении к жизни и смерти, о памятниках культуры, архитектуры и письменности. Живой и яркий язык повествования окунет вас в глубины древнейшего очага цивилизации и даст почувствовать загадочную атмосферу далекого прошлого.</t>
  </si>
  <si>
    <t>20927</t>
  </si>
  <si>
    <t>Мир запретных ласк</t>
  </si>
  <si>
    <t>978-5-227-10376-5</t>
  </si>
  <si>
    <t>Обедневшая аристократка Ева Флорес вынуждена зарабатывать на жизнь, обслуживая номера в отеле. Поэтому, когда ее старый знакомый Видаль Суарес предлагает ей продать ему обветшалый дворец, доставшийся ей по наследству, она видит в этом свой единственный шанс избавиться от долгов и груза прошлого. Но есть одна загвоздка: Еве придется стать фиктивной невестой человека, который хочет отомстить ей за прошлые обиды.</t>
  </si>
  <si>
    <t>21166</t>
  </si>
  <si>
    <t>Мир короля Карла I. Накануне Великого мятежа: Англия погружается в смуту. 1637–1641</t>
  </si>
  <si>
    <t>978-5-9524-6145-1</t>
  </si>
  <si>
    <t>Английский историк С.В. Веджвуд известна своими исследованиями эпохи Великого мятежа в Великобритании XVII века. В настоящей книге рассматривается начало этой исторической драмы, первые четыре года правления Карла I, за которые страна оказалась на грани гражданской войны. Автор описывает политические, экономические и религиозные раздоры нараставшей трагедии трех стран Британских островов — Англии, Шотландии и Ирландии: рассказывает о восстании шотландских ковенантеров, о баталиях в английском парламенте, об ужасной судьбе лорда-наместника Ирландии графа Страффорда, о событиях тех нескольких лет, повлиявших на историю и континентальной Европы.</t>
  </si>
  <si>
    <t>20993</t>
  </si>
  <si>
    <t>Хеер Ф.</t>
  </si>
  <si>
    <t>Мир Средневековья. Рождение Европы: эпоха великих завоеваний и выдающихся свершений</t>
  </si>
  <si>
    <t>978-5-9524-5765-2</t>
  </si>
  <si>
    <t>Выдающийся австрийский историк Ф. Хеер на страницах своей книги представляет захватывающую панораму жизни средневековой Европы — периода, который ошибочно называют Темными веками. Историк не обходит вниманием важнейшие события эпохи: ожесточенные войны, в ходе которых формировались границы национальных государств, Крестовые походы, противостояние Востока и Запада, однако его взгляд, зачастую провокационный, направлен на человека, повседневную и интеллектуальную жизнь средневекового общества. Автор рассказывает о тех глубоких переменах, которые происходили в ХII—ХIV вв. в области науки и изобразительного искусства, о появлении новых университетов, расцвете готической архитектуры, новой волне интереса к литературе, а также о положении женщин и отношениях между сословиями.</t>
  </si>
  <si>
    <t>17581</t>
  </si>
  <si>
    <t>Мир уже не будет прежним</t>
  </si>
  <si>
    <t>978-5-227-07630-4</t>
  </si>
  <si>
    <t>18525</t>
  </si>
  <si>
    <t>Шенгальц И.А.</t>
  </si>
  <si>
    <t>Мир-тень</t>
  </si>
  <si>
    <t>978-5-227-08532-0</t>
  </si>
  <si>
    <t>18913</t>
  </si>
  <si>
    <t>Миражи счастья в маленьком городе</t>
  </si>
  <si>
    <t>978-5-227-08836-9</t>
  </si>
  <si>
    <t>21427</t>
  </si>
  <si>
    <t>Робертс Дж.М., Уэстад О.А.</t>
  </si>
  <si>
    <t>Мировая история. Красная</t>
  </si>
  <si>
    <t>978-5-9524-6289-2</t>
  </si>
  <si>
    <t>Эпохальный труд знаменитых английских ученых представляет собой не только настоящий кладезь сведений и бесчисленных фактов на основе огромной источниковедческой базы. Принципиальная новизна авторской концепции в том, что из тьмы этих фактов и событий особо выделены ключевые, наиболее значимые, поворотные моменты истории человечества от самого его зарождения до настоящего времени. Именно такой взгляд на предмет исследования заставляет даже самого неискушенного читателя понять, как связаны прошлое, настоящее и будущее и откуда взялся мир, в котором мы живем сегодня.</t>
  </si>
  <si>
    <t>21426</t>
  </si>
  <si>
    <t>Мировая история. Цветная</t>
  </si>
  <si>
    <t>978-5-9524-6290-8</t>
  </si>
  <si>
    <t>0146</t>
  </si>
  <si>
    <t>Мисс Каллиган впадает в печаль</t>
  </si>
  <si>
    <t>978-5-227-06974-0</t>
  </si>
  <si>
    <t>0154</t>
  </si>
  <si>
    <t>Мисс Шамуэй правит бал</t>
  </si>
  <si>
    <t>978-5-227-06975-7</t>
  </si>
  <si>
    <t>16762</t>
  </si>
  <si>
    <t>Миссия в Венецию</t>
  </si>
  <si>
    <t>978-5-227-06726-5</t>
  </si>
  <si>
    <t>20658</t>
  </si>
  <si>
    <t>Дэвис Д.Э.</t>
  </si>
  <si>
    <t>Миссия в Москву. Воспоминания доверенного лица президента Рузвельта о советской стране, ее лидерах и народе</t>
  </si>
  <si>
    <t>978-5-9524-5936-6</t>
  </si>
  <si>
    <t>Джозеф Эдвард Дэвис – дипломат, юрист, специалист по международному праву, посол США в СССР с конца 1936 г. до середины 1938 г. Наряду с выполнением прямых дипломатических обязанностей в должности посла Дэвис собирал сведения об экономике Советского Союза, промышленности, культуре, условиях и образе жизни граждан страны. По заданию президента посол должен был дать оценку сильных и слабых сторон советского руководства, основанную на личном наблюдении. И Дэвис выполнил поставленную перед ним задачу: по оценке Рузвельта он «проявил удивительные способности оценивать текущие события и с необыкновенной точностью определять их влияние на будущее». В работе над книгой автор использовал документальные материалы, представив конфиденциальные депеши в Госдеп, выдержки из дневников, официальную и личную переписку.</t>
  </si>
  <si>
    <t>7978</t>
  </si>
  <si>
    <t>Миссия в Сиену</t>
  </si>
  <si>
    <t>978-5-9524-2909-3</t>
  </si>
  <si>
    <t>0153</t>
  </si>
  <si>
    <t>978-5-227-06977-1</t>
  </si>
  <si>
    <t>16799</t>
  </si>
  <si>
    <t>Миссия в Сиену / Ты найдешь - я расправлюсь</t>
  </si>
  <si>
    <t>978-5-227-06258-1</t>
  </si>
  <si>
    <t>7655</t>
  </si>
  <si>
    <t>Мистер крот и лесное божество</t>
  </si>
  <si>
    <t>5-9524-2217-9</t>
  </si>
  <si>
    <t>6218</t>
  </si>
  <si>
    <t>Мистер Крот и остальные</t>
  </si>
  <si>
    <t>5-9524-1829-5</t>
  </si>
  <si>
    <t>18372</t>
  </si>
  <si>
    <t>Мистерия ярких чувств</t>
  </si>
  <si>
    <t>978-5-227-08361-6</t>
  </si>
  <si>
    <t>18373</t>
  </si>
  <si>
    <t>Мэйор А.</t>
  </si>
  <si>
    <t>Митридат. Отважный воин, блестящий стратег, зловещий отравитель. 120—63 гг. до н. э.</t>
  </si>
  <si>
    <t>978-5-227-08375-3</t>
  </si>
  <si>
    <t>20961</t>
  </si>
  <si>
    <t>ОИ МИФ</t>
  </si>
  <si>
    <t>Тренчени-Вальдапфель И.</t>
  </si>
  <si>
    <t>Мифология. Фантастические истории о сотворении мира, деяниях богов и героев</t>
  </si>
  <si>
    <t>978-5-9524-6024-9</t>
  </si>
  <si>
    <t>Вы совершите увлекательную прогулку по Невскому проспекту и узнаете о многих тайнах, былях и небылицах главной улицы Санкт-Петербурга. Путешествие начинается от Александро-Невской лавры и заканчивается у Адмиралтейства. Книга поможет вам с пользой провести время и открыть для себя много нового о жизни Северной столицы.</t>
  </si>
  <si>
    <t>20301</t>
  </si>
  <si>
    <t>Ананикян М.</t>
  </si>
  <si>
    <t>Мифы Армении</t>
  </si>
  <si>
    <t>978-5-9524-5721-8</t>
  </si>
  <si>
    <t>19993</t>
  </si>
  <si>
    <t>Хук С.</t>
  </si>
  <si>
    <t>Мифы Ближнего Востока</t>
  </si>
  <si>
    <t>978-5-9524-5558-0</t>
  </si>
  <si>
    <t>20654</t>
  </si>
  <si>
    <t>Гербер Х.</t>
  </si>
  <si>
    <t>Мифы Греции и Рима</t>
  </si>
  <si>
    <t>978-5-9524-5871-0</t>
  </si>
  <si>
    <t>Мифы Греции и Рима в изложении Хелен Гербер — это систематизированное собрание написанных живым, остроумным языком увлекательных историй о начале мира, происхождении богов и их вмешательстве в дела людей. Легенды о вождях-героях, о дальнем походе аргонавтов, об Одиссее, Троянской войне и многие другие, без знания которых невозможно понимание сюжетов мировой живописи, музыки, литературы.</t>
  </si>
  <si>
    <t>20429</t>
  </si>
  <si>
    <t>Мюллер М.</t>
  </si>
  <si>
    <t>Мифы Древнего Египта</t>
  </si>
  <si>
    <t>978-5-9524-5644-0</t>
  </si>
  <si>
    <t>Книга Макса Мюллера — фундаментальное исследование египетской мифологии. Автор прослеживает изменения в мистическом сознании древнего человека от первоначального темного иррационального анимизма и фетишизма до развитых форм религиозного мифа. Строго научный подход, обзор обширной литературы по каждой теме, точное цитирование и подробный разбор мельчайших деталей, относящихся к древнейшим магическим обрядам и ритуалам, делают книгу неоценимым подспорьем в изучении истории, религии и мистики Древнего Египта.</t>
  </si>
  <si>
    <t>20596</t>
  </si>
  <si>
    <t>Вернер Э.</t>
  </si>
  <si>
    <t>Мифы и легенды Китая</t>
  </si>
  <si>
    <t>978-5-9524-5920-5</t>
  </si>
  <si>
    <t>В фундаментальном исследовании китайской мифологии рассказывается о происхождении китайцев, их языке, привычках, обрядах и особенностях этикета. О том, как древнейшие легенды, сказки и религиозные представления китайского народа были переосмыслены в духе идей даосизма, затем буддизма, а позже сплавились в причудливый многоцветный мир, испытавший глубокое влияние конфуцианства.</t>
  </si>
  <si>
    <t>19065</t>
  </si>
  <si>
    <t>Булфинч Т.</t>
  </si>
  <si>
    <t>Мифы и легенды рыцарской эпохи</t>
  </si>
  <si>
    <t>978-5-9524-5403-3</t>
  </si>
  <si>
    <t>20472</t>
  </si>
  <si>
    <t>Баринг-Гоулд С.</t>
  </si>
  <si>
    <t>Мифы и легенды Средневековья</t>
  </si>
  <si>
    <t>978-5-9524-5672-3</t>
  </si>
  <si>
    <t>Давая возможность лучше понять странный, причудливый мир Средневековья, известный английский писатель Сабин Баринг­Гоулд исследует самые любопытные мифы раннего христианства, подробно рассказывает о символике и таинственных, мистически связанных между собой предметах, людях, явлениях природы, которые рождали новые смыслы и понятия, ставшие впоследствии зачатками наук, общественных и религиозных институтов современности. Легенда о Вечном жиде и идея бессмертия, всемирное значение креста как символа жизни, загадочная суть Святого Грааля и многие странные и непонятные феномены духа и сознания в верованиях и представлениях людей Баринг­Гоулд также пытается объяснить с помощью мифов. Эта необычная книга не только захватывает воображение, но и обогащает множеством интереснейших знаний из средневековой истории и культуры.</t>
  </si>
  <si>
    <t>20052</t>
  </si>
  <si>
    <t>Дэвис Х.</t>
  </si>
  <si>
    <t>Мифы и легенды Японии</t>
  </si>
  <si>
    <t>978-5-9524-5612-9</t>
  </si>
  <si>
    <t>20051</t>
  </si>
  <si>
    <t>Мифы Северной Европы</t>
  </si>
  <si>
    <t>978-5-9524-5631-0</t>
  </si>
  <si>
    <t>18138</t>
  </si>
  <si>
    <t>Мне без тебя не жить</t>
  </si>
  <si>
    <t>978-5-227-08127-8</t>
  </si>
  <si>
    <t>17674</t>
  </si>
  <si>
    <t>Мне снова 15...</t>
  </si>
  <si>
    <t>978-5-227-07716-5</t>
  </si>
  <si>
    <t>18022</t>
  </si>
  <si>
    <t>Многоликое зло</t>
  </si>
  <si>
    <t>978-5-227-08034-9</t>
  </si>
  <si>
    <t>17291</t>
  </si>
  <si>
    <t>978-5-227-07334-1</t>
  </si>
  <si>
    <t>18803</t>
  </si>
  <si>
    <t>Многосерийный соблазн</t>
  </si>
  <si>
    <t>978-5-227-08699-0</t>
  </si>
  <si>
    <t>20521</t>
  </si>
  <si>
    <t>Разин С.А.</t>
  </si>
  <si>
    <t>Мобилизация и московское народное ополчение. 13 дней Ростокинской дивизии. 1941 г.</t>
  </si>
  <si>
    <t>978-5-227-10260-7</t>
  </si>
  <si>
    <t>С первых дней Великой Отечественной войны в Москве начался призыв горожан по мобилизации в Красную армию, а уже 2 июля 1941 года — по вступлению в народное ополчение. Десятки тысяч москвичей разных возрастов и профессий добровольно приходили на призывные пункты с единственным желанием — уйти на фронт и сразиться с врагом. Всего в Москве летом и осенью 1941 года было сформировано 16 дивизий народного ополчения. Большинство из них погибло в октябрьских боях 1941 г. под Вязьмой, до конца выполнив свой долг — задержать любой ценой продвижение врага к Москве. Одной из них стала 13­я дивизия народного ополчения Ростокинского района (после переформирования — 140­я стрелковая дивизия). Так случилось, что число 13 не только стало ее порядковым номером, но и словно наложило роковой отпечаток на ее фронтовой путь: 13 октября 1941 г. после 13 дней упорных сражений дивизия практически в полном составе погибла в Вяземском котле._x000D_
О мобилизации, добровольческом движении и формировании народного ополчения в Москве в 1941 году — эта книга.</t>
  </si>
  <si>
    <t>19985</t>
  </si>
  <si>
    <t>Модные увлечения блистательного Петербурга. Кумиры. Рекорды. Курьезы</t>
  </si>
  <si>
    <t>978-5-227-09729-3</t>
  </si>
  <si>
    <t>16378</t>
  </si>
  <si>
    <t>Мое седьмое небо</t>
  </si>
  <si>
    <t>978-5-227-06253-6</t>
  </si>
  <si>
    <t>18272</t>
  </si>
  <si>
    <t>Моей любви хватит на двоих</t>
  </si>
  <si>
    <t>978-5-227-08241-1</t>
  </si>
  <si>
    <t>19830</t>
  </si>
  <si>
    <t>Дорошенко Р.</t>
  </si>
  <si>
    <t>Моё второе рождение в 50. Три шага в будущее без страданий, хаоса и слёз</t>
  </si>
  <si>
    <t>978-5-227-09341-7</t>
  </si>
  <si>
    <t>17958</t>
  </si>
  <si>
    <t>Может, все сначала?</t>
  </si>
  <si>
    <t>978-5-227-08017-2</t>
  </si>
  <si>
    <t>19778</t>
  </si>
  <si>
    <t>Можно ли умереть дважды?</t>
  </si>
  <si>
    <t>978-5-227-09596-1</t>
  </si>
  <si>
    <t>21215</t>
  </si>
  <si>
    <t>Людендорф Э</t>
  </si>
  <si>
    <t>Мои воспоминания о войне 1914—1918 гг.</t>
  </si>
  <si>
    <t>978-5-227-10122-8</t>
  </si>
  <si>
    <t>Немецкий генерал Эрих Фридрих Вильгельм Людендрф, будучи одним из руководителей германского Генерального штаба, в своих воспоминаниях подробно рассказывает об участии Германии в Первой мировой войне — раскрывает секреты немецких операций на различных фронтах, показывает организационную работу в немецких штабах и Ставке, анализирует причины неудач и поражений немецкой армии, дает критическую оценку действиям русской армии и армий стран-союзниц.</t>
  </si>
  <si>
    <t>21326</t>
  </si>
  <si>
    <t>Брусилов А.А.</t>
  </si>
  <si>
    <t>Мои воспоминания. Верховный главнокомандующий Русской армией о службе в Петербурге, сражениях Русско-турецкой и Первой мировой войн</t>
  </si>
  <si>
    <t>978-5-227-10806-7</t>
  </si>
  <si>
    <t>В книге выдающегося военачальника Русской императорской армии А.А. Брусилова (1853—1926) изложены воспоминания о детстве, прошедшем на Кавказе, учебе в Пажеском корпусе, службе в Офицерской кавалерийской школе в Петербурге и участии в Русско-турецкой войне 1877—1878 гг., в ходе которой автор отличился при взятии Карса и Ардагана. В мемуарах точно и беспристрастно описаны знаковые моменты Первой мировой войны, одним из которых стало успешное наступление 1916 г., вошедшее в историю как Брусиловский прорыв, и грянувшая в 1917 г. Февральская революция, которую прославленный полководец принял и остался в Советской России, продолжив служить русскому народу.</t>
  </si>
  <si>
    <t>20213</t>
  </si>
  <si>
    <t>Баграмян И.Х.</t>
  </si>
  <si>
    <t>Мои воспоминания. Маршал Советского Союза о великой эпохе</t>
  </si>
  <si>
    <t>978-5-227-07923-7</t>
  </si>
  <si>
    <t>21761</t>
  </si>
  <si>
    <t>Кирш Д.</t>
  </si>
  <si>
    <t>Моисей. Жизнь пророка</t>
  </si>
  <si>
    <t>978-5-9524-6474-2</t>
  </si>
  <si>
    <t>Американский писатель Джонатан Кирш — автор нескольких книг о религии, Библии и иудаизме. В настоящем труде, опираясь на библейский текст, автор выводит далеко не однозначную личность человека-пророка, который одновременно был добрым пастырем и безжалостным воином, духовным лидером и магом, законодателем, нарушившим свои собственные законы, избранным другом Бога и преследуемой жертвой, единственного человека, которому позволено было общаться с Богом лицом к лицу. Даже самые образованные люди найдут ранее неизвестные им факты, изложенные просто, понятно и доступно.</t>
  </si>
  <si>
    <t>11423</t>
  </si>
  <si>
    <t>Мой XX век. Счастье быть самим собой</t>
  </si>
  <si>
    <t>978-5-9524-4505-5</t>
  </si>
  <si>
    <t>18984</t>
  </si>
  <si>
    <t>Пушкин А.С.</t>
  </si>
  <si>
    <t>Мой ангел, как я вас люблю!</t>
  </si>
  <si>
    <t>978-5-227-08759-1</t>
  </si>
  <si>
    <t>18660</t>
  </si>
  <si>
    <t>Козлов И.Т</t>
  </si>
  <si>
    <t>Мой брат, мой враг</t>
  </si>
  <si>
    <t>978-5-227-08655-6</t>
  </si>
  <si>
    <t>14659</t>
  </si>
  <si>
    <t>Колтер Кара</t>
  </si>
  <si>
    <t>Мой герой</t>
  </si>
  <si>
    <t>978-5-227-04663-5</t>
  </si>
  <si>
    <t>17398</t>
  </si>
  <si>
    <t>978-5-227-07220-7</t>
  </si>
  <si>
    <t>11633</t>
  </si>
  <si>
    <t>ЗИХ</t>
  </si>
  <si>
    <t>Любецкий А.</t>
  </si>
  <si>
    <t>Мой дом моя крепость или как задобрить домового</t>
  </si>
  <si>
    <t>978-5-9524-4675-5</t>
  </si>
  <si>
    <t>21015</t>
  </si>
  <si>
    <t>ОИ ДЕТИ</t>
  </si>
  <si>
    <t>Монтессори М.</t>
  </si>
  <si>
    <t>Мой метод. руководство по воспитанию детей от 3 до 6 лет</t>
  </si>
  <si>
    <t>978-5-9524-6063-8</t>
  </si>
  <si>
    <t>Мария Монтессори — прогрессивный итальянский педагог, разработавший инновационную систему воспитания детей вплоть до подросткового возраста. В своей книге она доказывает право ребенка на активную деятельность, направленную на познание окружающего мира и развитие внутренних ресурсов за счет исследования и творческих усилий. В книге также содержится описание педагогических приемов при работе с классом, затрагиваются проблемы дисциплины, особенности индивидуальных занятий, вопросы личной гигиены, соблюдения порядка, манеры поведения и умения вести беседу. Также говорится о важности гимнастики и упражнений на развитие определенных мышц, о привлечении садоводства и огородничества в качестве методов развития ощущений у маленьких детей и о многом другом.</t>
  </si>
  <si>
    <t>21864</t>
  </si>
  <si>
    <t>Плевицкая Н.В.</t>
  </si>
  <si>
    <t>Мой путь с песней: Воспоминания звезды эстрады начала ХХ века, исполнительницы народных песен</t>
  </si>
  <si>
    <t>978-5-227-10878-4</t>
  </si>
  <si>
    <t>Воспоминания уникальной певицы, самородка, исполнительницы русской народной песни Надежды Плевицкой-Винниковой, сумевшей подняться в начале ХХ века от сельских хороводов до столичной сцены, стать любимой певицей императора Николая II и примой петербургской эстрады. Оглушительный успех, поклонники, головокружительные романы — все это было в жизни Плевицкой, но верность своему родному селу и семейному кругу она сохранила навсегда. Революция многое изменила — Надежда Плевицкая с мужем, белым генералом Николаем Скоблиным, оказалась  в эмиграции, но и там благодаря таланту ее ждал большой успех, гастроли по европейским столицам, толпы почитателей – прежних, из Российской империи, и новых… Поэтому настоящим взрывом для парижского общества оказался арест знаменитой певицы за… шпионаж в пользу СССР. Она не смогла забыть родину и отказаться от нее._x000D_
В своих мемуарах, опубликованных в эмиграции, Надежда Плевицкая с юмором и душевным теплом рассказала о своем пути на большую эстраду, родном доме, матери, близких, встречах с императором и его семьей, Первой мировой войне, ставшей началом всех бед и потерь… Вот только агентурная работа певицы осталась за рамками повествования.</t>
  </si>
  <si>
    <t>19567</t>
  </si>
  <si>
    <t>Молитва Преображения с CD</t>
  </si>
  <si>
    <t>978-5-227-08990-8</t>
  </si>
  <si>
    <t>18982</t>
  </si>
  <si>
    <t>Молитвы Богородице о спасительной помощи на жизненном пути</t>
  </si>
  <si>
    <t>978-5-227-08848-2</t>
  </si>
  <si>
    <t>18876</t>
  </si>
  <si>
    <t>Молитвы о благополучии семьи. Счастливое супружество. Защита от бедности и неудач. Избавление от зависимостей. Благополучие домочадцев</t>
  </si>
  <si>
    <t>978-5-227-08816-1</t>
  </si>
  <si>
    <t>21824</t>
  </si>
  <si>
    <t>Молитвы о благосостоянии и успехах в делах. Чудодейственная помощь высших сил для искренних и трудолюбивых</t>
  </si>
  <si>
    <t>978-5-227-11148-7</t>
  </si>
  <si>
    <t>Часто бывает, что человек праведно живет, усиленно работает, а достатка нет… Православная вера не осуждает желания быть благополучным и иметь деньги. Грешно просить на роскошь и развлечения, но если это просьбы на пищу и одежду, это нормально. Деньги — инструмент, который несет финансовую стабильность, помогает воплощению мечты и дает возможность заняться благотворительностью. Святые угодники — реальные люди, которые образцом праведной жизни, служением Богу и людям стали близкими к Господу. Особой популярностью в денежных вопросах пользуются Николай Чудотворец, Матрона Московская, Спиридон Тримифунтский… Правильно просить поддержки у собственного ангела-хранителя. Обращаясь к Небесам с молитвой об удаче, помните, что услышана будет только искренняя просьба от человека с чистыми помыслами. И в любом случае не забывайте о том, что молитва будет принята только тогда, когда содержащиеся в ней просьбы не противоречат десяти святым заповедям христианской веры. И пусть по вере вашей да будет вам!</t>
  </si>
  <si>
    <t>19421</t>
  </si>
  <si>
    <t>Молчание любви</t>
  </si>
  <si>
    <t>978-5-227-09231-1</t>
  </si>
  <si>
    <t>10147</t>
  </si>
  <si>
    <t>Галеф Д.</t>
  </si>
  <si>
    <t>Молчание сонного пригорода</t>
  </si>
  <si>
    <t>978-5-9524-3267-3</t>
  </si>
  <si>
    <t>7838</t>
  </si>
  <si>
    <t>Моль для гламура</t>
  </si>
  <si>
    <t>978-5-9524-2706-8</t>
  </si>
  <si>
    <t>5717</t>
  </si>
  <si>
    <t>Монастырь с привидениями</t>
  </si>
  <si>
    <t>5-9524-1656-X</t>
  </si>
  <si>
    <t>20083</t>
  </si>
  <si>
    <t>Марен Э.</t>
  </si>
  <si>
    <t>Монахи Константинополя III—IХ вв. Жизнь за стенами святых обителей столицы Византии</t>
  </si>
  <si>
    <t>978-5-227-09758-3</t>
  </si>
  <si>
    <t>20938</t>
  </si>
  <si>
    <t>Монахи-волшебники. Легендарные новеллы китайского писателя XVII—XVIII вв.</t>
  </si>
  <si>
    <t>978-5-227-10547-9</t>
  </si>
  <si>
    <t>Сегодня во всём мире очень популярна тема восточного эпоса. Мы хотим предложить вам сказочные рассказы известного китайского автора Пу Сунлина, которые стяжали в Китае бессмертную славу и, несмотря на свою трёхсотлетнюю историю, давно перешагнули границы Поднебесной и по сей день востребованы читателями._x000D__x000D_
Автор погрузит вас в атмосферу средневекового Китая, раскроет удивительный мир всевозможных чудес, нечистой силы, оборотней и превращений. Здесь злые бесы мучают несчастных людей, а добрые посылают счастье… Буддийские монахи-волшебники знают секреты этого мира и тайны потустороннего, они смешивают эти миры в феерический коктейль, наказывают пороки и осуждают глупость…_x000D__x000D_
Книга переведена замечательным филологом-китаистом Василием Михайловичем Алексеевым, им же даны многочисленные примечания к тексту.</t>
  </si>
  <si>
    <t>20022</t>
  </si>
  <si>
    <t>Монголы на Руси. Русские князья против ханов восточных кочевников</t>
  </si>
  <si>
    <t>978-5-9524-5671-6</t>
  </si>
  <si>
    <t>20764</t>
  </si>
  <si>
    <t>Филипс Э.Д.</t>
  </si>
  <si>
    <t>Монголы. Основатели империи Великих ханов</t>
  </si>
  <si>
    <t>978-5-9524-5872-7</t>
  </si>
  <si>
    <t>В книге исследуются наиболее значимые миграции и завоевания кочевников северных степей XIII—XIV вв., их образ жизни, культура, обычаи, верования и быт. Начатые Чингисханом завоевательные походы, прокатившиеся мощным потоком по Азии и Европе, позволили образовать огромную монгольскую державу, диктующую на протяжении долгого времени свою волю другим народам.</t>
  </si>
  <si>
    <t>4650</t>
  </si>
  <si>
    <t>КЛР</t>
  </si>
  <si>
    <t>Картленд Б.</t>
  </si>
  <si>
    <t>Монетка в фонтане</t>
  </si>
  <si>
    <t>5-9524-0861-3</t>
  </si>
  <si>
    <t>5023</t>
  </si>
  <si>
    <t>16068</t>
  </si>
  <si>
    <t>Монополия на верность</t>
  </si>
  <si>
    <t>978-5-227-06072-3</t>
  </si>
  <si>
    <t>21277</t>
  </si>
  <si>
    <t>Кори Л.</t>
  </si>
  <si>
    <t>Морганы. Династия крупнейших олигархов</t>
  </si>
  <si>
    <t>978-5-9524-6204-5</t>
  </si>
  <si>
    <t>Американский экономист Льюис Кори, автор одной из первых биографий Моргана, в своем исследовании излагает историю формирования крупнейшей финансово-промышленной группы США начиная с колониальных времен. В отличие от большинства панегириков в адрес Морганов Кори приводит многочисленные примеры столкновений банкира с опасными конкурентами, добиваясь финансового могущества, централизации и контроля подчас пиратскими методами, что привело к лидерству Дома Морганов и появлению термина «морганизация».</t>
  </si>
  <si>
    <t>19477</t>
  </si>
  <si>
    <t>Лаврова Д.Н</t>
  </si>
  <si>
    <t>Море внутри</t>
  </si>
  <si>
    <t>978-5-227-09283-0</t>
  </si>
  <si>
    <t>10824</t>
  </si>
  <si>
    <t>Аксенова Ю.</t>
  </si>
  <si>
    <t>Морок</t>
  </si>
  <si>
    <t>978-5-9524-3974-0</t>
  </si>
  <si>
    <t>15950</t>
  </si>
  <si>
    <t>Дегтев Д., Борисов Ю., Зубов Д.</t>
  </si>
  <si>
    <t>Морская авиация Третьего рейха. История развития и боевого применения. 1933-1945</t>
  </si>
  <si>
    <t>978-5-227-05851-5</t>
  </si>
  <si>
    <t>16333</t>
  </si>
  <si>
    <t>Ткаченко С.Н</t>
  </si>
  <si>
    <t>Морские десанты в Крым</t>
  </si>
  <si>
    <t>978-5-227-06183-6</t>
  </si>
  <si>
    <t>5644</t>
  </si>
  <si>
    <t>Ремизов</t>
  </si>
  <si>
    <t>Морщинка</t>
  </si>
  <si>
    <t>5-9524-1533-4</t>
  </si>
  <si>
    <t>21370</t>
  </si>
  <si>
    <t>Москва дипломатическая. Танцы, теннис, политика, бридж, интимные приемы, «пиджаки» против «фраков», дипломатическая контркультура…</t>
  </si>
  <si>
    <t>978-5-227-10045-0</t>
  </si>
  <si>
    <t>Новая книга доктора исторических наук, профессора Оксаны Юрьевны Захаровой откроет нам очередные страницы из жизни дипломатического корпуса Москвы. Несмотря на серьезность заданной темы, книга написана очень легко. Страница за страницей мы наблюдаем, как светские беседы на дипломатических приемах плавно перетекают в обсуждение политических проблем. Причем происходит это не за столом переговоров, а, к примеру, за столом для игры в бридж… В главе «Танцующая Москва» читаем о том, что каждый танец в разные периоды истории имел свое смысловое значение, являясь не только организационным звеном, но и своеобразным выразителем идей бального церемониала. Затаив дыхание наблюдаем за жизнью светских львиц советской столицы. Осознаем, насколько трагична порой их судьба… Видим, что советский дипломат, как и каждый гражданин СССР, — это борец за победу коммунистических идей, а «передать» с помощью костюма коллегам из других стран основные догмы марксистского учения — проблема трудная и практически невыполнимая…Узнаем, что в жизни дипкорпуса спорт занимал особое место, будучи не только формой досуга, но и важным средством коммуникации, а Большой театр являлся фактором не только культурной, но и классической дипломатии Советского Союза. Посетим вместе с героями книги официальные и интимные приемы…_x000D_
Читайте, и, как всегда, вместе с этим автором вас ждет увлекательное историческое путешествие, погружение в удивительное переплетение судеб, политики и культуры.</t>
  </si>
  <si>
    <t>15351</t>
  </si>
  <si>
    <t>Москва. Великие стройки социализма</t>
  </si>
  <si>
    <t>978-5-227-05106-6</t>
  </si>
  <si>
    <t>21212</t>
  </si>
  <si>
    <t>Романюк С.К</t>
  </si>
  <si>
    <t>Москва. Утраты. Уничтоженная архитектура столицы</t>
  </si>
  <si>
    <t>978-5-227-10719-0</t>
  </si>
  <si>
    <t>Этот труд именитого историка и москвоведа посвящен тем невосполнимым потерям, которые понесли архитектура и уникальный исторический облик Москвы в ходе Октябрьской революции и дальнейшего пребывания большевиков у власти. Сносились церкви, памятники, неповторимые шедевры зодчества, и чаще всего на их месте не возникало ничего красивого, а порой не оказывалось и ничего вообще. Когда-то превозносимая и искусствоведами, и путешественниками, и самими жителями Первопрестольной, Москва во многом утратила свое лицо, превратившись как в поле для конструктивистских экспериментов, так и в площадку для строительства сталинского ампира. Безвозвратно утраченные жемчужины старой Москвы остались лишь на старинных фотографиях и в воспоминаниях современников. С помощью Сергея Константиновича Романюка читатель сможет представить, как раньше выглядел этот прекрасный город.</t>
  </si>
  <si>
    <t>21856</t>
  </si>
  <si>
    <t>Штаден Г.</t>
  </si>
  <si>
    <t>Московия при Иване Грозном. Свидетельства немца - царского опричника</t>
  </si>
  <si>
    <t>978-5-227-11127-2</t>
  </si>
  <si>
    <t>Немецкий искатель приключений, живший в Московской Руси в XVI столетии, оставил редкие исторические свидетельства. Его записки, найденные в архивах только в ХХ веке, в значительной степени изменили прежние представления об эпохе Ивана Грозного. Особо они ценны тем, что автор был непосредственным участником событий, служил царским опричником, находился в гуще происходящего и даже, по его утверждению, лично встречался с государем. Фон Штаден дает описание административного устройства Московии тех времен, ее судебной системы и войска. Приводит перечень наиболее важных «канцелярий» — приказов, ярко и образно воспроизводит принципы их функционирования, называет имена самых влиятельных в то время князей и бояр. Достаточно подробно характеризует Москву и Кремль, а его описание опричного двора, просуществовавшего менее пяти лет до того, как в 1571 году был полностью сожжен крымским ханом, поистине уникально.</t>
  </si>
  <si>
    <t>21592</t>
  </si>
  <si>
    <t>Михайлович Д.М., Володихин Д.М.</t>
  </si>
  <si>
    <t>Московская Русь. От княжества до империи XV— XVII вв.</t>
  </si>
  <si>
    <t>978-5-227-11031-2</t>
  </si>
  <si>
    <t>В судьбе России второй половины XV—XVII столетий смешаны в равных пропорциях земля и небо, высокое и низкое, чертеж ученого дьяка, точно передающий линии рек, озер, лесов в недавно разведанных землях и житие святого инока, первым поселившегося там. Глядя на карту, нетрудно убедиться, что еще в середине XV века Московская Русь была небольшой, бедной, редко заселенной страной. Но к началу XVI века из нее выросла великая держава, а на рубеже XVI и XVII столетий она превратилась в государство­гигант. Именно географическая среда коренной «европейской» Руси способствовала тому, что в XVI—XVII веках чрезвычайно быстро были колонизированы Русский Север, Урал и Сибирь. Но дело не только в географии. Строй Московского царства поставлен на камне веры, пронизан православием во всех направлениях. То, что он наполнен был в течение долгого времени самоощущением Нового Израиля, Третьего Рима, Удела Пречистой, давало ему мобилизующую цель и смысл существования.</t>
  </si>
  <si>
    <t>21905</t>
  </si>
  <si>
    <t>Соколова Л.А.</t>
  </si>
  <si>
    <t>Московский модерн в лицах и судьбах</t>
  </si>
  <si>
    <t>978-5-227-11171-5</t>
  </si>
  <si>
    <t>"Короткая эпоха расцвета модерна была довольно резко прервана. Классический стиль в искусстве с его плавностью и текучестью форм, растительными орнаментами вряд ли бы прижился в молодом социалистическом государстве.
Но, несмотря на строительство коммунизма и воцарение новых порядков, шедевры модерна на улицах Москвы сохранились: многие из них в превосходном состоянии дошли до наших дней. И сегодня мы имеем возможность любоваться ими.
Так уж случилось, что самые яркие здания в стиле модерн не принесли счастья ни тем, кто их создал, ни тем, кто в них жил. В этой книге мы совершим увлекательное путешествие не только по улицам Москвы, но и во времени: вернемся назад, чтобы лучше понять день сегодняшний."</t>
  </si>
  <si>
    <t>20310</t>
  </si>
  <si>
    <t>Ходаков И.М.</t>
  </si>
  <si>
    <t>Московский поход генерала Деникина. Решающее сражение Гражданской войны в России. Май — октябрь 1919</t>
  </si>
  <si>
    <t>978-5-227-10066-5</t>
  </si>
  <si>
    <t>15057</t>
  </si>
  <si>
    <t>Московский проспект. Очерки истории</t>
  </si>
  <si>
    <t>978-5-227-04939-1</t>
  </si>
  <si>
    <t>21058</t>
  </si>
  <si>
    <t>Мосты Петербурга. В прошлом, настоящем и будущем</t>
  </si>
  <si>
    <t>978-5-227-10658-2</t>
  </si>
  <si>
    <t>Мост — очень важное инженерное сооружение, особенно для города, расположенного на островах. Но, одновременно, петербургские мосты — это символы города, герои литературных произведений и воплощение души Северной столицы…_x000D_
На протяжении нескольких веков они скрепляют острова, архитектурные ансамбли и судьбы петербуржцев, ведь главная задача мостов — соединять людей. Плашкоутные и постоянные, каменные и деревянные, цепные, чугунные, разводные… Мосты — неотъемлемая часть города на Неве вчера, сегодня и завтра._x000D_
О роли мостов в градостроительстве и истории Петербурга, в экономической и культурной жизни города рассказано в этой удивительно интересной книге.</t>
  </si>
  <si>
    <t>21536</t>
  </si>
  <si>
    <t>Мощная защита вашего дома. Заговоры и молитвы на крепость хозяйства</t>
  </si>
  <si>
    <t>978-5-227-10556-1</t>
  </si>
  <si>
    <t>Ведение хозяйства — огромный, непростой, ответственный труд, идет ли речь о домашних хлопотах, об уходе за домашними питомцами, о возделывании земли, о походах за добычей в лес или о постройке нового жилища. Подмога в этом деле никогда не лишняя, и наши предки понимали это как никто, оставив нам, своим потомкам, богатое наследство народной мудрости. Даже в наше время, когда человек не обделен помощью разнообразной техники, хочется, чтобы труду сопутствовала удача и дело спорилось само собой, да и люди худые не сглазили. И тут не обойтись без молитв и заговоров, которых Лора Мелик знает бесчисленное множество: для урожая, для чистоты и уюта, на надежную постройку дома, от нечистой силы, от дурного глаза, от болезней и для здоровья животных, для удачи на охоте, в том числе и ягодно-грибной… Все это ждет вас в новой книге, как и полезные народные приметы, и житейские советы по ведению хозяйства, связанные с влиянием Луны.</t>
  </si>
  <si>
    <t>14257</t>
  </si>
  <si>
    <t>Мощная защита от негатива на все случаи жизни. Секреты здоровья, радости и процветания</t>
  </si>
  <si>
    <t>978-5-227-04282-8</t>
  </si>
  <si>
    <t>21487</t>
  </si>
  <si>
    <t>Мощный молитвенный щит на все случаи жизни. Молитвы, обереги, заговоры</t>
  </si>
  <si>
    <t>978-5-227-10990-3</t>
  </si>
  <si>
    <t>Эта книга — ваш ключ к пониманию светлых сил и путеводная нить на пути к ним. Вы узнаете все об иерархии ангелов и демонов, которые с начала времен ведут непримиримую борьбу за человеческие души. Вооруженные мощным щитом из чудодейственных молитв, вы защитите себя и близких от любой атаки темных сил: будь то сглаз, порча, приворот, проклятье или в гневе брошенное слово. Научитесь просить защиты у своего ангела-хранителя и Сил Света. Узнаете, какой иконе поклониться, обращаясь к святому покровителю с той или иной просьбой. Молитвы, заговоры, обереги, заключающие в себе мощный энергетический заряд, подарят исцеление от недугов, любовь и гармонию  вашей семье, а вашим детям — здоровье, послушание, жизнелюбие, успех в учебе и личное счастье.</t>
  </si>
  <si>
    <t>14920</t>
  </si>
  <si>
    <t>Дженнифер Николь Ли</t>
  </si>
  <si>
    <t>Моя диета. Кулинария книга Веселых и Здоровых Гурманов</t>
  </si>
  <si>
    <t>978-5-227-04707-6</t>
  </si>
  <si>
    <t>15598</t>
  </si>
  <si>
    <t>Моя единственная надежда</t>
  </si>
  <si>
    <t>978-5-227-05047-2</t>
  </si>
  <si>
    <t>21453</t>
  </si>
  <si>
    <t>Дункан А.</t>
  </si>
  <si>
    <t>Моя жизнь</t>
  </si>
  <si>
    <t>978-5-9524-6334-9</t>
  </si>
  <si>
    <t>В этой книге неповторимая Айседора Дункан рассказывает о себе, о конце XIX века — времени рождения нового, изменения привычных форм. Она смело ломала признанные каноны рафинированного искусства балета, создавая невиданный доселе танец. Духовная свобода, способность выразить в танце внутренние переживания — вот чем жила эта удивительная женщина._x000D_
Страстные романы, трагическая гибель детей, приезд в Советскую Россию... Как танец Айседоры, так и ее судьба напоминала костер на ветру. Чем сильнее ветер, тем ярче пламя и короче жизнь...</t>
  </si>
  <si>
    <t>9025</t>
  </si>
  <si>
    <t>Моя кухня</t>
  </si>
  <si>
    <t>978-5-9524-3678-3</t>
  </si>
  <si>
    <t>21231</t>
  </si>
  <si>
    <t>Тэффи Н.А.</t>
  </si>
  <si>
    <t>Моя летопись. Воспоминания</t>
  </si>
  <si>
    <t>978-5-227-10436-6</t>
  </si>
  <si>
    <t>Надежда Александровна Тэффи (настоящая фамилия Лохвицкая) была настоящей литературной звездой в России начала ХХ века. Острый ум, элегантный стиль, способность видеть яркие стороны жизни и делиться своими наблюдениями с читателем делали ее произведения буквально всенародно любимыми. Но как это часто бывает у мастеров ироничной прозы, смех Тэффи был смешан со слезами. Особенно заметно это в воспоминаниях писательницы — о старой, навсегда ушедшей России, о Гражданской войне, о вынужденном пути в эмиграцию, о друзьях и знакомых из числа творческой интеллигенции и их душевных метаниях и непростом выборе своей судьбы в революционной России…</t>
  </si>
  <si>
    <t>17892</t>
  </si>
  <si>
    <t>Моя малышка</t>
  </si>
  <si>
    <t>978-5-227-06837-8</t>
  </si>
  <si>
    <t>14886</t>
  </si>
  <si>
    <t>Воллес Б.</t>
  </si>
  <si>
    <t>Моя милая леди</t>
  </si>
  <si>
    <t>978-5-227-04869-1</t>
  </si>
  <si>
    <t>19913</t>
  </si>
  <si>
    <t>Бьюкенен Д.</t>
  </si>
  <si>
    <t>Моя миссия в России. Воспоминания английского дипломата. 1910—1918</t>
  </si>
  <si>
    <t>978-5-9524-5628-0</t>
  </si>
  <si>
    <t>17669</t>
  </si>
  <si>
    <t>Моя прекрасная цветочница</t>
  </si>
  <si>
    <t>978-5-227-07701-1</t>
  </si>
  <si>
    <t>21888</t>
  </si>
  <si>
    <t>Барятинская М. С.</t>
  </si>
  <si>
    <t>Моя русская жизнь Воспоминания великосветской дамы 1870-1918</t>
  </si>
  <si>
    <t>978-5-9524-6555-8</t>
  </si>
  <si>
    <t>Мемуары великосветской дамы Марии Сергеевны Барятинской, праправнучки фельдмаршала Суворова, жены флигель-адъютанта Николая II, Анатолия Барятинского, в мельчайших деталях восстанавливают тонкости придворного этикета и церемониала. Она вспоминает торжественность коронации и празднования 300-летия Дома Романовых, Европу начала века. Барятинская начинает повествование с описания смерти Александра III и восшествия на престол Николая II, рассказывает о Распутине и убийстве Столыпина, начале войны и о том, как организовывала работу военного госпиталя в Киеве. Мария Сергеевна бережно сохраняла записи о важных и мимолетных происшествиях, ценнейшие свидетельства, полные неповторимого очарования утерянного рая.</t>
  </si>
  <si>
    <t>21851</t>
  </si>
  <si>
    <t>Макаров Ю.В.</t>
  </si>
  <si>
    <t>Моя служба в старой гвардии. Война и мир офицера Семеновского полка. 1905—1917</t>
  </si>
  <si>
    <t>978-5-227-10876-0</t>
  </si>
  <si>
    <t>Юрий Владимирович Макаров — русский дворянин, кадровый офицер гвардии, вся военная служба которого в старой России была связана со знаменитым Семеновским полком, основанным Петром I. Сразу после юнкерского училища Юрий Макаров поступил в лейб-гвардии Семеновский полк и оставался верен ему всю жизнь, даже в те тяжелые времена, когда полк перестал существовать, а его офицеров, уцелевших в боях Первой мировой войны, разметало не только по России, но и по всему миру. Но память о своем полку бывшие семеновцы хранили свято._x000D_
Перед Первой мировой войной Юрий Макаров закончил офицерские курсы восточных языков и был направлен в аппарат Министерства иностранных дел, но сразу после начала войны подал рапорт с просьбой вернуть его в родной полк. Со своим полком Макаров прошел самые трудные периоды войны, когда его подразделения несли гигантские потери, и сам не раз был тяжело ранен, но после лечения возвращался в строй…_x000D_
Но эта книга не только о войне и нелегкой военной службе — «балы, красавицы, лакеи, юнкера» тоже пройдут перед глазами читателя, как и множество офицеров и общественных деятелей, оставивших след в истории, — от полковника Преображенского полка А.П. Кутепова, будущего генерала Белой армии и лидера монархистов, до юного семеновца, подпоручика М.Н. Тухачевского, будущего советского маршала… Юрий Макаров дает широкую картину военной жизни начала ХХ века, рассказывая обо всем с тонким юмором, ярко и образно.</t>
  </si>
  <si>
    <t>18324</t>
  </si>
  <si>
    <t>Моя судьба в твоих руках</t>
  </si>
  <si>
    <t>978-5-227-08324-1</t>
  </si>
  <si>
    <t>18773</t>
  </si>
  <si>
    <t>Моя чужая женщина</t>
  </si>
  <si>
    <t>978-5-227-08661-7</t>
  </si>
  <si>
    <t>17269</t>
  </si>
  <si>
    <t>Моя шоколадная фея</t>
  </si>
  <si>
    <t>978-5-227-07283-2</t>
  </si>
  <si>
    <t>19607</t>
  </si>
  <si>
    <t>Мраморная сказка. V.Plans. Женский планировщик. Новая Я. (Вид 3)</t>
  </si>
  <si>
    <t>978-5-227-09375-2</t>
  </si>
  <si>
    <t>12706</t>
  </si>
  <si>
    <t>М РМБ</t>
  </si>
  <si>
    <t>Мужей много не бывает</t>
  </si>
  <si>
    <t>978-5-227-02813-6</t>
  </si>
  <si>
    <t>6452</t>
  </si>
  <si>
    <t>Крупин</t>
  </si>
  <si>
    <t>Мужские болезни Профилактика и методы лечения</t>
  </si>
  <si>
    <t>5-9524-2176-8</t>
  </si>
  <si>
    <t>16430</t>
  </si>
  <si>
    <t>Уивер Э.</t>
  </si>
  <si>
    <t>Мужчина в доме напротив</t>
  </si>
  <si>
    <t>978-5-227-06291-8</t>
  </si>
  <si>
    <t>16470</t>
  </si>
  <si>
    <t>Мужчина для амазонки</t>
  </si>
  <si>
    <t>978-5-227-06367-0</t>
  </si>
  <si>
    <t>18716</t>
  </si>
  <si>
    <t>Мужчина для Аманды</t>
  </si>
  <si>
    <t>978-5-227-08683-9</t>
  </si>
  <si>
    <t>12922</t>
  </si>
  <si>
    <t>М СЧАСТЬЕ</t>
  </si>
  <si>
    <t>Сябитова Р.</t>
  </si>
  <si>
    <t>Мужчина твоей мечты. Найти и быть с ним счастливой. Советы первой свахи России</t>
  </si>
  <si>
    <t>978-5-227-03045-0</t>
  </si>
  <si>
    <t>20720</t>
  </si>
  <si>
    <t>Джонсон Д.К.</t>
  </si>
  <si>
    <t>Мужчина­загадка</t>
  </si>
  <si>
    <t>978-5-227-10151-8</t>
  </si>
  <si>
    <t>Клер Холланд увлекается водным туризмом (морским каякингом) и отправляется в поход вместе с другом Майком, не ожидая, что для него этот поход будет последним… Клер и Майк становятся свидетелями, как в уединенной бухте с корабля на яхту перегружают явно контрабанду. Заметив их, капитан корабля убивает Майка, а успевшая спрятаться Клер вскоре слышит второй выстрел и всплеск упавшего в воду тела… Когда корабль и яхта спешно отчалили, Клер спасает раненого, оказавшегося агентом по борьбе с наркотиками. Молодым людям предстоит провести вместе несколько дней…</t>
  </si>
  <si>
    <t>14487</t>
  </si>
  <si>
    <t>Мужчины из женских романов</t>
  </si>
  <si>
    <t>978-5-227-04500-3</t>
  </si>
  <si>
    <t>21846</t>
  </si>
  <si>
    <t>Музеи Петербурга: большие и маленькие. 170 мест, которые стоит посетить</t>
  </si>
  <si>
    <t>978-5-227-11120-3</t>
  </si>
  <si>
    <t>Данное издание выгодно отличается от аналогичных тем, что рассказывает не только о широко известных художественных и исторических музеях, но и о технических, отраслевых, военных, краеведческих, музеях предприятий и учебных заведений. Читатель найдет здесь не только адреса, контактные телефоны музеев, но и узнает, чего ждать от их посещения, какие дополнительные возможности предоставляются в том или ином музее.</t>
  </si>
  <si>
    <t>19948</t>
  </si>
  <si>
    <t>Александер К.</t>
  </si>
  <si>
    <t>Музыка нашей любви</t>
  </si>
  <si>
    <t>978-5-227-09518-3</t>
  </si>
  <si>
    <t>21403</t>
  </si>
  <si>
    <t>Ла Мюр П.</t>
  </si>
  <si>
    <t>Мулен Руж</t>
  </si>
  <si>
    <t>978-5-227-10859-3</t>
  </si>
  <si>
    <t>Одаренный художник, единственный наследник древнего аристократического рода Анри де Тулуз-Лотрек унаследовал от предков не только титул, но и наследственный недуг. Обладая поразительным жизнелюбием и неоспоримым талантом, «маленький граф с Монмартра» с одинаковой страстью постигал тайны живописи и предавался кутежу. Знавший богемную жизнь Парижа как никто другой, Лотрек запечатлел на своих холстах и многочисленных рисунках парижские кабаре, прославил в веках блистательный «Мулен Руж». Портреты танцовщиц, дам полусвета и уличных девиц снискали ему скандальную славу, признание и успех, однако познать счастье искренней взаимной любви коротышке Анри было не суждено… Роман Пьера Ла Мюра — это больше чем описание жизни Тулуз-Лотрека, это — исследование мятущейся души художника, чье пылкое сердце до последнего дня жаждало любви…</t>
  </si>
  <si>
    <t>19331</t>
  </si>
  <si>
    <t>Мусульманские династии. Хронологические и генеалогические таблицы с историческими введениями</t>
  </si>
  <si>
    <t>978-5-227-09175-8</t>
  </si>
  <si>
    <t>5114</t>
  </si>
  <si>
    <t>М КУНЦ</t>
  </si>
  <si>
    <t>Кунц Дин</t>
  </si>
  <si>
    <t>Мутанты</t>
  </si>
  <si>
    <t>5-9524-1248-3</t>
  </si>
  <si>
    <t>20559</t>
  </si>
  <si>
    <t>Бей М.Э.</t>
  </si>
  <si>
    <t>Мухаммед. Жизненный путь и духовные искания основателя ислама. 571—632</t>
  </si>
  <si>
    <t>978-5-227-10281-2</t>
  </si>
  <si>
    <t>Страницы этой книги посвящены основателю ислама, создателю исламского государства — пророку Мухаммеду. Автор начинает повествование с описания времени, предшествующего зарождению ислама, племен, которые обитали в Аравийской пустыне, суровых условиях их жизни, диктующих не менее суровые законы существования, заставляющие часть кочевников покидать свою родину. Эссад Бей рассматривает предпосылки зарождения новой религии, рассказывает о варварской Мекке, богатом, оживленном городе пустыни, в котором родился Мухаммед, великий пророк Аллаха, о его жизни, о том, как он поверил в свою миссию, о борьбе, которую вел за создание арабского мира, о культуре и традициях этого мира.</t>
  </si>
  <si>
    <t>18297</t>
  </si>
  <si>
    <t>Мучительно прекрасная связь</t>
  </si>
  <si>
    <t>978-5-227-08244-2</t>
  </si>
  <si>
    <t>7957</t>
  </si>
  <si>
    <t>Мы все худели понемногу</t>
  </si>
  <si>
    <t>978-5-9524-2912-3</t>
  </si>
  <si>
    <t>16147</t>
  </si>
  <si>
    <t>Мы не друзья</t>
  </si>
  <si>
    <t>978-5-227-06109-6</t>
  </si>
  <si>
    <t>19291</t>
  </si>
  <si>
    <t>Мы обязательно встретимся</t>
  </si>
  <si>
    <t>978-5-227-09053-9</t>
  </si>
  <si>
    <t>18762</t>
  </si>
  <si>
    <t>Карпин Д.</t>
  </si>
  <si>
    <t>Мы спасаем попаданцев</t>
  </si>
  <si>
    <t>978-5-227-08718-8</t>
  </si>
  <si>
    <t>3697</t>
  </si>
  <si>
    <t>ЭР</t>
  </si>
  <si>
    <t>Макдональд Д.</t>
  </si>
  <si>
    <t>Мыс страха</t>
  </si>
  <si>
    <t>5-9524-0092-2</t>
  </si>
  <si>
    <t>16738</t>
  </si>
  <si>
    <t>Мысли вслух</t>
  </si>
  <si>
    <t>978-5-227-06567-4</t>
  </si>
  <si>
    <t>17077</t>
  </si>
  <si>
    <t>Путин В.В.</t>
  </si>
  <si>
    <t>Мысли о России. Президент о самом важном</t>
  </si>
  <si>
    <t>978-5-227-06580-3</t>
  </si>
  <si>
    <t>17888</t>
  </si>
  <si>
    <t>Бальзак О.</t>
  </si>
  <si>
    <t>Мысль - ключ ко всем сокровищам</t>
  </si>
  <si>
    <t>978-5-227-07954-1</t>
  </si>
  <si>
    <t>18350</t>
  </si>
  <si>
    <t>Мысль творит реальность: вам подвластно ВСЁ</t>
  </si>
  <si>
    <t>978-5-227-08276-3</t>
  </si>
  <si>
    <t>0183</t>
  </si>
  <si>
    <t>Мэллори</t>
  </si>
  <si>
    <t>978-5-227-06978-8</t>
  </si>
  <si>
    <t>10486</t>
  </si>
  <si>
    <t>Мэлори</t>
  </si>
  <si>
    <t>978-5-9524-3597-1</t>
  </si>
  <si>
    <t>21830</t>
  </si>
  <si>
    <t>Мюнхенский сговор. Пролог к трагедии Второй мировой войны</t>
  </si>
  <si>
    <t>978-5-9524-6402-5</t>
  </si>
  <si>
    <t>Британский историк Джон Уилер-Беннет настоящий труд посвятил исследованию судьбоносных событий, приведших к Мюнхенскому кризису 1938 года, в результате которого Гитлеру была принесена в жертву Судетская область, а остатки Чехословакии и Европа оказались без защиты от дальнейших посягательств Германии. Использовав документы Нюрнбергского процесса и государственные архивы Чехословакии, принесенной Содружеством в жертву, автор приходит к выводу, что Гитлер уже во время Мюнхенской конференции планировал военную агрессию в качестве инструмента государственной политики и умышленно шел к всеобщему мировому конфликту, намеренно проигнорировав обещания, данные Англии и Франции в союзных договорах. Мюнхенское соглашение было неизбежно.</t>
  </si>
  <si>
    <t>18503</t>
  </si>
  <si>
    <t>Мятеж</t>
  </si>
  <si>
    <t>978-5-227-08520-7</t>
  </si>
  <si>
    <t>14941</t>
  </si>
  <si>
    <t>978-5-227-04886-8</t>
  </si>
  <si>
    <t>17513</t>
  </si>
  <si>
    <t>Мятежный Петербург. Сто лет бунтов, восстаний и революций в городском фольклоре</t>
  </si>
  <si>
    <t>978-5-227-07526-0</t>
  </si>
  <si>
    <t>17781</t>
  </si>
  <si>
    <t>Павич М, Михайлович Я.</t>
  </si>
  <si>
    <t>На берегах Хазарского моря. Две жизни - одна любовь</t>
  </si>
  <si>
    <t>978-5-227-07717-2</t>
  </si>
  <si>
    <t>15878</t>
  </si>
  <si>
    <t>На вершине мира</t>
  </si>
  <si>
    <t>978-5-227-05835-5</t>
  </si>
  <si>
    <t>17998</t>
  </si>
  <si>
    <t>Вознесенский А.А</t>
  </si>
  <si>
    <t>На виртуальном ветру</t>
  </si>
  <si>
    <t>978-5-227-07824-7</t>
  </si>
  <si>
    <t>21661</t>
  </si>
  <si>
    <t>Беккер Х.</t>
  </si>
  <si>
    <t>На войне и в плену. Воспоминания немецкого солдата. 1937—1950</t>
  </si>
  <si>
    <t>978-5-9524-6110-9</t>
  </si>
  <si>
    <t>В своих воспоминаниях Ханс Беккер, унтер-офицер германской армии, в которую он вступил в 1937 г., описывает путь, пройденный им по дорогам Второй мировой войны, и годы, проведенные в советских лагерях в качестве военнопленного. Простым и безыскусным языком солдата Беккер рассказывает о жестоких танковых боях под Тернополем, Дубно, Курском, о том, как выходил из окружения и попал в плен, бежал и снова был пойман, о годах тяжелых испытаний в неволе. Отбывая срок в Сибири, он с горькой иронией вспоминает, как презирал заключенных немецкого концлагеря, уверенный в том, что на их месте предпочел бы смерть унизительному существованию, не подозревая, что скоро сам в таких же обстоятельствах будет отчаянно бороться за выживание.</t>
  </si>
  <si>
    <t>20888</t>
  </si>
  <si>
    <t>Николаев А.В.</t>
  </si>
  <si>
    <t>На Волховском и Карельском фронтах. Дневники лейтенанта. 1941—1944 гг.</t>
  </si>
  <si>
    <t>978-5-227-10501-1</t>
  </si>
  <si>
    <t>Автор этих увлекательных воспоминаний, написанных на основе кратких дневниковых записей и писем матери с фронта, — Андрей Владимирович Николаев (1922—2013) — выдающийся советский и российский художник-иллюстратор. За долгую творческую жизнь создал серии иллюстраций примерно к двумстам книгам из отечественной и зарубежной классики, современным авторам. Широкому кругу читателей известен как автор иллюстраций к «Войне и миру» Л.Н. Толстого, «Пиковой даме» А.С. Пушкина, «Белой гвардии» и «Мастеру и Маргарите» М.А. Булгакова._x000D__x000D_
А начинал А.В. Николаев свой жизненный путь, как многие парни его поколения: выпускной бал по окончании десятилетки, а утром 22 июня 1941 г. — объявление о начале войны. Минометное отделение Великоустюгского пехотного училища, служба в минометном полку на Волховском и Карельском фронтах, в конце войны — освобождение Венгрии и Австрии. Книга проиллюстрирована рисунками и схемами, выполненными автором.</t>
  </si>
  <si>
    <t>20737</t>
  </si>
  <si>
    <t>На грани искушения</t>
  </si>
  <si>
    <t>978-5-227-10309-3</t>
  </si>
  <si>
    <t>Джозеф — король маленького островного государства. Он устал от мира и желает вести отшельнический образ жизни. Но это не устраивает всех: его детей, подданных, персонал. На помощь приходит Роуэн Грей, настойчивая и бесцеремонная американка. Искры между Джозефом и Роуэн летят во все стороны, и они не сразу понимают, что влюбляются друг в друга...</t>
  </si>
  <si>
    <t>18520</t>
  </si>
  <si>
    <t>На грани острых ощущений</t>
  </si>
  <si>
    <t>978-5-227-08418-7</t>
  </si>
  <si>
    <t>20600</t>
  </si>
  <si>
    <t>Воротынцев Л.В.</t>
  </si>
  <si>
    <t>На границе Великой степи. Контактные зоны лесостепного пограничья Южной Руси в XIII – первой половине ХV вв.</t>
  </si>
  <si>
    <t>978-5-227-10298-0</t>
  </si>
  <si>
    <t>Монография посвящена изучению истории пограничных со Степью регионов Южной Руси XIII – первой половины XV в. В исследовании освещаются вопросы административно-политической, хозяйственно-экономической и этнокультурной интеграции южнорусских земель в государственную систему Монгольской империи и Улуса Джучи (Золотой Орды). На основании анализа широкого круга письменных и археологических источников автор приходит к выводу о формировании в ряде регионов южнорусской лесостепи так называемых «контактных зон», существовавших на всем протяжении золотоордынской эпохи. Издание адресовано специалистам, занимающимся изучением истории средневековой Руси и Золотой Орды, а также преподавателям, студентам, аспирантам и всем интересующимся историей русско-ордынских отношений.</t>
  </si>
  <si>
    <t>15018</t>
  </si>
  <si>
    <t>На ее условиях</t>
  </si>
  <si>
    <t>978-5-227-04972-8</t>
  </si>
  <si>
    <t>17475</t>
  </si>
  <si>
    <t>На зависть всему миру</t>
  </si>
  <si>
    <t>978-5-227-07474-4</t>
  </si>
  <si>
    <t>20959</t>
  </si>
  <si>
    <t>Дрейер В.Н.,ф</t>
  </si>
  <si>
    <t>На закате империи. О пережитом в начале ХХ века: дни войн, революций и мира</t>
  </si>
  <si>
    <t>978-5-227-10427-4</t>
  </si>
  <si>
    <t>Мемуары генерала В.Н. фон Дрейера «На закате империи» были написаны после Второй мировой войны и опубликованы в 1965 году, когда генерал приближался к своему девяностолетию. Но повествование он довел только до начала Гражданской войны в России – роковой черты, разделившей судьбы многих русских людей на «до» и «после». А Владимир фон Дрейер был человеком русским, хотя и с немецкими корнями, православным, из семьи потомственных военных. И для себя он не мыслил другой судьбы, кроме военной службы. Служить ему довелось в Туркестане, в гарнизонах на западной границе, учиться в Академии Генерального штаба в Санкт-Петербурге, воевать на Первой мировой войне… Воевал фон Дрейер героически, оказываясь на самых горячих участках фронта, например, он был одним из немногих офицеров, вырвавшихся с боями из страшного окружения в печально известных Августовских лесах._x000D__x000D_
Жизнь его была полна не только разнообразных приключений, но и необычных встреч. Многие знаменитые исторические персонажи — для него просто друзья, знакомые и сослуживцы… Он служил с Брусиловым, Корниловым, Врангелем и хорошо знал большинство знаменитых генералов первой четверти ХХ века. Будущий советский маршал Шапошников в качестве молодого офицера по прозвищу «мальчик Боря» оказался под началом фон Дрейера… Он вспомнил и рассказал много интересного, причем рассказал неравнодушно, замечательным, богатым русским языком, с юмором, с необычными деталями, как говорится, «с душой»…</t>
  </si>
  <si>
    <t>20826</t>
  </si>
  <si>
    <t>Аронсон Г.Я.</t>
  </si>
  <si>
    <t>На заре красного террора. ВЧК — Бутырки — Орловский централ</t>
  </si>
  <si>
    <t>978-5-227-10484-7</t>
  </si>
  <si>
    <t>Автор — бунтарь-революционер, деятель меньшевистской партии. Боролся против монархии и, как следствие, преследовался ею. После Октябрьского переворота также оказался нежелательным элементом. Пройдя с 1918 по 1922 год горнила советских тюрем, одиночную камеру и голодовки, он не только выжил, но и сумел сохранить человеческое достоинство. Опыт пребывания в застенках оказался труден, но не смертелен. После освобождения из заключения и прихода НЭПа, автор, как неугодный новой власти, был выслан за границу, где в 1929 году, в Берлине, впервые вышла эта книга. Его очерки по содержанию своему посвящены не только описанию тюремного быта, но также изображению жизни России на заре красного террора. Если в странах политического бесправия тюрьма всегда — зеркало жизни, то еще резче выступает это явление в революционную эпоху.</t>
  </si>
  <si>
    <t>16827</t>
  </si>
  <si>
    <t>Урвачев В.Г.</t>
  </si>
  <si>
    <t>На защите московского неба. Боевой путь летчика­истребителя. 1941—1945.</t>
  </si>
  <si>
    <t>978-5-227-06817-0</t>
  </si>
  <si>
    <t>20790</t>
  </si>
  <si>
    <t>На злобу дня. Собрание сочинений. Том 8</t>
  </si>
  <si>
    <t>978-5-227-10483-0</t>
  </si>
  <si>
    <t>Михаил Задорнов — всеми горячо любимый писатель-сатирик, драматург и эссеист. Замечательный, остроумный, невероятно образованный и очень увлечённый родной историей человек. Его устное творчество знает вся наша огромная страна и жители зарубежья, его книги мгновенно разлетаются с прилавков, а многие выражения ушли в народ и стали крылатыми._x000D_
Впервые читателям предоставляется уникальная возможность приобрести собрание сочинений этого удивительного человека. В восьмой том вошли тексты, публиковавшиеся в «Живом журнале» Михаила Николаевича, а также в многочисленных периодических изданиях. Это острый, смелый и быстрый отклик на события, происходившие в мире.</t>
  </si>
  <si>
    <t>17550</t>
  </si>
  <si>
    <t>На злодеев глаз наметан</t>
  </si>
  <si>
    <t>978-5-227-07599-4</t>
  </si>
  <si>
    <t>72</t>
  </si>
  <si>
    <t>На краю печальных истин</t>
  </si>
  <si>
    <t>978-5-9524-3138-6</t>
  </si>
  <si>
    <t>18045</t>
  </si>
  <si>
    <t>Кучер С.</t>
  </si>
  <si>
    <t>На одном дыхании. Хорошие истории</t>
  </si>
  <si>
    <t>978-5-227-07840-7</t>
  </si>
  <si>
    <t>14400</t>
  </si>
  <si>
    <t>Стивен Дж. Кеннел</t>
  </si>
  <si>
    <t>На острие ножа</t>
  </si>
  <si>
    <t>978-5-227-04434-1</t>
  </si>
  <si>
    <t>12529</t>
  </si>
  <si>
    <t>978-5-227-02594-4</t>
  </si>
  <si>
    <t>19946</t>
  </si>
  <si>
    <t>На пике соблазна</t>
  </si>
  <si>
    <t>978-5-227-09507-7</t>
  </si>
  <si>
    <t>19369</t>
  </si>
  <si>
    <t>На пороге соблазна</t>
  </si>
  <si>
    <t>978-5-227-09081-2</t>
  </si>
  <si>
    <t>17139</t>
  </si>
  <si>
    <t>На пределе чувства</t>
  </si>
  <si>
    <t>978-5-227-07118-7</t>
  </si>
  <si>
    <t>18918</t>
  </si>
  <si>
    <t>Кубрин М.С</t>
  </si>
  <si>
    <t>На пути у цунами</t>
  </si>
  <si>
    <t>978-5-227-08904-5</t>
  </si>
  <si>
    <t>16794</t>
  </si>
  <si>
    <t>На рассоянии вдоха</t>
  </si>
  <si>
    <t>978-5-227-06791-3</t>
  </si>
  <si>
    <t>21756</t>
  </si>
  <si>
    <t>ПОВ</t>
  </si>
  <si>
    <t>Медведев М.В.</t>
  </si>
  <si>
    <t>На ростовском направлении. Южный фронт в боях на Миусе. Январь—август 1943 г.</t>
  </si>
  <si>
    <t>978-5-227-11123-4</t>
  </si>
  <si>
    <t>Среди операций советских войск периода Великой Отечественной войны особого внимания заслуживает освобождение войсками Южного фронта временно оккупированной территории Ростовской области и части Донбасса, которое происходило в несколько этапов — с января до конца августа 1943 г. Поражение противника на рубежах реки Миус существенно изменило ход боевых действий на всем южном крыле советско-германского фронта, заложив основы для дальнейшего освобождения юго-восточных областей Украинской ССР, Крыма, сыграв важную роль в коренном переломе в Великой Отечественной войне._x000D_
Издание предназначено для научных работников, преподавателей, аспирантов, студентов, а также всех заинтересованных читателей.</t>
  </si>
  <si>
    <t>19372</t>
  </si>
  <si>
    <t>Миллер У.</t>
  </si>
  <si>
    <t>На руинах Османской империи. Новая Турция и свободные Балканы. 1801—1927</t>
  </si>
  <si>
    <t>978-5-9524-5464-4</t>
  </si>
  <si>
    <t>21043</t>
  </si>
  <si>
    <t>Воробьев Ф.Д.</t>
  </si>
  <si>
    <t>На службе в Генеральном штабе. Воспоминания военного историка. 1941—1945 гг.</t>
  </si>
  <si>
    <t>978-5-227-09937-2</t>
  </si>
  <si>
    <t>Федор Данилович Воробьев (1904—1992) — полковник, с 1939 г. — офицер Военно-исторического отдела Генерального штаба Красной армии, один из первых исследователей истории Великой Отечественной войны 1941—1945 годов. В силу должностных обязанностей стал свидетелем многих ключевых событий Великой Отечественной войны. В должности офицера Генерального штаба он работал на Волховском фронте в 1941 — начале 1942 гг., а затем уже как военный историк непосредственно в войсках изучал  события Сталинградской битвы, сражения на Курской дуге, освобождения Украины, Берлинского сражения и других. Собранный оперативный материал, данные разведки, трофейные документы немедленно анализировались, обобщались и публиковались в виде военно-стратегических очерков, целевой аудиторией которых был высший и старший командный состав Красной армии. Ф.Д. Воробьев является автором ряда очерков, приведенных в этой книге, а также соавтором  фундаментальных трудов: «Оборона Севастополя» (М., 1943), «Битва под Сталинградом» (М., 1944), «Десять сокрушительных ударов» (М.,1945), «Битва под Курском» в двух книгах (М., 1946—1947), «Берлинская операция 1945 года» (М.,1950) и др.</t>
  </si>
  <si>
    <t>17512</t>
  </si>
  <si>
    <t>Кривицкий В.Г.</t>
  </si>
  <si>
    <t>На службе в сталинской разведке. Тайны руссих спецлужб от бывшего шефа советской разведки в Западной Европе</t>
  </si>
  <si>
    <t>978-5-227-07489-8</t>
  </si>
  <si>
    <t>21665</t>
  </si>
  <si>
    <t>Хартлинг К.Н.</t>
  </si>
  <si>
    <t>На страже Родины. События во Владивостоке: конец 1919 — начало 1920 г.</t>
  </si>
  <si>
    <t>978-5-227-10869-2</t>
  </si>
  <si>
    <t>Подполковник Белой армии Карл Николаевич Хартлинг после Гражданской войны покинул Россию, отправился в эмиграцию и обосновался на острове Ява, где в 1935 году, за два года до смерти, написал книгу о событиях Гражданской войны на Дальнем Востоке — прежде всего о мятеже Чехословацкого легиона в конце 1919 года и эсеровском восстании 1920 года во Владивостоке, малоизвестных страницах послереволюционного противостояния людей, оказавшихся по разные стороны фронта… Тема была Хартлингу хорошо знакома — он являлся не просто свидетелем, а участником боев во Владивостоке, когда власть переходила из одних рук в другие...</t>
  </si>
  <si>
    <t>17754</t>
  </si>
  <si>
    <t>На туманном Альбионе</t>
  </si>
  <si>
    <t>978-5-227-07766-0</t>
  </si>
  <si>
    <t>17333</t>
  </si>
  <si>
    <t>На что способна любовь</t>
  </si>
  <si>
    <t>978-5-227-07319-8</t>
  </si>
  <si>
    <t>9015</t>
  </si>
  <si>
    <t>На что способны женщины</t>
  </si>
  <si>
    <t>978-5-9524-3168-3</t>
  </si>
  <si>
    <t>0147</t>
  </si>
  <si>
    <t>978-5-227-06979-5</t>
  </si>
  <si>
    <t>20433</t>
  </si>
  <si>
    <t>Навсегда в его сердце</t>
  </si>
  <si>
    <t>978-5-227-10086-3</t>
  </si>
  <si>
    <t>Греческий аристократ Ксандрос Лакарис готов жениться на дочери строительного магната, чтобы заключить выгодную сделку, однако невеста незадолго до свадьбы разрывает помолвку. Слияние двух компаний под угрозой, и Ксандрос вынужден отправиться в Лондон, чтобы разыскать вторую дочь нувориша и привезти к отцу. Розали Джонс, выросшая в бедности, ради заработка вынуждена убирать чужие квартиры. Девушка соглашается полететь в Афины, но после встречи с отцом-миллионером оказывается в еще более затруднительном положении…</t>
  </si>
  <si>
    <t>20787</t>
  </si>
  <si>
    <t>Навсегда в ее сердце</t>
  </si>
  <si>
    <t>978-5-227-10347-5</t>
  </si>
  <si>
    <t>Лейла Грендин выросла в одной из самых влиятельных семей Ройяла. Но после смерти дедушки Лейлы, Виктора, Грендины узнают, что ранчо принадлежит не только им. Именно в это сложное время в город неожиданно возвращается давний друг Лейлы, Джошуа Бенкс. Сможет ли доверчивая и ранимая Лейла справиться со всеми жизненными трудностями? А может быть, она даже обретет личное счастье?</t>
  </si>
  <si>
    <t>20576</t>
  </si>
  <si>
    <t>Навсегда в твоем сердце</t>
  </si>
  <si>
    <t>978-5-227-10284-3</t>
  </si>
  <si>
    <t>План принца Акила аль-Хамри крайне прост — чтобы обрести независимость и свободу, ему необходимо жениться. Выбор падает на бунтарку Тобилолу, но у нее свои планы, поэтому их пути расходятся. Спустя три года в королевской семье происходит несчастье, и теперь Акил становится новым королем государства Джоборо, а это означает, что ему необходимо вернуть свою королеву. Между ними вспыхивает страсть, но согласится ли Тоби стать его женой?..</t>
  </si>
  <si>
    <t>19928</t>
  </si>
  <si>
    <t>Навсегда вдвоем</t>
  </si>
  <si>
    <t>978-5-227-09505-3</t>
  </si>
  <si>
    <t>20272</t>
  </si>
  <si>
    <t>Навсегда осталась твоей</t>
  </si>
  <si>
    <t>978-5-227-09927-3</t>
  </si>
  <si>
    <t>14120</t>
  </si>
  <si>
    <t>Макклон М.</t>
  </si>
  <si>
    <t>Навсегда с тобой</t>
  </si>
  <si>
    <t>978-5-227-04152-4</t>
  </si>
  <si>
    <t>19917</t>
  </si>
  <si>
    <t>Навстречу завтрашнему дню</t>
  </si>
  <si>
    <t>978-5-227-09678-4</t>
  </si>
  <si>
    <t>7324</t>
  </si>
  <si>
    <t>Пик Л.</t>
  </si>
  <si>
    <t>Навстречу судьбе</t>
  </si>
  <si>
    <t>5-9524-2381-7</t>
  </si>
  <si>
    <t>14823</t>
  </si>
  <si>
    <t>Награда для чемпиона</t>
  </si>
  <si>
    <t>978-5-227-04842-4</t>
  </si>
  <si>
    <t>20440</t>
  </si>
  <si>
    <t>Награда плейбою из Майами</t>
  </si>
  <si>
    <t>978-5-227-10140-2</t>
  </si>
  <si>
    <t>Бьянка Палмер вынуждена скрываться от всех. Во время полета в Майами она знакомится с Эвереттом Дрейком, и между ними сразу вспыхивает страсть. Она решает провести с ним всего одну ночь, но не подозревает, что они обязательно встретятся снова.</t>
  </si>
  <si>
    <t>17403</t>
  </si>
  <si>
    <t>Надежда умирает последней</t>
  </si>
  <si>
    <t>978-5-227-07343-3</t>
  </si>
  <si>
    <t>21667</t>
  </si>
  <si>
    <t>978-5-227-11043-5</t>
  </si>
  <si>
    <t>Билл Мэйтленд по прозвищу Дикарь Билл, отважный человек и первоклассный летчик, летал в самое пекло и возвращался как ни в чем не бывало. Но однажды его самолет разбился в джунглях Вьетнама. Дикарь Билл пропал без вести. Спустя двадцать лет его дочь, Вилли Мэйтленд, отправилась на поиски отца. Военные чины, уверенные в том, что Мэйтленд погиб, не смогли убедить ее в бессмысленности затеи. Ни угрозы, ни покушения на ее жизнь не остановили девушку. Армейский чиновник США, Гай Барнард, тоже разыскивает пропавшего летчика. Смелый, умный и обаятельный человек, отлично знающий Вьетнам, Барнард предлагает Вилли помощь и поддержку. В отчаянной гонке со смертью в чужой стране они не сразу понимают, что их связывает нечто большее, чем общая цель путешествия...</t>
  </si>
  <si>
    <t>19183</t>
  </si>
  <si>
    <t>Надежды леди Коннот</t>
  </si>
  <si>
    <t>978-5-227-08972-4</t>
  </si>
  <si>
    <t>16839</t>
  </si>
  <si>
    <t>Надпись</t>
  </si>
  <si>
    <t>978-5-227-06818-7</t>
  </si>
  <si>
    <t>17294</t>
  </si>
  <si>
    <t>Наедине с любовью</t>
  </si>
  <si>
    <t>978-5-227-07287-0</t>
  </si>
  <si>
    <t>20311</t>
  </si>
  <si>
    <t>Найт Н.</t>
  </si>
  <si>
    <t>Наедине с соблазном</t>
  </si>
  <si>
    <t>978-5-227-09846-7</t>
  </si>
  <si>
    <t>21091</t>
  </si>
  <si>
    <t>Аврелий М.</t>
  </si>
  <si>
    <t>Наедине с собой. Размышления римского императора о жизни, разуме и душе</t>
  </si>
  <si>
    <t>978-5-227-10656-8</t>
  </si>
  <si>
    <t>«Философ на троне» — так часто называют великого императора Древнего Рима Марка Аврелия. Он был известен не только как государственный деятель, но и как философ, сторонник стоицизма. Империя процветала во время его правления, он не поступался своими принципами, принимал законы, основанные на древнем справедливом праве, и неуклонно следовал им. На протяжении всей жизни Марк Аврелий вел записи-размышления, которые вылились в двенадцать глав-книг и позже объединились в одну, которую вы и держите в своих руках. Сегодня цитаты из этого сборника по-прежнему актуальны, и мы предлагаем вам окунуться в этот кладезь мудрости — рассуждения о жизни, разуме и душе.</t>
  </si>
  <si>
    <t>15035</t>
  </si>
  <si>
    <t>Холдефер Ч.</t>
  </si>
  <si>
    <t>Наемник</t>
  </si>
  <si>
    <t>978-5-227-05005-2</t>
  </si>
  <si>
    <t>10684</t>
  </si>
  <si>
    <t>978-5-9524-3856-9</t>
  </si>
  <si>
    <t>10826</t>
  </si>
  <si>
    <t>Трейси Пи Джей</t>
  </si>
  <si>
    <t>Наживка</t>
  </si>
  <si>
    <t>978-5-9524-4016-6</t>
  </si>
  <si>
    <t>16375</t>
  </si>
  <si>
    <t>Назвать своей</t>
  </si>
  <si>
    <t>978-5-227-06250-5</t>
  </si>
  <si>
    <t>20350</t>
  </si>
  <si>
    <t>Назови меня своей</t>
  </si>
  <si>
    <t>978-5-227-09943-3</t>
  </si>
  <si>
    <t>20184</t>
  </si>
  <si>
    <t>Наказание страстью</t>
  </si>
  <si>
    <t>978-5-227-09848-1</t>
  </si>
  <si>
    <t>18661</t>
  </si>
  <si>
    <t>Наказать беспредельщиков</t>
  </si>
  <si>
    <t>978-5-227-08556-6</t>
  </si>
  <si>
    <t>7844</t>
  </si>
  <si>
    <t>Наперегонки со смертью</t>
  </si>
  <si>
    <t>978-5-9524-2742-6</t>
  </si>
  <si>
    <t>21573</t>
  </si>
  <si>
    <t>978-5-9524-6385-1</t>
  </si>
  <si>
    <t>Во второй книге дилогии французского историка Андре Кастело рассказывается о царствовании и падении Наполеона Бонапарта. Автор разворачивает перед читателем объективную картину истории Франции на переломе эпох, знакомит с феноменом личности честолюбивого корсиканца, одержимого мечтой о великой империи.</t>
  </si>
  <si>
    <t>21777</t>
  </si>
  <si>
    <t>Наполеон. Изгнание из Москвы</t>
  </si>
  <si>
    <t>978-5-9524-6517-6</t>
  </si>
  <si>
    <t>Интереснейшее исследование реальных событий русской военной кампании Наполеона 1812 года, признанной самой страшной катастрофой XIX века. Автор раскрывает причины и последствия противостояния русского и французского самодержцев, дает объективные портреты Наполеона и русского монарха Александра I. В книге рассмотрена военно-политическая обстановка в Европе, дан подробный анализ военных стратегий противоборствующих имперских режимов, причин сокрушительного поражения Наполеона в России.</t>
  </si>
  <si>
    <t>16870</t>
  </si>
  <si>
    <t>Вулф Т</t>
  </si>
  <si>
    <t>Направляй меня нежно</t>
  </si>
  <si>
    <t>978-5-227-06830-9</t>
  </si>
  <si>
    <t>10418</t>
  </si>
  <si>
    <t>Напрасное прикрытие</t>
  </si>
  <si>
    <t>978-5-9524-3598-8</t>
  </si>
  <si>
    <t>14899</t>
  </si>
  <si>
    <t>978-5-227-04882-0</t>
  </si>
  <si>
    <t>0160</t>
  </si>
  <si>
    <t>978-5-227-06980-1</t>
  </si>
  <si>
    <t>21620</t>
  </si>
  <si>
    <t>МИП</t>
  </si>
  <si>
    <t>Хоппер М</t>
  </si>
  <si>
    <t>Нарды. Избранные стратегии для тех, кто любит побеждать</t>
  </si>
  <si>
    <t>978-5-227-11006-0</t>
  </si>
  <si>
    <t>Эта книга — руководство для начинающих, которое научит вас играть в короткие нарды и, что самое важное, выигрывать! Основные стратегии игры в нарды объясняются простым, доступным для всех языком и сопровождаются наглядными иллюстрациями. _x000D_
Вы научитесь оценивать свои шансы, выбирать стратегию и уверенно идти к победе, как будто играли в нарды всю жизнь._x000D_
Книга предназначена для широкого круга читателей.</t>
  </si>
  <si>
    <t>17517</t>
  </si>
  <si>
    <t>Громов А.Б.</t>
  </si>
  <si>
    <t>Нарком Фрунзе. Победитель Колчака, уральских казаков и Врангеля, покоритель Туркестана, ликвидатор петлюровцев и махновцев</t>
  </si>
  <si>
    <t>978-5-227-07490-4</t>
  </si>
  <si>
    <t>20981</t>
  </si>
  <si>
    <t>Шредер Э.</t>
  </si>
  <si>
    <t>Народ Мухаммеда. Антология духовных сокровищ исламской цивилизации</t>
  </si>
  <si>
    <t>978-5-9524-5698-3</t>
  </si>
  <si>
    <t>«Народ Мухаммеда» — семилетний труд известного археолога и историка исламской культуры Эрика Шредера, основанный на многочисленных исторических источниках. Автор строит повествование, используя наиболее яркие фрагменты известных рукописей, выстраивая их в хронологической последовательности. Это сокровище древних откровений и религиозной мудрости дает обзор основополагающего периода мусульманской культуры. Книга прослеживает историю ислама с момента его рождения до расцвета. Историк часто обращается к фольклору, цитатам из Корана, приводит множество песен и стихотворений._x000D__x000D_
Шредер предоставляет богатый материал, давая читателю возможность самостоятельно выступить в роли исследователя. Книга будет интересна не только специалистам, но и широкому кругу читателей.</t>
  </si>
  <si>
    <t>21028</t>
  </si>
  <si>
    <t>Коринфский А.А.</t>
  </si>
  <si>
    <t>Народная Русь. Круглый год сказаний, поверий, обычаев и пословиц русского народа</t>
  </si>
  <si>
    <t>978-5-227-10596-7</t>
  </si>
  <si>
    <t>Певучий, как язык народа, стилизованный под сказания двадцатилетний труд Аполлона Аполлоновича Коринфского, известного фольклориста и поэта, вновь увидел свет. Это плод наблюдений за бытом живущих на земле Русской людей и изучения работ других именитых собирателей фольклора и авторов работ по русской словесности, таких как А.Н. Афанасьев, П.В. Киреевский, И.П. Сахаров и прочие. «Народная Русь» охватывает весь год жизни русского крестьянина: все праздники, ритуалы, пословицы, поговорки и приметы, связанные с тем или иным событием. Также этот труд описывает не только природные жизненные циклы и связанные с ними в народном сознании жития святых, но и жизнь самого человека: от рождения до вхождения в мир иной, от первых колыбельных, которые пела ему матушка, до траурных причитаний и молитв. Познакомится читатель и с богатейшей кладовой мифов и легенд земли Русской: былинными богатырями и чудищами невиданными, а также узнает, как именно, по мнению наших далеких предков, возник мир.</t>
  </si>
  <si>
    <t>4888</t>
  </si>
  <si>
    <t>КЭП</t>
  </si>
  <si>
    <t>Народные праздники на Руси</t>
  </si>
  <si>
    <t>5-9524-0991-1</t>
  </si>
  <si>
    <t>19490</t>
  </si>
  <si>
    <t>Народные рецепты для здоровья малышей</t>
  </si>
  <si>
    <t>978-5-227-09328-8</t>
  </si>
  <si>
    <t>14397</t>
  </si>
  <si>
    <t>Народные рецепты молодости и красоты</t>
  </si>
  <si>
    <t>978-5-227-04271-2</t>
  </si>
  <si>
    <t>19589</t>
  </si>
  <si>
    <t>Народные рецепты против пьянства</t>
  </si>
  <si>
    <t>978-5-227-09335-6</t>
  </si>
  <si>
    <t>14226</t>
  </si>
  <si>
    <t>ЭЭ</t>
  </si>
  <si>
    <t>Мартьянов  И.Ю</t>
  </si>
  <si>
    <t>Народные традиции Китая</t>
  </si>
  <si>
    <t>978-5-227-04056-5</t>
  </si>
  <si>
    <t>19339</t>
  </si>
  <si>
    <t>Нарушенная клятва</t>
  </si>
  <si>
    <t>978-5-227-09143-7</t>
  </si>
  <si>
    <t>16216</t>
  </si>
  <si>
    <t>Лондон Д.</t>
  </si>
  <si>
    <t>Нарушенное обещание</t>
  </si>
  <si>
    <t>978-5-227-06224-6</t>
  </si>
  <si>
    <t>19147</t>
  </si>
  <si>
    <t>Нарушим все запреты</t>
  </si>
  <si>
    <t>978-5-227-08964-9</t>
  </si>
  <si>
    <t>0155</t>
  </si>
  <si>
    <t>Нас похоронят вместе</t>
  </si>
  <si>
    <t>978-5-227-06981-8</t>
  </si>
  <si>
    <t>17156</t>
  </si>
  <si>
    <t>Насладиться тобой</t>
  </si>
  <si>
    <t>978-5-227-07126-2</t>
  </si>
  <si>
    <t>13858</t>
  </si>
  <si>
    <t>М ROMANCE</t>
  </si>
  <si>
    <t>Кренц Джейн Энн</t>
  </si>
  <si>
    <t>Наследник</t>
  </si>
  <si>
    <t>978-5-227-03853-1</t>
  </si>
  <si>
    <t>20031</t>
  </si>
  <si>
    <t>Штильмарк Р. А.</t>
  </si>
  <si>
    <t>Наследник из Калькутты</t>
  </si>
  <si>
    <t>978-5-227-09762-0</t>
  </si>
  <si>
    <t>6161</t>
  </si>
  <si>
    <t>Трошин</t>
  </si>
  <si>
    <t>Наследственность и здоровье Профилактика и лечение</t>
  </si>
  <si>
    <t>5-9524-1935-6</t>
  </si>
  <si>
    <t>18326</t>
  </si>
  <si>
    <t>Наставляющая книга. Живи в радость</t>
  </si>
  <si>
    <t>978-5-227-08275-6</t>
  </si>
  <si>
    <t>19816</t>
  </si>
  <si>
    <t>Наставник по соблазнению</t>
  </si>
  <si>
    <t>978-5-227-09415-5</t>
  </si>
  <si>
    <t>19037</t>
  </si>
  <si>
    <t>Наставница по соблазнению</t>
  </si>
  <si>
    <t>978-5-227-08917-5</t>
  </si>
  <si>
    <t>17943</t>
  </si>
  <si>
    <t>Настойчивый плейбой</t>
  </si>
  <si>
    <t>978-5-227-07993-0</t>
  </si>
  <si>
    <t>21836</t>
  </si>
  <si>
    <t>Михайлова Л.М.</t>
  </si>
  <si>
    <t>Настольная книга домашнего винодела</t>
  </si>
  <si>
    <t>978-5-227-11172-2</t>
  </si>
  <si>
    <t>В книге описаны способы приготовления в домашних условиях десертных, крепленых и игристых вин, ликеров, наливок, настоек, водки. Кроме того, вы узнаете о пользе винных напитков и о диетических винах, ознакомитесь с приготовлением медицинских вин и напитков на меду. Узнаете, как приготовить уникальные вина по старинным рецептам (даже из цветков одуванчиков!), спотыкачи, домашний коньяк. Всё о приготовлении винного сусла и болезнях вин…_x000D_
Книга предназначена для широкого круга читателей, интересующихся вопросами домашнего виноделия.</t>
  </si>
  <si>
    <t>21720</t>
  </si>
  <si>
    <t>Настольная книга офисного работника. Сохраняем здоровье при сидячем образе жизни</t>
  </si>
  <si>
    <t>978-5-227-11108-1</t>
  </si>
  <si>
    <t>Современные реалии привели к резкому сокращению активности у человека. Люди практически не ходят пешком, мы даже опаздываем и торопимся, сидя за рулём или в метро… Это приводит к гиподинамии — пониженной активности, которая запускает негативные изменения в работе многих органов и систем. Какие опасности таит в себе малоподвижный образ жизни? Замедляется метаболизм и накапливается жировая масса. Длительное сидение приводит к застою крови в венах, что может стать причиной геморроя и варикоза. Неправильная поза за компьютером приводит к перенапряжению мышц спины, что может спровоцировать сколиоз, остеохондроз и межпозвоночные грыжи. Повышается риск сердечно-сосудистых заболеваний. Сидячий образ жизни может привести к депрессии, тревожности, ухудшению памяти и концентрации внимания. Что же делать? Не стоит паниковать! Есть ряд простых, но действенных правил, которые помогут вам сохранить здоровье, даже если ваша работа предполагает большую часть времени проводить сидя. Наша книга подскажет вам, как сделать расслабляющие упражнения для всех частей тела, не сходя с рабочего места, научит заниматься йогой, не вставая со стула, расскажет о важности правильного освещения, питьевого режима и своевременного питания.</t>
  </si>
  <si>
    <t>21105</t>
  </si>
  <si>
    <t>Настоящая женщина. Самый лучший психотренинг за последние 20 лет</t>
  </si>
  <si>
    <t>978-5-227-10659-9</t>
  </si>
  <si>
    <t>Книга Ксении Меньшиковой — это необыкновенно полезный сборник советов на каждый день, который поможет изменить ход происходящих с вами событий, научит жить вкусно и ярко, солнечно и интересно, навсегда избавиться от скуки и разочарований и начать вращать мир вокруг единственно важного человека в жизни — самой себя._x000D_
Книга разделена на 12 этапов, каждый из которых содержит в себе 30 дней. Думаете, что нужно начинать с первого января? Вовсе нет! Каждый день достоин того, чтобы стать первым в вашей новой жизни!</t>
  </si>
  <si>
    <t>16116</t>
  </si>
  <si>
    <t>Настоящее чудо</t>
  </si>
  <si>
    <t>978-5-227-06104-1</t>
  </si>
  <si>
    <t>20384</t>
  </si>
  <si>
    <t>Натуропатия аутоиммунных заболеваний. Аутоиммунный тиреоидит, ревматоидный артрит, псориаз</t>
  </si>
  <si>
    <t>978-5-227-09998-3</t>
  </si>
  <si>
    <t>До сих пор не найдена причина возникновения аутоиммунных заболеваний, когда организм человека, как змей Уроборос, пожирает сам себя. Когда-нибудь медицина узнает, почему возникают эти процессы, а до тех пор людям, страдающим от этой группы недугов, необходимо лечение, лучше всего то, которое выведет их в долгую ремиссию. Здесь и приходит на помощь метод Яна Раздобурдина, сочетающий в себе подходы Аюрведы, Традиционной китайской медицины и Современной нутрициологии. Индийская Аюрведа целостна, универсальна, использует конституциональный подход, делает акцент на образе жизни и питании. Сильные стороны Аюрведы — это очистительные программы, омоложение организма, лечение аутоиммунных болезней, проблем желудочно-кишечного тракта, суставов и кожи. Китайская медицина сильна в симптоматическом лечении и работе с энергетикой. Современная нутрициология прекрасно и доказательно восполняет недостаток полезных веществ в теле, что даёт базу для более полного воздействия фитопрепаратов. За интеграцией древней восточной медицины и современной нутрициологии — светлое будущее.</t>
  </si>
  <si>
    <t>21334</t>
  </si>
  <si>
    <t>Натуропатия избыточного веса, диабета и атеросклероза. Аюрведа, китайская медицина, нутрициология</t>
  </si>
  <si>
    <t>978-5-227-10762-6</t>
  </si>
  <si>
    <t>Лишний вес, повышенный сахар в крови, давление и другие сосудистые проблемы — это наиболее распространённые жалобы пациентов старше 40 лет. Что делать, если постоянно преследуют слабость и усталость? Как надолго снизить лишний вес? Как предотвратить переход преддиабета в диабет? Как укрепить сосуды и стабилизировать давление? Методика, разработанная доктором-специалистом традиционной и нетрадиционной медицины Яном Раздобурдиным, охватывает широкий круг вопросов по оздоровлению последствий метаболического синдрома: ожирения, диабета, жирового гепатоза и атеросклероза. Всемирная организация здравоохранения считает эти заболевания главными врагами человечества за последнюю сотню лет. Взяв лучшее от трёх медицинских подходов, автор увлекательно и доступно рассказывает о том, что вызывает эти состояния, как их предупредить и как минимизировать последствия для здоровья с помощью Аюрведы, традиционной китайской медицины и современной нутрициологии._x000D_
Эта книга будет полезна как ищущему врачу, так и обычному человеку, который хочет разобраться в причинах своего недомогания. Автор предлагает невероятно действенную смесь натуральных средств древней и современной медицины, а также рекомендации по питанию и образу жизни, которые легко понять и применить на практике.</t>
  </si>
  <si>
    <t>19573</t>
  </si>
  <si>
    <t>Научи верить в любовь</t>
  </si>
  <si>
    <t>978-5-227-09204-5</t>
  </si>
  <si>
    <t>19784</t>
  </si>
  <si>
    <t>Научи меня любить</t>
  </si>
  <si>
    <t>978-5-227-09406-3</t>
  </si>
  <si>
    <t>17470</t>
  </si>
  <si>
    <t>Научить тайнам любви</t>
  </si>
  <si>
    <t>978-5-227-07472-0</t>
  </si>
  <si>
    <t>18308</t>
  </si>
  <si>
    <t>Тит Т.</t>
  </si>
  <si>
    <t>Научные забавы. Физические эксперименты, геометрические задачи, фокусы, игры и самоделки</t>
  </si>
  <si>
    <t>978-5-9524-5348-7</t>
  </si>
  <si>
    <t>19936</t>
  </si>
  <si>
    <t>Национальный состав Красной армии. 1918–1945. Историко-статистическое исследование</t>
  </si>
  <si>
    <t>978-5-227-09500-8</t>
  </si>
  <si>
    <t>21238</t>
  </si>
  <si>
    <t>Начало магического пути. С чего начать. Первые шаги. Подводные камни. Личная свобода. Школы магии</t>
  </si>
  <si>
    <t>978-5-227-10729-9</t>
  </si>
  <si>
    <t>Мы вновь продолжаем путешествие в таинственный мир магии, который хоть и не видим, но окружает нас повсюду. Перед вами четвёртая книга серии «Магия в вопросах и ответах», и каждая из них поможет читателю узнать что-то сокровенное._x000D_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вопросы…_x000D_
В данной книге мы будем разбирать тему первых шагов в развитии своего магического потенциала. Вы решили стать магом: с чего начинать, какие подводные камни есть у начинающего магический путь и к чему следует быть готовым. Поговорим о проблеме наличия семьи, детей и человеческих привязанностей у будущего мага; обсудим насущный вопрос, как следует выбирать магическую школу и систему обучения; поговорим о магической литературе и о том, как не бояться самого себя в новом качестве.</t>
  </si>
  <si>
    <t>20532</t>
  </si>
  <si>
    <t>Вернадский Г.В.</t>
  </si>
  <si>
    <t>Начертание русской истории. Создание русским народом евразийского государства</t>
  </si>
  <si>
    <t>978-5-9524-5906-9</t>
  </si>
  <si>
    <t>Выдающийся русский и американский историк, профессор Йельского университета, Георгий Вернадский (1887—1973) прослеживает процесс становления России как евразийского государства, начиная с V века до н. э. до создания СССР. Историк рассматривает не только внутреннее развитие русской народности, но и формировавшую ее внешнюю среду и доказывает, что Россия, как территория русского племени, выходила за пределы Восточно-Европейской равнины не только в географическом, но и в культурно-политическом смыслах: «Евразия представляет собою ту наделенную естественными границами географическую область, которую в стихийном историческом процессе суждено было усвоить русскому народу».</t>
  </si>
  <si>
    <t>16652</t>
  </si>
  <si>
    <t>Начнем все вновь</t>
  </si>
  <si>
    <t>978-5-227-06560-5</t>
  </si>
  <si>
    <t>16527</t>
  </si>
  <si>
    <t>Наш маленький рай</t>
  </si>
  <si>
    <t>978-5-227-06399-1</t>
  </si>
  <si>
    <t>21548</t>
  </si>
  <si>
    <t>Бибб Д.</t>
  </si>
  <si>
    <t>Наш мир четыре тысячи лет назад. Панорама великого тысячелетия, когда строился Стоунхендж, росла слава Египта, была разграблена Троя, пал Вавилон и разрушен Кносс</t>
  </si>
  <si>
    <t>978-5-9524-6019-5</t>
  </si>
  <si>
    <t>Томас Джеффри Бибб много лет был одним из руководителей ряда экспедиций в районе Персидского залива, исследуя доисторические поселения. В своей книге он показывает все важнейшие события второго тысячелетия до н. э., происшедшие не только в Египте, на Крите, в Малой Азии и Месопотамии, где были высокоразвитые цивилизации, но и на севере Европы, в русских степях и среди торгового люда и моряков. Автор подчеркивает важность повседневной жизни описываемого времени — века торговли и мира. Другая тема книги — натиск диких всадников перенаселенных степей юга нынешней России на земледельцев Европы и на цивилизации Востока.</t>
  </si>
  <si>
    <t>14518</t>
  </si>
  <si>
    <t>Бьянчин Х.</t>
  </si>
  <si>
    <t>Наш райский сад</t>
  </si>
  <si>
    <t>978-5-227-04464-8</t>
  </si>
  <si>
    <t>16666</t>
  </si>
  <si>
    <t>Наш сказочный роман</t>
  </si>
  <si>
    <t>978-5-227-06702-9</t>
  </si>
  <si>
    <t>18448</t>
  </si>
  <si>
    <t>Слонов И.</t>
  </si>
  <si>
    <t>Наш человек за границей. Путешествия крупного коммерсанта с Никольской улицы по Европе, Азии и Америке, описанные им самим</t>
  </si>
  <si>
    <t>978-5-227-07870-4</t>
  </si>
  <si>
    <t>18725</t>
  </si>
  <si>
    <t>Наша лучшая зима</t>
  </si>
  <si>
    <t>978-5-227-08583-2</t>
  </si>
  <si>
    <t>19239</t>
  </si>
  <si>
    <t>Наша новая жизнь</t>
  </si>
  <si>
    <t>978-5-227-09033-1</t>
  </si>
  <si>
    <t>2509</t>
  </si>
  <si>
    <t>М АЛЬМАНАХ</t>
  </si>
  <si>
    <t>Наша фантастика 2001</t>
  </si>
  <si>
    <t>5-227-01248-2</t>
  </si>
  <si>
    <t>2728</t>
  </si>
  <si>
    <t>5-227-01439-6</t>
  </si>
  <si>
    <t>6219</t>
  </si>
  <si>
    <t>Синявский</t>
  </si>
  <si>
    <t>Наша Хрюняша</t>
  </si>
  <si>
    <t>5-9524-1832-5</t>
  </si>
  <si>
    <t>17177</t>
  </si>
  <si>
    <t>Наше маленькое чудо</t>
  </si>
  <si>
    <t>978-5-227-07202-3</t>
  </si>
  <si>
    <t>17559</t>
  </si>
  <si>
    <t>Нашей сказке суждено сбыться</t>
  </si>
  <si>
    <t>978-5-227-07583-3</t>
  </si>
  <si>
    <t>21227</t>
  </si>
  <si>
    <t>Наши за границей. Юмористическое описание поездки супругов Николая Ивановича и Глафиры Семеновны Ивановых в Париж и обратно</t>
  </si>
  <si>
    <t>978-5-227-10735-0</t>
  </si>
  <si>
    <t>Н.А. Лейкин — русский писатель, издатель петербургского юмористического еженедельника «Осколки», в котором под псевдонимом А.Чехонте печатался А.П. Чехов._x000D_
Его книга «Наши за границей» — юмористическое описание поездки купеческой четы Николая Ивановича и Глафиры Семеновны Ивановых в Париж и обратно — выдержала до революции 27 изданий и была в свое время очень любима читателями. С течением времени эта история, полная забавных приключений и веселых недоразумений, стала еще смешнее и актуальнее.</t>
  </si>
  <si>
    <t>20727</t>
  </si>
  <si>
    <t>Наши забавники. Юмористические рассказы</t>
  </si>
  <si>
    <t>978-5-227-10385-7</t>
  </si>
  <si>
    <t>Отмечаемые сатириком-классиком конца XIX — начала XX века Николаем Александровичем Лейкиным людские пороки, добродетели и причуды ничуть не изменились со временем, хотя с тех пор и минуло уже более ста лет. Многие типажи, поднимаемые в его творчестве, все так же актуальны сейчас, как и тогда: раздражающая публика в местах культурного досуга, специфическая публика, откликающаяся на объявления, любители давать непрошеные советы, оказывающие назойливое внимание посторонние, ревнивцы, хвастуны и пьяницы. Тут же и животрепещущая тема эпидемий и способов людей справляться не только с заболеваниями, но и с массовой паникой. Кроме созвучных с современными отражаются в текстах и другие темы, за счет интересных бытовых деталей дающие яркое, живое представление об ушедшей эпохе.</t>
  </si>
  <si>
    <t>19243</t>
  </si>
  <si>
    <t>Не беги от любви</t>
  </si>
  <si>
    <t>978-5-227-09064-5</t>
  </si>
  <si>
    <t>18099</t>
  </si>
  <si>
    <t>Не благодари за любовь</t>
  </si>
  <si>
    <t>978-5-227-08092-9</t>
  </si>
  <si>
    <t>18399</t>
  </si>
  <si>
    <t>Не бойся быть ближе</t>
  </si>
  <si>
    <t>978-5-227-08365-4</t>
  </si>
  <si>
    <t>16869</t>
  </si>
  <si>
    <t>Не бойся быть моей</t>
  </si>
  <si>
    <t>978-5-227-06824-8</t>
  </si>
  <si>
    <t>1806</t>
  </si>
  <si>
    <t>М МП</t>
  </si>
  <si>
    <t>Ботуин</t>
  </si>
  <si>
    <t>Не бойтесь дон жуана</t>
  </si>
  <si>
    <t>5-227-00598-2</t>
  </si>
  <si>
    <t>18165</t>
  </si>
  <si>
    <t>Не будем торопить ночь</t>
  </si>
  <si>
    <t>978-5-227-08136-0</t>
  </si>
  <si>
    <t>20520</t>
  </si>
  <si>
    <t>Не в масть. Зарисовки из жизни людей и собак</t>
  </si>
  <si>
    <t>978-5-227-10233-1</t>
  </si>
  <si>
    <t>Порой людям достается собачья доля, а собакам приходится не легче, чем людям. Главная героиня романа «Не в масть», Катерина Петровна, купеческая дочь, выдана замуж на сосватанного ей чиновника и с первого же дня совместной жизни понимает, что он женился на деньгах. В отчаянии она пытается найти себе лучшей доли, только вот куда ей бежать?_x000D_
Главный герой повести «Записки Полкана», пес Полкан, отлично смог бы понять девушку: он сам сбегает из дома, потому что скупые хозяева не хотят платить за него собачий налог, и впутывается в отношения, от которых страдает, но сделать ничего с этим не может._x000D_
Как и всегда, книга мастера сатиры Н.А. Лейкина наполнена тончайшими наблюдениями за жизнью современного ему общества, смешные строки сменяются грустными и наоборот, он смело обличает окружающие его пороки, высмеивая их.</t>
  </si>
  <si>
    <t>20039</t>
  </si>
  <si>
    <t>Егорова Н.А.</t>
  </si>
  <si>
    <t>Не дать отнять свою мечту</t>
  </si>
  <si>
    <t>978-5-227-09825-2</t>
  </si>
  <si>
    <t>17820</t>
  </si>
  <si>
    <t>Лоренцо Мелинда ди</t>
  </si>
  <si>
    <t>Не доверяй незнакомцу</t>
  </si>
  <si>
    <t>978-5-227-07769-1</t>
  </si>
  <si>
    <t>15670</t>
  </si>
  <si>
    <t>Не забуду никогда</t>
  </si>
  <si>
    <t>978-5-227-05642-9</t>
  </si>
  <si>
    <t>21053</t>
  </si>
  <si>
    <t>Не забывай ее любовь</t>
  </si>
  <si>
    <t>978-5-227-10471-7</t>
  </si>
  <si>
    <t>Конрад Гилберт, талантливый повар, бунтарь и владелец «проклятого» поместья, должен спасти город своего детства от нависших над ним злых чар. И в этом ему поможет Инди Бельмонт, девушка, чей жизненный путь до встречи с Конрадом был не таким уж простым. Чтобы спасти городок от вымирания, Инди и Конраду придется вылечить свои собственные душевные раны. Удастся ли им это?</t>
  </si>
  <si>
    <t>17140</t>
  </si>
  <si>
    <t>Не забывай мою любовь</t>
  </si>
  <si>
    <t>978-5-227-07119-4</t>
  </si>
  <si>
    <t>16882</t>
  </si>
  <si>
    <t>Не заметить своего счастья</t>
  </si>
  <si>
    <t>978-5-227-06826-2</t>
  </si>
  <si>
    <t>10723</t>
  </si>
  <si>
    <t>Доманчук Н.А.</t>
  </si>
  <si>
    <t>Не зови меня дурой</t>
  </si>
  <si>
    <t>978-5-9524-3874-3</t>
  </si>
  <si>
    <t>16582</t>
  </si>
  <si>
    <t>Не лучшее время для знакомства</t>
  </si>
  <si>
    <t>978-5-227-06538-4</t>
  </si>
  <si>
    <t>16883</t>
  </si>
  <si>
    <t>Не называй меня Афродитой</t>
  </si>
  <si>
    <t>978-5-227-06831-6</t>
  </si>
  <si>
    <t>19343</t>
  </si>
  <si>
    <t>Не наше дело</t>
  </si>
  <si>
    <t>978-5-227-08906-9</t>
  </si>
  <si>
    <t>16161</t>
  </si>
  <si>
    <t>Не обязан жениться</t>
  </si>
  <si>
    <t>978-5-227-06140-9</t>
  </si>
  <si>
    <t>17739</t>
  </si>
  <si>
    <t>Не отпускай моей руки</t>
  </si>
  <si>
    <t>978-5-227-07723-3</t>
  </si>
  <si>
    <t>18106</t>
  </si>
  <si>
    <t>Не плачь</t>
  </si>
  <si>
    <t>978-5-227-08204-6</t>
  </si>
  <si>
    <t>16132</t>
  </si>
  <si>
    <t>Лэнг К.</t>
  </si>
  <si>
    <t>Не по сценарию</t>
  </si>
  <si>
    <t>978-5-227-06108-9</t>
  </si>
  <si>
    <t>20988</t>
  </si>
  <si>
    <t>Не поздно влюбиться</t>
  </si>
  <si>
    <t>978-5-227-10461-8</t>
  </si>
  <si>
    <t>Десять лет назад Алисия, дочь священника, и Грасиано, бедный сирота, расстались при трагических обстоятельствах, и он, казалось, навсегда исчез из ее жизни. Все эти десять лет она хранила память о нем, единственном возлюбленном и отце своей дочери._x000D_
А когда они спустя десять лет случайно встретились, Алисия поняла, что любит его так же сильно, как и прежде. Чего нельзя сказать о Грасиано, который отнесся к ней с явным презрением...</t>
  </si>
  <si>
    <t>19380</t>
  </si>
  <si>
    <t>Тютчев Ф.И.</t>
  </si>
  <si>
    <t>Не раз ты слышала признанье…</t>
  </si>
  <si>
    <t>978-5-227-09018-8</t>
  </si>
  <si>
    <t>18342</t>
  </si>
  <si>
    <t>Не смогу жить без тебя</t>
  </si>
  <si>
    <t>978-5-227-08328-9</t>
  </si>
  <si>
    <t>15546</t>
  </si>
  <si>
    <t>Не суждено любить</t>
  </si>
  <si>
    <t>978-5-227-05608-5</t>
  </si>
  <si>
    <t>14312</t>
  </si>
  <si>
    <t>Не та женщина</t>
  </si>
  <si>
    <t>978-5-227-04311-5</t>
  </si>
  <si>
    <t>4460</t>
  </si>
  <si>
    <t>ЛИС</t>
  </si>
  <si>
    <t>Алмазов Б.</t>
  </si>
  <si>
    <t>Не только музыка к словам Мемуары под гитару</t>
  </si>
  <si>
    <t>5-9524-0669-6</t>
  </si>
  <si>
    <t>16614</t>
  </si>
  <si>
    <t>Не тяни тигра за хвост</t>
  </si>
  <si>
    <t>978-5-227-06549-0</t>
  </si>
  <si>
    <t>0163</t>
  </si>
  <si>
    <t>978-5-227-06982-5</t>
  </si>
  <si>
    <t>19101</t>
  </si>
  <si>
    <t>Не убежать от искушения</t>
  </si>
  <si>
    <t>978-5-227-08938-0</t>
  </si>
  <si>
    <t>15365</t>
  </si>
  <si>
    <t>Не уснешь всю ночь</t>
  </si>
  <si>
    <t>978-5-227-05402-9</t>
  </si>
  <si>
    <t>18415</t>
  </si>
  <si>
    <t>Не устоять перед совершенством</t>
  </si>
  <si>
    <t>978-5-227-08363-0</t>
  </si>
  <si>
    <t>17040</t>
  </si>
  <si>
    <t>Не хочу тебя терять</t>
  </si>
  <si>
    <t>978-5-227-07042-5</t>
  </si>
  <si>
    <t>0177</t>
  </si>
  <si>
    <t>Небеса могут подождать</t>
  </si>
  <si>
    <t>978-5-227-06983-2</t>
  </si>
  <si>
    <t>8721</t>
  </si>
  <si>
    <t>Небеса Подождут</t>
  </si>
  <si>
    <t>978-5-9524-2802-7</t>
  </si>
  <si>
    <t>19196</t>
  </si>
  <si>
    <t>Невероятное влечение</t>
  </si>
  <si>
    <t>978-5-227-08561-0</t>
  </si>
  <si>
    <t>17775</t>
  </si>
  <si>
    <t>Фолиянц К.</t>
  </si>
  <si>
    <t>Невеста</t>
  </si>
  <si>
    <t>978-5-227-07802-5</t>
  </si>
  <si>
    <t>15624</t>
  </si>
  <si>
    <t>Невеста авантюриста</t>
  </si>
  <si>
    <t>978-5-227-05493-7</t>
  </si>
  <si>
    <t>19058</t>
  </si>
  <si>
    <t>Невеста бывшего друга</t>
  </si>
  <si>
    <t>978-5-227-08935-9</t>
  </si>
  <si>
    <t>18577</t>
  </si>
  <si>
    <t>Невеста в подарок</t>
  </si>
  <si>
    <t>978-5-227-08440-8</t>
  </si>
  <si>
    <t>16293</t>
  </si>
  <si>
    <t>Невеста для плохого парня</t>
  </si>
  <si>
    <t>978-5-227-06196-6</t>
  </si>
  <si>
    <t>14768</t>
  </si>
  <si>
    <t>Невеста для серцееда</t>
  </si>
  <si>
    <t>978-5-227-04751-9</t>
  </si>
  <si>
    <t>10811</t>
  </si>
  <si>
    <t>Невеста из USA</t>
  </si>
  <si>
    <t>978-5-9524-3886-6</t>
  </si>
  <si>
    <t>20368</t>
  </si>
  <si>
    <t>Невеста к Рождеству</t>
  </si>
  <si>
    <t>978-5-227-10004-7</t>
  </si>
  <si>
    <t>16356</t>
  </si>
  <si>
    <t>Невеста на замену</t>
  </si>
  <si>
    <t>978-5-227-06248-2</t>
  </si>
  <si>
    <t>18586</t>
  </si>
  <si>
    <t>Невеста на пару дней</t>
  </si>
  <si>
    <t>978-5-227-08528-3</t>
  </si>
  <si>
    <t>17694</t>
  </si>
  <si>
    <t>Невеста по контракту</t>
  </si>
  <si>
    <t>978-5-227-07325-9</t>
  </si>
  <si>
    <t>18358</t>
  </si>
  <si>
    <t>Невеста по обмену</t>
  </si>
  <si>
    <t>978-5-227-08330-2</t>
  </si>
  <si>
    <t>17173</t>
  </si>
  <si>
    <t>Невеста с бурным прошлым</t>
  </si>
  <si>
    <t>978-5-227-07226-9</t>
  </si>
  <si>
    <t>18712</t>
  </si>
  <si>
    <t>Невеста с доставкой на дом</t>
  </si>
  <si>
    <t>978-5-227-08576-4</t>
  </si>
  <si>
    <t>19293</t>
  </si>
  <si>
    <t>Невеста-беглянка</t>
  </si>
  <si>
    <t>978-5-227-09058-4</t>
  </si>
  <si>
    <t>7363</t>
  </si>
  <si>
    <t>Невесты и куртизанки</t>
  </si>
  <si>
    <t>5-9524-2413-9</t>
  </si>
  <si>
    <t>21162</t>
  </si>
  <si>
    <t>Уайз Дэвид, Росс Томас</t>
  </si>
  <si>
    <t>Невидимое правительство США. ЦРУ и другие разведывательные службы в годы холодной войны</t>
  </si>
  <si>
    <t>978-5-9524-6141-3</t>
  </si>
  <si>
    <t>Американские журналисты Дэвид Уайз и Томас Росс на обширном фактическом материале раскрывают подробности операций и деятельности невидимого правительства — Центрального разведывательного управления США периода холодной войны. Авторы отмечают, что ЦРУ включает также множество других подразделений и агентств и отдельных лиц, которые внешне кажутся обычными членами обычного правительства. В книге детально рассказывается об истории создания системы разведывательных органов США, их структуре, технической оснащенности и методах работы. Подрывная деятельность против стран Восточной Европы, вторжение на Кубу, разбойничья политика в Бирме, Лаосе, Вьетнаме, Гватемале — неполный список «заслуг» американской разведывательной деятельности. Шантаж и провокации, шпионаж и диверсии, заговоры и военные авантюры, направленные на свержение неугодных правительств, — таковы методы, с помощью которых разведка пытается укрепить позиции США на мировой арене.</t>
  </si>
  <si>
    <t>17118</t>
  </si>
  <si>
    <t>Невинная и роковая</t>
  </si>
  <si>
    <t>978-5-227-07124-8</t>
  </si>
  <si>
    <t>16048</t>
  </si>
  <si>
    <t>Невинная обманщица</t>
  </si>
  <si>
    <t>978-5-227-05975-8</t>
  </si>
  <si>
    <t>16754</t>
  </si>
  <si>
    <t>Невинная обольстительница</t>
  </si>
  <si>
    <t>978-5-227-06740-1</t>
  </si>
  <si>
    <t>15805</t>
  </si>
  <si>
    <t>Невинная соблазнительница</t>
  </si>
  <si>
    <t>978-5-227-05714-3</t>
  </si>
  <si>
    <t>19153</t>
  </si>
  <si>
    <t>Невинное искушение</t>
  </si>
  <si>
    <t>978-5-227-08966-3</t>
  </si>
  <si>
    <t>21061</t>
  </si>
  <si>
    <t>Невинное соблазнение</t>
  </si>
  <si>
    <t>978-5-227-10522-6</t>
  </si>
  <si>
    <t>Милая скромная Роуз — известная скрипачка. Всю свою жизнь она посвятила музыке. Влюбившись в холодного и надменного Лисандроса Дракакиса, она наконец понимает, как многого лишалась, избегая страсти и бурных чувств. Любовь между Роуз и красавцем-греком оказалась взаимной. Но в жизни девушки внезапно происходит трагедия, о которой она не может рассказать возлюбленному.</t>
  </si>
  <si>
    <t>18864</t>
  </si>
  <si>
    <t>Невинные брачные шалости</t>
  </si>
  <si>
    <t>978-5-227-08733-1</t>
  </si>
  <si>
    <t>17519</t>
  </si>
  <si>
    <t>Невозможно расстаться</t>
  </si>
  <si>
    <t>978-5-227-07576-5</t>
  </si>
  <si>
    <t>21706</t>
  </si>
  <si>
    <t>Невский без секретов. Были и небылицы</t>
  </si>
  <si>
    <t>978-5-227-11106-7</t>
  </si>
  <si>
    <t>19165</t>
  </si>
  <si>
    <t>Невский проспект. Главная улица города</t>
  </si>
  <si>
    <t>978-5-227-08842-0</t>
  </si>
  <si>
    <t>20933</t>
  </si>
  <si>
    <t>Невский проспект. История Санкт-Петербурга в фотографиях. Конец XIX — начало ХХ века: Альбом</t>
  </si>
  <si>
    <t>978-5-227-10485-4</t>
  </si>
  <si>
    <t>В альбоме собраны уникальные снимки первых профессионалов российской фотографии, и прежде всего признанного фотолетописца Петербурга Карла Буллы, которые поведали миру о великой судьбе Северной столицы, запечатлев на века кадры истории главной ее улицы — Невского проспекта._x000D__x000D_
«Портреты» памятников скульптуры и архитектуры, зданий банков и торговых учреждений, доходных домов, различные виды городского транспорта, вывески, придающие неповторимый колорит облику городских улиц, а также официальная фотохроника и сценки бытового характера — словом, вся история этой удивительной улицы предстанет перед глазами читателей в фотокартинах ушедшей эпохи.</t>
  </si>
  <si>
    <t>20117</t>
  </si>
  <si>
    <t>Андреева Ю.И.</t>
  </si>
  <si>
    <t>Невский! Главный проспект Российской империи. Занимательный экскурс в историю Северной Пальмиры</t>
  </si>
  <si>
    <t>978-5-227-09790-3</t>
  </si>
  <si>
    <t>19383</t>
  </si>
  <si>
    <t>Невыраженная любовь</t>
  </si>
  <si>
    <t>978-5-227-09085-0</t>
  </si>
  <si>
    <t>0157</t>
  </si>
  <si>
    <t>Негде спрятаться золотым рыбкам</t>
  </si>
  <si>
    <t>978-5-227-06984-9</t>
  </si>
  <si>
    <t>21883</t>
  </si>
  <si>
    <t>Корнуэлл Б.</t>
  </si>
  <si>
    <t>Негодяй</t>
  </si>
  <si>
    <t>978-5-9524-6538-1</t>
  </si>
  <si>
    <t>Пол Шэннен — известный торговец оружием и некогда подозреваемый агент ЦРУ — настоящий негодяй. Но он идеален в случае необходимости провести незаконную операцию и сделать это качественно. Поэтому, когда контрабандное золото на пять миллионов долларов понадобилось без лишних вопросов доставить из Марокко в Майами, он — самая подходящая кандидатура. Только на этот раз у Пола другие планы — он хочет воспользоваться этими деньгами в личных целях. Учитывая, что секретные службы крупных держав мира, не говоря уже об одной опасной террористической организации, также охотятся за золотом, Полу придется очень постараться, чтобы остаться живым и при сокровище...</t>
  </si>
  <si>
    <t>7147</t>
  </si>
  <si>
    <t>Ансворт</t>
  </si>
  <si>
    <t>Нежданная невеста</t>
  </si>
  <si>
    <t>5-9524-2250-0</t>
  </si>
  <si>
    <t>18764</t>
  </si>
  <si>
    <t>Нежная охота на ведьму</t>
  </si>
  <si>
    <t>978-5-227-08722-5</t>
  </si>
  <si>
    <t>18908</t>
  </si>
  <si>
    <t>Нежная прихоть плейбоя</t>
  </si>
  <si>
    <t>978-5-227-08773-7</t>
  </si>
  <si>
    <t>19818</t>
  </si>
  <si>
    <t>Нежное доказательство чувств</t>
  </si>
  <si>
    <t>978-5-227-09422-3</t>
  </si>
  <si>
    <t>20313</t>
  </si>
  <si>
    <t>Нежное свидание в Италии</t>
  </si>
  <si>
    <t>978-5-227-09944-0</t>
  </si>
  <si>
    <t>17350</t>
  </si>
  <si>
    <t>Нежность твоих объятий</t>
  </si>
  <si>
    <t>978-5-227-07314-3</t>
  </si>
  <si>
    <t>21520</t>
  </si>
  <si>
    <t>Нежные страсти в российской истории. Любовные треугольники, романтические приключения, бурные романы, счастливые встречи и мрачные трагедии</t>
  </si>
  <si>
    <t>978-5-227-10989-7</t>
  </si>
  <si>
    <t>В продолжение полюбившейся читателям темы любовных страстей автор предлагает вторую книгу по этой же тематике. И если в первую вошли только петербургские истории, то география второй покрывает большую площадь — Россию. История — это не только войны и завоевания, великие географические открытия и природные бедствия. Через все события прошлого проходят яркие хроники любви: взаимной и безответной, счастливой и трагичной. Герои этой книги — люди самых разных занятий, сословий, интеллектуального уровня и материального достатка. А связанные с ними истории, собранные под одной обложкой, объединяет одно: в них непременно присутствуют любовный треугольник, безудержные страсти и, как результат, — красивый финал либо, наоборот, мрачная трагедия. Вы узнаете, какие страсти кипели в царском доме Романовых, прочтете о неукротимой сексуальности и бесконечных любовных похождениях первого российского императора. Вас ждут безрассудные поступки во имя любви, роковые ошибки, муки ревности и жестокие убийства неверных партнеров. Среди героев этого повествования — поэт Гавриил Державин и литературный критик Виссарион Белинский, шеф жандармов Александр Бенкендорф и полярный исследователь Георгий Седов, полководец Михаил Кутузов и художник Константин Маковский и многие другие… История каждого из них достойна отдельного любовного романа.</t>
  </si>
  <si>
    <t>20954</t>
  </si>
  <si>
    <t>Нежный вечер в Исландии</t>
  </si>
  <si>
    <t>978-5-227-10458-8</t>
  </si>
  <si>
    <t>Винтер и Джош, звездная супружеская чета и любимцы публики, расстались к разочарованию поклонников, но остались в центре внимания блогеров и прессы. По приглашению их близкого друга Лиама, владельца фешенебельного спа-отеля, оба приезжают в Исландию на открытие курорта, не ведая о встрече. Прошло пять лет после развода, но магия любви снова захватила их...</t>
  </si>
  <si>
    <t>7254</t>
  </si>
  <si>
    <t>Уинспир</t>
  </si>
  <si>
    <t>Нежный тиран</t>
  </si>
  <si>
    <t>5-9524-2326-4</t>
  </si>
  <si>
    <t>17542</t>
  </si>
  <si>
    <t>Нежный шантаж</t>
  </si>
  <si>
    <t>978-5-227-07580-2</t>
  </si>
  <si>
    <t>19341</t>
  </si>
  <si>
    <t>Незабываемая ночь</t>
  </si>
  <si>
    <t>978-5-227-09095-9</t>
  </si>
  <si>
    <t>16049</t>
  </si>
  <si>
    <t>Незабываемое лето</t>
  </si>
  <si>
    <t>978-5-227-05976-5</t>
  </si>
  <si>
    <t>18869</t>
  </si>
  <si>
    <t>Незабываемое примирение</t>
  </si>
  <si>
    <t>978-5-227-08729-4</t>
  </si>
  <si>
    <t>19423</t>
  </si>
  <si>
    <t>Незабываемый летний роман</t>
  </si>
  <si>
    <t>978-5-227-09111-6</t>
  </si>
  <si>
    <t>14934</t>
  </si>
  <si>
    <t>Незавершенные дела</t>
  </si>
  <si>
    <t>978-5-227-04759-5</t>
  </si>
  <si>
    <t>20446</t>
  </si>
  <si>
    <t>Авалов З.Д.</t>
  </si>
  <si>
    <t>Независимость Грузии в международной политике 1918–1921 гг. Воспоминания главного советника по иностранной политике</t>
  </si>
  <si>
    <t>978-5-227-10155-6</t>
  </si>
  <si>
    <t>Выдающийся грузинский историк, дипломат и политический деятель князь Зураб Давидович Авалов (Авалишвили) в своей книге изложил историю независимой Грузинской Демократической Республики, оказавшейся в 1918 г. на распутье между Западом и Советской Россией. Автор, непосредственный участник событий эпохи, отобразил процесс «самоустроения молодой жизнеспособной демократии» и зарождения независимого грузинского государства, отметив, что в этот период страна была близка к международному признанию своей независимости, а также описал крушение в 1921 г. института представительной демократии Грузии под натиском советской политики и вхождение Грузии в состав СССР.</t>
  </si>
  <si>
    <t>16214</t>
  </si>
  <si>
    <t>Незапланированное счастье</t>
  </si>
  <si>
    <t>978-5-227-06146-1</t>
  </si>
  <si>
    <t>7689</t>
  </si>
  <si>
    <t>Неземная девочка</t>
  </si>
  <si>
    <t>978-5-9524-2606-1</t>
  </si>
  <si>
    <t>18826</t>
  </si>
  <si>
    <t>Незнакомка в роли жены</t>
  </si>
  <si>
    <t>978-5-227-08696-9</t>
  </si>
  <si>
    <t>21205</t>
  </si>
  <si>
    <t>Незнакомка в спальне шейха</t>
  </si>
  <si>
    <t>978-5-227-09684-5</t>
  </si>
  <si>
    <t>Заказывая ковер в подарок любимой тете, шейх Рэйф ибн Ансар даже представить себе не мог, что внутри свертка его будет ждать сюрприз — беглянка из соседней страны. Проникшись историей Тары Майклз, он готов приютить ее в своем дворце и защитить от преследователей. Но кто защитит его сердце, в котором внезапно начали зарождаться чувства к непокорной красавице?</t>
  </si>
  <si>
    <t>17144</t>
  </si>
  <si>
    <t>Ханней Б.</t>
  </si>
  <si>
    <t>Незнакомый муж</t>
  </si>
  <si>
    <t>978-5-227-07142-2</t>
  </si>
  <si>
    <t>19881</t>
  </si>
  <si>
    <t>Неизбежное искушение</t>
  </si>
  <si>
    <t>978-5-227-09441-4</t>
  </si>
  <si>
    <t>18461</t>
  </si>
  <si>
    <t>Неизведанные наслаждения</t>
  </si>
  <si>
    <t>978-5-227-08388-3</t>
  </si>
  <si>
    <t>14566</t>
  </si>
  <si>
    <t>Неизведанный рай</t>
  </si>
  <si>
    <t>978-5-227-04515-7</t>
  </si>
  <si>
    <t>21387</t>
  </si>
  <si>
    <t>Юн Ч..,Холлидей Д</t>
  </si>
  <si>
    <t>Неизвестный Мао</t>
  </si>
  <si>
    <t>978-5-9524-6294-6</t>
  </si>
  <si>
    <t>Книга «Неизвестный Мао» Джона Холлидея и Юн Чжан вошла в число мировых бестселлеров. Она беспрецедентна как по объему использованных источников, так и по числу исторических открытий. Документальную основу составили материалы архивов Тайваня, США, Японии, России и ряда других стран. Авторам удалось получить доступ к архивам Китайской Народной Республики, несмотря на то что официальный Пекин не приветствовал создание неподцензурной биографии Мао. Книга, запрещенная в Китае, открыла мировой общественности личностный феномен коммунистического тирана.</t>
  </si>
  <si>
    <t>16998</t>
  </si>
  <si>
    <t>Неистовый соблазнитель</t>
  </si>
  <si>
    <t>978-5-227-07044-9</t>
  </si>
  <si>
    <t>17759</t>
  </si>
  <si>
    <t>Нейтральные миры</t>
  </si>
  <si>
    <t>978-5-227-07345-7</t>
  </si>
  <si>
    <t>3078</t>
  </si>
  <si>
    <t>ГФ</t>
  </si>
  <si>
    <t>Янковский Д.</t>
  </si>
  <si>
    <t>Нелинейная зависимость</t>
  </si>
  <si>
    <t>5-227-01651-8</t>
  </si>
  <si>
    <t>5579</t>
  </si>
  <si>
    <t>Немецкая овчарка</t>
  </si>
  <si>
    <t>5-9524-1560-1</t>
  </si>
  <si>
    <t>16943</t>
  </si>
  <si>
    <t>Неринг В</t>
  </si>
  <si>
    <t>Немецкие бронетанковые войска</t>
  </si>
  <si>
    <t>978-5-9524-5204-6</t>
  </si>
  <si>
    <t>20975</t>
  </si>
  <si>
    <t>УУС</t>
  </si>
  <si>
    <t>Богданов А.В.</t>
  </si>
  <si>
    <t>Немецкий язык. 30 уроков. От нуля до совершенства</t>
  </si>
  <si>
    <t>978-5-227-10263-8</t>
  </si>
  <si>
    <t>А.В. Богданов, автор нескольких учебников и научных книг, в результате многолетней практики преподавания разработал безотказную систему обучения, успешно применяемую им с 1993 года. Следуя ей, вы сможете уверенно говорить на немецком языке всего лишь за 30 уроков.</t>
  </si>
  <si>
    <t>20479</t>
  </si>
  <si>
    <t>Неминуемая страсть</t>
  </si>
  <si>
    <t>978-5-227-10143-3</t>
  </si>
  <si>
    <t>Когда после долгой и опасной служебной командировки Терстон Макрой возвращается домой и обнаруживает, что его жена уехала, он бросается на ее поиски. Обстоятельства на грани жизни и смерти подвергнут их любовь испытанию, которое поможет осознать глубину их любви и преодолеть кризис в отношениях.</t>
  </si>
  <si>
    <t>18910</t>
  </si>
  <si>
    <t>Неминуемое соблазнение</t>
  </si>
  <si>
    <t>978-5-227-08778-2</t>
  </si>
  <si>
    <t>15678</t>
  </si>
  <si>
    <t>Немного волшебства</t>
  </si>
  <si>
    <t>978-5-227-05644-3</t>
  </si>
  <si>
    <t>19195</t>
  </si>
  <si>
    <t>Необъяснимое притяжение</t>
  </si>
  <si>
    <t>978-5-227-09037-9</t>
  </si>
  <si>
    <t>5695</t>
  </si>
  <si>
    <t>Льюти</t>
  </si>
  <si>
    <t>Необыкновенная помолвка</t>
  </si>
  <si>
    <t>5-9524-1637-3</t>
  </si>
  <si>
    <t>20421</t>
  </si>
  <si>
    <t>Линдси Д.Э.</t>
  </si>
  <si>
    <t>Необычная прелюдия к свадьбе</t>
  </si>
  <si>
    <t>978-5-227-10025-2</t>
  </si>
  <si>
    <t>Линди изо всех сил боролась с убийцей и спасла себя и своего малыша. Но ей по-прежнему угрожает опасность, тем более что живет она с маленьким сынишкой в одиноко стоящем доме. Но мир не без добрых людей, и судьба посылает ей такого человека, к тому же молодого, сильного и, в виде бонуса, красивого. Кейд Лэнс — бывший военный, проникается глубокой симпатией и нежностью к отважной маленькой женщине и ее сынишке и дает себе слово защитить их любой ценой…</t>
  </si>
  <si>
    <t>19419</t>
  </si>
  <si>
    <t>Неожиданное влечение</t>
  </si>
  <si>
    <t>978-5-227-09109-3</t>
  </si>
  <si>
    <t>16215</t>
  </si>
  <si>
    <t>Неожиданное возвращение</t>
  </si>
  <si>
    <t>978-5-227-06150-8</t>
  </si>
  <si>
    <t>19557</t>
  </si>
  <si>
    <t>Неожиданное замужество</t>
  </si>
  <si>
    <t>978-5-227-09181-9</t>
  </si>
  <si>
    <t>18018</t>
  </si>
  <si>
    <t>Неожиданное признание</t>
  </si>
  <si>
    <t>978-5-227-08112-4</t>
  </si>
  <si>
    <t>19089</t>
  </si>
  <si>
    <t>Неожиданный брак</t>
  </si>
  <si>
    <t>978-5-227-08937-3</t>
  </si>
  <si>
    <t>16224</t>
  </si>
  <si>
    <t>Неожиданный медовый месяц</t>
  </si>
  <si>
    <t>978-5-227-06240-6</t>
  </si>
  <si>
    <t>17115</t>
  </si>
  <si>
    <t>Неотразимый грубиян</t>
  </si>
  <si>
    <t>978-5-227-07074-6</t>
  </si>
  <si>
    <t>16724</t>
  </si>
  <si>
    <t>Неотразимый детектив</t>
  </si>
  <si>
    <t>978-5-227-06754-8</t>
  </si>
  <si>
    <t>17661</t>
  </si>
  <si>
    <t>Неотразимый принц</t>
  </si>
  <si>
    <t>978-5-227-07629-8</t>
  </si>
  <si>
    <t>20524</t>
  </si>
  <si>
    <t>Варенников В.И.</t>
  </si>
  <si>
    <t>Неповторимое. Т.1. О мире и войне. Парад Победы. Жизнь без войны</t>
  </si>
  <si>
    <t>978-5-227-07926-8</t>
  </si>
  <si>
    <t>Воспоминания выдающегося военачальника и общественного деятеля, Героя Советского Союза генерала армии Валентина Ивановича Варенникова «Неповторимое» впервые были опубликованы в 2001—2002 годах. _x000D_
В настоящее трехтомное издание вошли все одиннадцать частей воспоминаний, представляющих большой интерес как для специалистов-историков, так и для самого широкого круга читателей._x000D_
Первый том включает рассказ о начале жизненного пути автора, в 18 лет ставшего защитником Родины, о Великой Отечественной войне и Параде Победы, о сложных условиях перехода армии к мирной жизни, службе в Группе Советских оккупационных войск в Германии, в Заполярье.</t>
  </si>
  <si>
    <t>20552</t>
  </si>
  <si>
    <t>Неповторимое. Т.2. Генштаб Вооруженных Сил. Афганистан. Чернобыль</t>
  </si>
  <si>
    <t>978-5-227-07927-5</t>
  </si>
  <si>
    <t>Воспоминания выдающегося военачальника и общественного деятеля, Героя Советского Союза генерала армии Валентина Ивановича Варенникова «Неповторимое» впервые были опубликованы в 2001—2002 годах. _x000D_
В настоящее трехтомное издание вошли все одиннадцать частей воспоминаний, представляющих большой интерес как для специалистов-историков, так и для самого широкого круга читателей._x000D_
Во второй том включены воспоминания о службе в Группе Советских войск в Германии (ГСВГ), Прикарпатском военном округе, Генеральном штабе Вооруженных Сил, Афганистане, об участии в ликвидации последствий аварии на Чернобыльской АЭС.</t>
  </si>
  <si>
    <t>20616</t>
  </si>
  <si>
    <t>Неповторимое. Т.3. Трагедия отечества: 1995 - 2000. Уроки и выводы</t>
  </si>
  <si>
    <t>978-5-227-07928-2</t>
  </si>
  <si>
    <t>Воспоминания выдающегося военачальника и общественного деятеля, Героя Советского Союза генерала армии Валентина Ивановича Варенникова «Неповторимое» впервые были опубликованы в 2001—2002 годах. _x000D_
В настоящее трехтомное издание вошли все одиннадцать частей воспоминаний, представляющих большой интерес как для специалистов-историков, так и для самого широкого круга читателей._x000D_
В третьем томе рассказывается о службе автора в качестве Главнокомандующего Сухопутными войсками, о предельном социально-политическом напряжении в стране, о кровавых событиях на Кавказе и в Прибалтике, о ГКЧП, аресте и оправдательном приговоре. Автор рассуждает об основных причинах катастрофы нашего общества, делится воспоминаниями о работе в Государственной думе, затрагивает проблемы смены власти в Российской Федерации.</t>
  </si>
  <si>
    <t>21800</t>
  </si>
  <si>
    <t>Неповторимый стиль. Как французы придумали высокую моду, кухню для гурманов, шикарные кафе, утонченный стиль и гламур</t>
  </si>
  <si>
    <t>978-5-9524-6436-0</t>
  </si>
  <si>
    <t>Во все времена люди ценили красивую одежду, изысканные украшения и предметы обихода, однако в эпоху Людовика XIV любовь к внешней красоте достигла своего апогея. Король-солнце, обладавший великолепным вкусом и непревзойденным чувством стиля, совершил модную революцию, пристрастив своих подданных к эффектным нарядам и прическам, грандиозным пиршествам и увеселениям, поставив тем самым на поток производство предметов роскоши. К концу XVII века Париж превратился в мировую столицу элегантности и стиля, французские кутюрье, куаферы, ювелиры и повара стали законодателями мод, а игристое вино — незаменимым атрибутом праздника._x000D_
Эта книга о том, как французы изобрели высокую моду, утонченную кухню, шампанское, шикарные кафе и ночную жизнь в сиянии огней — все, что составляет квинтэссенцию стиля, его суть и притягательную силу.</t>
  </si>
  <si>
    <t>15826</t>
  </si>
  <si>
    <t>Непокорная жена</t>
  </si>
  <si>
    <t>978-5-227-05715-0</t>
  </si>
  <si>
    <t>20119</t>
  </si>
  <si>
    <t>Непокорный холостяк</t>
  </si>
  <si>
    <t>978-5-227-09601-2</t>
  </si>
  <si>
    <t>17879</t>
  </si>
  <si>
    <t>Михеев В.</t>
  </si>
  <si>
    <t>Неправильный демон</t>
  </si>
  <si>
    <t>978-5-227-08003-5</t>
  </si>
  <si>
    <t>16859</t>
  </si>
  <si>
    <t>Непреодолимое влечение</t>
  </si>
  <si>
    <t>978-5-227-06821-7</t>
  </si>
  <si>
    <t>17780</t>
  </si>
  <si>
    <t>Шепилов Д.Т.</t>
  </si>
  <si>
    <t>Непримкнувший. Воспоминания</t>
  </si>
  <si>
    <t>978-5-227-07518-5</t>
  </si>
  <si>
    <t>18429</t>
  </si>
  <si>
    <t>Неразгаданное искушение</t>
  </si>
  <si>
    <t>978-5-227-08392-0</t>
  </si>
  <si>
    <t>7171</t>
  </si>
  <si>
    <t>Нервные заболевания детей и подростков</t>
  </si>
  <si>
    <t>5-9524-2226-8</t>
  </si>
  <si>
    <t>21795</t>
  </si>
  <si>
    <t>Нерон. Владыка земного ада</t>
  </si>
  <si>
    <t>978-5-9524-6445-2</t>
  </si>
  <si>
    <t>Майкл Грант предлагает оригинальную версию жизни Нерона, сотканную из взаимоисключающих противоречий. Грант использует не только свидетельства великих историков древности, но и достижения современной научной мысли. В книге воссозданы реалии политики, экономики и роскошного быта имперского Рима.</t>
  </si>
  <si>
    <t>20931</t>
  </si>
  <si>
    <t>Нерон. Император Рима</t>
  </si>
  <si>
    <t>978-5-9524-6052-2</t>
  </si>
  <si>
    <t>Английский историк Артур Вейгалл прослеживает жизненный путь самого одиозного и вместе с тем неординарного правителя Античности, в котором удивительным образом сочетались жестокость и артистизм, деспотизм и стремление к справедливости, страсть к спортивным состязаниям и любовь к искусству. Автор не просто фиксирует события жизни Нерона от рождения до последних дней, а создает увлекательное, насыщенное деталями повествование, передающее дух эпохи.</t>
  </si>
  <si>
    <t>21473</t>
  </si>
  <si>
    <t>Соколов А.Р</t>
  </si>
  <si>
    <t>Нерусские русские. История служения России. Иноземные представители семьи Романовых</t>
  </si>
  <si>
    <t>978-5-227-09893-1</t>
  </si>
  <si>
    <t>Быть представителем царской семьи — огромная ответственность. И без всякой натяжки можно сказать, что Романовы были великими тружениками. Острое чувство долга являлось общим практически для всех Романовых. Каждый из них знал, что высокое происхождение не только гарантирует ему материальное благосостояние, но и накладывает серьезные обязанности._x000D_
Среди биографий членов этой семьи преобладают не жизнеописания легкомысленных жуиров, а истории служения стране — на государственном поприще, на полях сражений, на ниве благотворительности... Именно о служении Романовых России, служении вопреки собственным страстям и рассказывается в книге._x000D_
Начинается она не с основателя династии Михаила Федоровича, а с его внука Петра I. Такой подход объясняется спецификой задачи, поставленной автором. Речь идет не о том, чтобы поведать о политических и частных тайнах семейства. Тайны Романовых будут рассматриваться постольку, поскольку будут работать на главный замысел книги, заключающийся в том, чтобы разрушить расхожий миф о чуждости Царского дома стране, которой он правил. В основе этого мифа лежат рассуждения о преобладании в крови представителей правящей династии иноземной крови над русской.</t>
  </si>
  <si>
    <t>14733</t>
  </si>
  <si>
    <t>Несерьезные намерения</t>
  </si>
  <si>
    <t>978-5-227-04712-0</t>
  </si>
  <si>
    <t>13809</t>
  </si>
  <si>
    <t>Камерон С.</t>
  </si>
  <si>
    <t>Несколько дней в аду</t>
  </si>
  <si>
    <t>978-5-227-03822-7</t>
  </si>
  <si>
    <t>20241</t>
  </si>
  <si>
    <t>Федюшин О.С.</t>
  </si>
  <si>
    <t>Несостоявшаяся Украинская Держава. План германского генерального штаба по аннексии юга России</t>
  </si>
  <si>
    <t>978-5-9524-5788-1</t>
  </si>
  <si>
    <t>17588</t>
  </si>
  <si>
    <t>Неспящие в Чикаго</t>
  </si>
  <si>
    <t>978-5-227-07619-9</t>
  </si>
  <si>
    <t>15857</t>
  </si>
  <si>
    <t>Несчастливый брак</t>
  </si>
  <si>
    <t>978-5-227-05813-3</t>
  </si>
  <si>
    <t>20341</t>
  </si>
  <si>
    <t>Шрейбер Е.М.</t>
  </si>
  <si>
    <t>Нет ни рая, ни ада</t>
  </si>
  <si>
    <t>978-5-227-09748-4</t>
  </si>
  <si>
    <t>18995</t>
  </si>
  <si>
    <t>Нет ничего невозможного</t>
  </si>
  <si>
    <t>978-5-227-08887-1</t>
  </si>
  <si>
    <t>0152</t>
  </si>
  <si>
    <t>Нет орхидей для мисс Блэндиш</t>
  </si>
  <si>
    <t>978-5-227-06985-6</t>
  </si>
  <si>
    <t>15551</t>
  </si>
  <si>
    <t>Неугомонное зло</t>
  </si>
  <si>
    <t>978-5-227-05461-6</t>
  </si>
  <si>
    <t>17204</t>
  </si>
  <si>
    <t>978-5-227-07151-4</t>
  </si>
  <si>
    <t>17693</t>
  </si>
  <si>
    <t>Неудержимое влечение</t>
  </si>
  <si>
    <t>978-5-227-07715-8</t>
  </si>
  <si>
    <t>18000</t>
  </si>
  <si>
    <t>Неузнанная невеста</t>
  </si>
  <si>
    <t>978-5-227-08021-9</t>
  </si>
  <si>
    <t>16747</t>
  </si>
  <si>
    <t>Неукротимая пленница</t>
  </si>
  <si>
    <t>978-5-227-06737-1</t>
  </si>
  <si>
    <t>18832</t>
  </si>
  <si>
    <t>Неукротимый ловелас</t>
  </si>
  <si>
    <t>978-5-227-08697-6</t>
  </si>
  <si>
    <t>18626</t>
  </si>
  <si>
    <t>Неуловимое совершенство</t>
  </si>
  <si>
    <t>978-5-227-08510-8</t>
  </si>
  <si>
    <t>14500</t>
  </si>
  <si>
    <t>Тейт Н.</t>
  </si>
  <si>
    <t>Неуместное влечение</t>
  </si>
  <si>
    <t>978-5-227-04462-4</t>
  </si>
  <si>
    <t>9034</t>
  </si>
  <si>
    <t>Неумышленное ограбление</t>
  </si>
  <si>
    <t>978-5-9524-3176-8</t>
  </si>
  <si>
    <t>20302</t>
  </si>
  <si>
    <t>Неунывающие россияне. Рассказы и картинки с натуры</t>
  </si>
  <si>
    <t>978-5-227-09981-5</t>
  </si>
  <si>
    <t>21390</t>
  </si>
  <si>
    <t>Уэллс Э</t>
  </si>
  <si>
    <t>Нефертити. Повелительница Двух Земель</t>
  </si>
  <si>
    <t>978-5-9524-6304-2</t>
  </si>
  <si>
    <t>Эта книга — всесторонний рассказ о царице Египта, жившей во втором тысячелетии до н. э., верной последовательнице новой религии и вдохновительнице искусства Нового царства. Зримо и ярко повествуется о деятельности фараона-реформатора Эхнатона и всех аспектах общественной жизни того времени. Немало интересного читатели узнают о секретах обольщения, известных египетским красавицам, религиозных обрядах, тайнах дипломатии и дворцовых интригах.</t>
  </si>
  <si>
    <t>17894</t>
  </si>
  <si>
    <t>Неформат с Михаилом Задорновым</t>
  </si>
  <si>
    <t>978-5-227-07979-4</t>
  </si>
  <si>
    <t>18653</t>
  </si>
  <si>
    <t>Семенова Н.Н.</t>
  </si>
  <si>
    <t>Нечаянный роман</t>
  </si>
  <si>
    <t>978-5-227-08650-1</t>
  </si>
  <si>
    <t>17957</t>
  </si>
  <si>
    <t>Ни дня без тебя</t>
  </si>
  <si>
    <t>978-5-227-08016-5</t>
  </si>
  <si>
    <t>18727</t>
  </si>
  <si>
    <t>Лахири Д.</t>
  </si>
  <si>
    <t>Низина</t>
  </si>
  <si>
    <t>978-5-227-08686-0</t>
  </si>
  <si>
    <t>15767</t>
  </si>
  <si>
    <t>978-5-227-05671-9</t>
  </si>
  <si>
    <t>16774</t>
  </si>
  <si>
    <t>Никаких запретов</t>
  </si>
  <si>
    <t>978-5-227-06742-5</t>
  </si>
  <si>
    <t>16456</t>
  </si>
  <si>
    <t>Робертс Э.</t>
  </si>
  <si>
    <t>Никаких иллюзий</t>
  </si>
  <si>
    <t>978-5-227-06293-2</t>
  </si>
  <si>
    <t>14932</t>
  </si>
  <si>
    <t>Никогда не сдавайся</t>
  </si>
  <si>
    <t>978-5-227-04873-8</t>
  </si>
  <si>
    <t>8692</t>
  </si>
  <si>
    <t>978-5-9524-2666-5</t>
  </si>
  <si>
    <t>16638</t>
  </si>
  <si>
    <t>БПС Т</t>
  </si>
  <si>
    <t>Николай Чудотворец. Архиепископ Мир Ликийских</t>
  </si>
  <si>
    <t>978-5-227-06473-8</t>
  </si>
  <si>
    <t>21537</t>
  </si>
  <si>
    <t>Николай Чудотворец. Всемогущий святой. Великий спаситель и заступник</t>
  </si>
  <si>
    <t>978-5-227-10996-5</t>
  </si>
  <si>
    <t>У каждого народа есть особо почитаемые святые. В христианской вере святой Николай – один из самых любимых. В народных преданиях он считается первым после Бога и Богоматери… С древнейших времен Николай Чудотворец почитался на Руси как небесный покровитель верховной власти. Мало кто знает, что именно Николай Чудотворец, помощник в бедах и несчастьях тем, кто горячо молился ему о помощи, воистину народный святой, является прототипом доброго Деда Мороза!_x000D_
У него много имен: его называют святитель Николай, святой Николай, Николай Угодник или Николай Чудотворец… Еще при жизни он прославился как защитник осужденных невинно, примиритель враждующих, избавитель от напрасной смерти. Обращаются за помощью к святителю Николаю в самых разных случаях: он считается покровителем мореплавателей и путешествующих; ему молятся о благополучном замужестве дочерей; об избавлении от голода… Нет ничего невозможного для этого всемогущего святого! Каждый, кто обладает истинной верой и молит о Чуде, будет услышан и окормлён им, главное, чтобы вера была крепкой, а помыслы чистыми.</t>
  </si>
  <si>
    <t>18369</t>
  </si>
  <si>
    <t>Никольская, улица известная всему миру</t>
  </si>
  <si>
    <t>978-5-227-07869-8</t>
  </si>
  <si>
    <t>17246</t>
  </si>
  <si>
    <t>Уэй М.</t>
  </si>
  <si>
    <t>Никто тебя не заменит</t>
  </si>
  <si>
    <t>978-5-227-07211-5</t>
  </si>
  <si>
    <t>20234</t>
  </si>
  <si>
    <t>Морэ А.</t>
  </si>
  <si>
    <t>Нил и египетская цивилизация</t>
  </si>
  <si>
    <t>978-5-9524-5725-6</t>
  </si>
  <si>
    <t>10301</t>
  </si>
  <si>
    <t>Ниндзя, специальное назначение</t>
  </si>
  <si>
    <t>978-5-9524-3460-8</t>
  </si>
  <si>
    <t>19294</t>
  </si>
  <si>
    <t>Новая жизнь Грейс</t>
  </si>
  <si>
    <t>978-5-227-09096-6</t>
  </si>
  <si>
    <t>10700</t>
  </si>
  <si>
    <t>Новая жизнь Милы</t>
  </si>
  <si>
    <t>978-5-9524-3864-4</t>
  </si>
  <si>
    <t>6174</t>
  </si>
  <si>
    <t>РИ+</t>
  </si>
  <si>
    <t>Габбер Х.</t>
  </si>
  <si>
    <t>Новая методика обольщения</t>
  </si>
  <si>
    <t>5-9524-1938-0</t>
  </si>
  <si>
    <t>полутв.</t>
  </si>
  <si>
    <t>16174</t>
  </si>
  <si>
    <t>Тэффи Н., Черный С, Аверченко А.</t>
  </si>
  <si>
    <t>Новейший самоучитель рекламы</t>
  </si>
  <si>
    <t>978-5-227-05743-3</t>
  </si>
  <si>
    <t>17306</t>
  </si>
  <si>
    <t>Новик</t>
  </si>
  <si>
    <t>978-5-227-07350-1</t>
  </si>
  <si>
    <t>21096</t>
  </si>
  <si>
    <t>Кипнис С.Е.</t>
  </si>
  <si>
    <t>Новодевичий мемориал. Некрополь монастыря и кладбища</t>
  </si>
  <si>
    <t>978-5-227-10599-8</t>
  </si>
  <si>
    <t>Автор этого монументального труда, Соломон Ефимович Кипнис, потратил десятилетия на изыскания, чтобы составить наиболее подробный некрополь — свод о захоронениях Новодевичьего монастыря и кладбища. К сожалению, в книгу не вошли самые новые захоронения, но даже дополненные и доработанные материалы издания 1998 года представляют значительную ценность и дают возможность ознакомиться с огромным объемом информации. Книга снабжена удобным поисковым аппаратом: планом участков, именным указателем похороненных и скульпторов.</t>
  </si>
  <si>
    <t>12177</t>
  </si>
  <si>
    <t>ВОЙНЫ</t>
  </si>
  <si>
    <t>Новое королевство</t>
  </si>
  <si>
    <t>978-5-227-02350-6</t>
  </si>
  <si>
    <t>16648</t>
  </si>
  <si>
    <t>Новый знакомый</t>
  </si>
  <si>
    <t>978-5-227-06712-8</t>
  </si>
  <si>
    <t>17101</t>
  </si>
  <si>
    <t>Новый муж для Рейни</t>
  </si>
  <si>
    <t>978-5-227-07145-3</t>
  </si>
  <si>
    <t>19043</t>
  </si>
  <si>
    <t>Вагнер В.</t>
  </si>
  <si>
    <t>Норвежские, кельтские и тевтонские легенды</t>
  </si>
  <si>
    <t>978-5-9524-5396-8</t>
  </si>
  <si>
    <t>21356</t>
  </si>
  <si>
    <t>Леони Э.</t>
  </si>
  <si>
    <t>Нострадамус и его пророчества. Полное жизнеописание великого предсказателя и астролога</t>
  </si>
  <si>
    <t>978-5-9524-6241-0</t>
  </si>
  <si>
    <t>Известный американский нострадамовед Эдгар Леони собрал в свою книгу наибольшее количество пророчеств великого французского астролога, прокомментировав не только все катрены и творчество Нострадамуса в целом, но и толкования горячих сторонников и критиков пророка разных эпох. Автор не ставит перед собой цель прославить или разоблачить предсказателя, он просто приводит примеры как явно удачных, так и несбывшихся пророчеств. Не меньший интерес представляет наиболее подробная биография Мишеля Нострадамуса.</t>
  </si>
  <si>
    <t>18465</t>
  </si>
  <si>
    <t>Ночная тень</t>
  </si>
  <si>
    <t>978-5-227-08430-9</t>
  </si>
  <si>
    <t>19197</t>
  </si>
  <si>
    <t>Ночной дым</t>
  </si>
  <si>
    <t>978-5-227-09093-5</t>
  </si>
  <si>
    <t>13519</t>
  </si>
  <si>
    <t>Ночной звонок</t>
  </si>
  <si>
    <t>978-5-227-03645-2</t>
  </si>
  <si>
    <t>0151</t>
  </si>
  <si>
    <t>978-5-227-06986-3</t>
  </si>
  <si>
    <t>18779</t>
  </si>
  <si>
    <t>Серков Н.</t>
  </si>
  <si>
    <t>Ночной охотник</t>
  </si>
  <si>
    <t>978-5-227-08704-1</t>
  </si>
  <si>
    <t>17549</t>
  </si>
  <si>
    <t>Ночной эфир</t>
  </si>
  <si>
    <t>978-5-227-07571-0</t>
  </si>
  <si>
    <t>14658</t>
  </si>
  <si>
    <t>Брукс Х.</t>
  </si>
  <si>
    <t>Ночные сумасбродства</t>
  </si>
  <si>
    <t>978-5-227-04662-8</t>
  </si>
  <si>
    <t>17771</t>
  </si>
  <si>
    <t>Ночные танцы</t>
  </si>
  <si>
    <t>978-5-227-07764-6</t>
  </si>
  <si>
    <t>19537</t>
  </si>
  <si>
    <t>Ночь в Провансе</t>
  </si>
  <si>
    <t>978-5-227-09179-6</t>
  </si>
  <si>
    <t>20628</t>
  </si>
  <si>
    <t>Ночь вне закона</t>
  </si>
  <si>
    <t>978-5-227-10302-4</t>
  </si>
  <si>
    <t>Ночь вне закона — так называется лотерея смерти, набирающая популярность в Интернете. Каждый желающий сообщает имя человека, которого считает недостойным жить. Результат объявляют в символичное время — 8 августа в 8:08 вечера. Теперь известны две жертвы, на которых объявлена охота. Этих людей можно не только безнаказанно убить, но еще и получить за это приз — 10 миллионов евро. Беньямин Рюман, безработный музыкант неудачник, неожиданно для себя понимает, что он — один из обре­ченных. Попав в отчаянное положение, он вынужден продолжать участвовать в безумной игре, так как в противном случае от яда умрет его дочь.</t>
  </si>
  <si>
    <t>18579</t>
  </si>
  <si>
    <t>Ночь дерзких открытий</t>
  </si>
  <si>
    <t>978-5-227-08445-3</t>
  </si>
  <si>
    <t>21604</t>
  </si>
  <si>
    <t>Галло М.</t>
  </si>
  <si>
    <t>Ночь длинных ножей. Борьба за власть партийных элит Третьего рейха. 1932—1934</t>
  </si>
  <si>
    <t>978-5-9524-6396-7</t>
  </si>
  <si>
    <t>Трения внутри гитлеровского движения между сторонниками национализма и социализма привели к кровавой резне, развязанной Гитлером 30 июня 1934 года, известной как "ночь длинных ножей". Была ликвидирована вся верхушка СА во главе с Эрнстом Ремом, убит Грегор Штрассер, в прошлом рейхсканцлер, Курт фон Шлейхер и Густав фон Кар, подавивший за десять лет до этого мюнхенский "пивной путч". Для достижения новых целей Гитлеру понадобились иные люди._x000D_
Макс Галло создал шедевр документальной беллетристики, посвященный зловещим событиям тех лет, масштаб этой готической панорамы потрясает мрачным и жестоким колоритом.</t>
  </si>
  <si>
    <t>21799</t>
  </si>
  <si>
    <t>Керш Д.</t>
  </si>
  <si>
    <t>Ночь и город</t>
  </si>
  <si>
    <t>978-5-9524-6510-7</t>
  </si>
  <si>
    <t>Жизнь Гарри Фабиана, альфонса и гениального изобретателя, проходит в вечном поиске внезапного богатства. Все его мечты и идеи не могут никого ввести в заблуждение и привести к какой-либо выгоде. Он постоянно рисуется и не может ни на чем сосредоточиться. Он мог бы достичь многого, если бы не стремление выглядеть круче, пустые мечтания и лень.</t>
  </si>
  <si>
    <t>16704</t>
  </si>
  <si>
    <t>Ночь любви или развод</t>
  </si>
  <si>
    <t>978-5-227-06735-7</t>
  </si>
  <si>
    <t>19132</t>
  </si>
  <si>
    <t>Ночь пламенных воспоминаний</t>
  </si>
  <si>
    <t>978-5-227-08968-7</t>
  </si>
  <si>
    <t>16887</t>
  </si>
  <si>
    <t>Ночь полной свободы</t>
  </si>
  <si>
    <t>978-5-227-06827-9</t>
  </si>
  <si>
    <t>14067</t>
  </si>
  <si>
    <t>Грэм Х.</t>
  </si>
  <si>
    <t>Ночь призраков</t>
  </si>
  <si>
    <t>978-5-227-04088-6</t>
  </si>
  <si>
    <t>16977</t>
  </si>
  <si>
    <t>Ночь решает все</t>
  </si>
  <si>
    <t>978-5-227-06921-4</t>
  </si>
  <si>
    <t>17281</t>
  </si>
  <si>
    <t>Ночь с последствиями</t>
  </si>
  <si>
    <t>978-5-227-07291-7</t>
  </si>
  <si>
    <t>17657</t>
  </si>
  <si>
    <t>Ночь сумашедшего экстаза</t>
  </si>
  <si>
    <t>978-5-227-07688-5</t>
  </si>
  <si>
    <t>19330</t>
  </si>
  <si>
    <t>Ночь урагана страсти</t>
  </si>
  <si>
    <t>978-5-227-09082-9</t>
  </si>
  <si>
    <t>20632</t>
  </si>
  <si>
    <t>Бэлл М.</t>
  </si>
  <si>
    <t>Ночь, которой не было</t>
  </si>
  <si>
    <t>978-5-227-10244-7</t>
  </si>
  <si>
    <t>Дженна Мустафа служит в королевской гвардии островного государства и охраняет саму королеву. Однако, надевая форму, девушка словно становится невидимкой для окружающих, и жизнь ее проходит незаметно. Столкнувшись на празднике с привлекательным герцогом Редклиффом, Дженна игнорирует его очевидные заигрывания, не веря, что он может всерьез ею заинтересоваться. Не верит в это и сам Себастиан, рассчитывая провести с красавицей всего одну ночь…</t>
  </si>
  <si>
    <t>1924</t>
  </si>
  <si>
    <t>ПИТ Б</t>
  </si>
  <si>
    <t>Ну за казаков</t>
  </si>
  <si>
    <t>5-227-00725-X</t>
  </si>
  <si>
    <t>21341</t>
  </si>
  <si>
    <t>Нумерология успеха. Запусти Колесо Фортуны</t>
  </si>
  <si>
    <t>978-5-227-10234-8</t>
  </si>
  <si>
    <t>Вы сможете с легкостью находить собственные ключи к успеху по кодам вашего дня рождения и имени, познаете собственные скрытые силы и сможете воспользоваться ими для достижения успеха, счастья, радости, но самое главное — вы научитесь строить свое личное Колесо Фортуны и запускать его в то самое время, когда захотите достичь успеха в любом деле._x000D_
Помните: числа правят миром! Просчитайте собственные власть, успех и удачу!</t>
  </si>
  <si>
    <t>1955</t>
  </si>
  <si>
    <t>Бендьюр</t>
  </si>
  <si>
    <t>Ньюфаундленд</t>
  </si>
  <si>
    <t>5-227-00592-3</t>
  </si>
  <si>
    <t>21379</t>
  </si>
  <si>
    <t>О времени, пространстве и других вещах. От египетских календарей до квантовой физики</t>
  </si>
  <si>
    <t>978-5-9524-6274-8</t>
  </si>
  <si>
    <t>Автор книги рассказывает о появлении первых календарей и о том, как они изменялись, пока не превратились в тот, по которому мы сейчас живем. Вы узнаете много интересного и познавательного о метрических системах, денежных единицах и увлекательных парадоксах физики, химии и математики. Занимательные исторические примеры, иллюстрируя сухие факты, превращаются в яркие рассказы, благодаря живому и образному языку автора.</t>
  </si>
  <si>
    <t>19931</t>
  </si>
  <si>
    <t>Прокофьев Ю.А.</t>
  </si>
  <si>
    <t>О времени, стране и о себе. Первый секретарь МГК КПСС вспоминает</t>
  </si>
  <si>
    <t>978-5-227-07921-3</t>
  </si>
  <si>
    <t>15528</t>
  </si>
  <si>
    <t>О чем не знала невеста</t>
  </si>
  <si>
    <t>978-5-227-05496-8</t>
  </si>
  <si>
    <t>19570</t>
  </si>
  <si>
    <t>Ахматова А.А.</t>
  </si>
  <si>
    <t>О, не вздыхайте обо мне</t>
  </si>
  <si>
    <t>978-5-227-09448-3</t>
  </si>
  <si>
    <t>18870</t>
  </si>
  <si>
    <t>Оазис страсти</t>
  </si>
  <si>
    <t>978-5-227-08734-8</t>
  </si>
  <si>
    <t>21460</t>
  </si>
  <si>
    <t>Толстая С.А.</t>
  </si>
  <si>
    <t>Обед для Льва. Кулинарная книга С.А. Толстой</t>
  </si>
  <si>
    <t>978-5-227-10780-0</t>
  </si>
  <si>
    <t>Семейные традиции в Ясной Поляне охраняла Софья Андреевна Толстая. Ее «Кулинарная книга» тому подтверждение. Названия блюд звучат так: яблочный квас Марии Николаевны – младшей сестры Л. Н. Толстого; лимонный квас Маруси Маклаковой – близкой знакомой семьи Толстых; пастила яблочная Марии Петровны Фет и, конечно, Анковский пирог – семейного доктора Берсов Николая Богдановича Анке. Толстая собрала рецепты 162 блюд, которыми питалась вся большая семья. Записывали кулинарные рецепты два человека – сама Софья Андреевна и ее младший брат Степан Андреевич Берс. У вас есть уникальная возможность узнать, что готовили в семье Толстых, и попробовать угостить этими блюдами своих родных, друзей и гостей.</t>
  </si>
  <si>
    <t>18805</t>
  </si>
  <si>
    <t>Обещание лорда Лорейна</t>
  </si>
  <si>
    <t>978-5-227-08710-2</t>
  </si>
  <si>
    <t>20386</t>
  </si>
  <si>
    <t>Обещание плейбоя</t>
  </si>
  <si>
    <t>978-5-227-10069-6</t>
  </si>
  <si>
    <t>20469</t>
  </si>
  <si>
    <t>Обещание приключений</t>
  </si>
  <si>
    <t>978-5-227-09948-8</t>
  </si>
  <si>
    <t>Бросив учебу в престижном колледже, Сирена отправилась в плавание на круизном лайнере в качестве крупье казино. Красивая, умная, образованная девушка из богатой семьи жаждала приключений и независимости. Пока еще ни один мужчина не тронул сердце Сирены, но однажды за ее стол в зале казино сел настоящий игрок, властный, решительный и явно опытный соблазнитель. Используя все свои знания и умения, он затеял с Сиреной игру, нет, не в карты и не на деньги, это была игра двух сильных партнеров на счастье, в которой ни он, ни она не хотели признаться в том, что любят…</t>
  </si>
  <si>
    <t>15791</t>
  </si>
  <si>
    <t>РОБЕРТС</t>
  </si>
  <si>
    <t>978-5-227-05707-5</t>
  </si>
  <si>
    <t>20318</t>
  </si>
  <si>
    <t>Обещанная любовь</t>
  </si>
  <si>
    <t>978-5-227-09945-7</t>
  </si>
  <si>
    <t>19462</t>
  </si>
  <si>
    <t>Обещанная невеста</t>
  </si>
  <si>
    <t>978-5-227-09150-5</t>
  </si>
  <si>
    <t>17679</t>
  </si>
  <si>
    <t>Обещать - значит жениться</t>
  </si>
  <si>
    <t>978-5-227-07702-8</t>
  </si>
  <si>
    <t>19322</t>
  </si>
  <si>
    <t>Обжигающая нежность</t>
  </si>
  <si>
    <t>978-5-227-09059-1</t>
  </si>
  <si>
    <t>17016</t>
  </si>
  <si>
    <t>Роу Паула</t>
  </si>
  <si>
    <t>Обитель искушений</t>
  </si>
  <si>
    <t>978-5-227-07045-6</t>
  </si>
  <si>
    <t>15987</t>
  </si>
  <si>
    <t>Обитель страсти</t>
  </si>
  <si>
    <t>978-5-227-05951-2</t>
  </si>
  <si>
    <t>17972</t>
  </si>
  <si>
    <t>Облепиха от атеросклероза, бесплодия, гастрита, инфаркта, инсульта, онкологии, псориаза…</t>
  </si>
  <si>
    <t>978-5-227-07540-6</t>
  </si>
  <si>
    <t>19700</t>
  </si>
  <si>
    <t>Облысение. Причины алопеции. Лечение, восстановление и уход за разными типами волос. Чистка организма. Супердиета для шикарной шевелюры</t>
  </si>
  <si>
    <t>978-5-227-09542-8</t>
  </si>
  <si>
    <t>17868</t>
  </si>
  <si>
    <t>Брэди А.Ф.</t>
  </si>
  <si>
    <t>Обман</t>
  </si>
  <si>
    <t>978-5-227-08008-0</t>
  </si>
  <si>
    <t>17881</t>
  </si>
  <si>
    <t>Обманем моего мужа</t>
  </si>
  <si>
    <t>978-5-227-07785-1</t>
  </si>
  <si>
    <t>16585</t>
  </si>
  <si>
    <t>Обмани, но не покидай</t>
  </si>
  <si>
    <t>978-5-227-06526-1</t>
  </si>
  <si>
    <t>18911</t>
  </si>
  <si>
    <t>Обманутое время</t>
  </si>
  <si>
    <t>978-5-227-08892-5</t>
  </si>
  <si>
    <t>12799</t>
  </si>
  <si>
    <t>978-5-227-02960-7</t>
  </si>
  <si>
    <t>12987</t>
  </si>
  <si>
    <t>15164</t>
  </si>
  <si>
    <t>978-5-227-05031-1</t>
  </si>
  <si>
    <t>13257</t>
  </si>
  <si>
    <t>Маккейб А.</t>
  </si>
  <si>
    <t>Обмануть герцога</t>
  </si>
  <si>
    <t>978-5-227-03463-2</t>
  </si>
  <si>
    <t>15435</t>
  </si>
  <si>
    <t>Обманчивая внешность</t>
  </si>
  <si>
    <t>978-5-227-05429-6</t>
  </si>
  <si>
    <t>10770</t>
  </si>
  <si>
    <t>Дмитриевская Л.</t>
  </si>
  <si>
    <t>Обманываем возраст. Здоровье и красота за 8 недель</t>
  </si>
  <si>
    <t>978-5-9524-3759-3</t>
  </si>
  <si>
    <t>15671</t>
  </si>
  <si>
    <t>Обними меня крепче</t>
  </si>
  <si>
    <t>978-5-227-05643-6</t>
  </si>
  <si>
    <t>18925</t>
  </si>
  <si>
    <t>Обойдемся без свадьбы</t>
  </si>
  <si>
    <t>978-5-227-08779-9</t>
  </si>
  <si>
    <t>18541</t>
  </si>
  <si>
    <t>Обольстительная леди Констанс</t>
  </si>
  <si>
    <t>978-5-227-08456-9</t>
  </si>
  <si>
    <t>17522</t>
  </si>
  <si>
    <t>Обольстить недотрогу</t>
  </si>
  <si>
    <t>978-5-227-07579-6</t>
  </si>
  <si>
    <t>18790</t>
  </si>
  <si>
    <t>Обольщение со второго дубля</t>
  </si>
  <si>
    <t>978-5-227-08668-6</t>
  </si>
  <si>
    <t>20641</t>
  </si>
  <si>
    <t>Пресняков А.Е.</t>
  </si>
  <si>
    <t>Образование Великорусского государства. Очерки по истории XIII—XV столетий</t>
  </si>
  <si>
    <t>978-5-227-10355-0</t>
  </si>
  <si>
    <t>Выдающийся российский и советский историк А.Е. Пресняков (1870–1929) на страницах своей книги исследует внутренний строй Владимирского великого княжества и отношения между удельными князьями, потомками Всеволода Большое Гнездо, описывает борьбу Твери и Москвы за великое княжение «всея Руси». Профессор Пресняков прослеживает развитие великокняжеской политики Ивана Даниловича Калиты, направленной на сосредоточение власти в руках московского государя, освещает процесс объединения земель Северо-Восточной Руси и становления Великорусского государства.</t>
  </si>
  <si>
    <t>17485</t>
  </si>
  <si>
    <t>Обратно в СССР</t>
  </si>
  <si>
    <t>978-5-227-07331-0</t>
  </si>
  <si>
    <t>17629</t>
  </si>
  <si>
    <t>Лафани Ф., Рено Г.</t>
  </si>
  <si>
    <t>Обратный отсчет</t>
  </si>
  <si>
    <t>978-5-227-07631-1</t>
  </si>
  <si>
    <t>7660</t>
  </si>
  <si>
    <t>Тот Пол А.</t>
  </si>
  <si>
    <t>978-5-9524-2563-1</t>
  </si>
  <si>
    <t>7927</t>
  </si>
  <si>
    <t>978-5-9524-2859-1</t>
  </si>
  <si>
    <t>18748</t>
  </si>
  <si>
    <t>Обрести свободу у алтаря</t>
  </si>
  <si>
    <t>978-5-227-08657-0</t>
  </si>
  <si>
    <t>14227</t>
  </si>
  <si>
    <t>Обретая розу</t>
  </si>
  <si>
    <t>978-5-227-04129-6</t>
  </si>
  <si>
    <t>17128</t>
  </si>
  <si>
    <t>Обретенная</t>
  </si>
  <si>
    <t>978-5-227-07148-4</t>
  </si>
  <si>
    <t>19062</t>
  </si>
  <si>
    <t>Обретенная любовь</t>
  </si>
  <si>
    <t>978-5-227-08648-8</t>
  </si>
  <si>
    <t>7559</t>
  </si>
  <si>
    <t>Обреченный убивать</t>
  </si>
  <si>
    <t>5-9524-2551-8</t>
  </si>
  <si>
    <t>5125</t>
  </si>
  <si>
    <t>ДЕТЕКТИВ02</t>
  </si>
  <si>
    <t>5-9524-0664-5</t>
  </si>
  <si>
    <t>14096</t>
  </si>
  <si>
    <t>Обречены любить</t>
  </si>
  <si>
    <t>978-5-227-04147-0</t>
  </si>
  <si>
    <t>16281</t>
  </si>
  <si>
    <t>Крейвен С.</t>
  </si>
  <si>
    <t>Обрученная с врагом</t>
  </si>
  <si>
    <t>978-5-227-06188-1</t>
  </si>
  <si>
    <t>17795</t>
  </si>
  <si>
    <t>Обрученные дважды</t>
  </si>
  <si>
    <t>978-5-227-07750-9</t>
  </si>
  <si>
    <t>17310</t>
  </si>
  <si>
    <t>Обряды, праздники и обычаи наших предков. Молитвы, заговоры, обереги</t>
  </si>
  <si>
    <t>978-5-227-07164-4</t>
  </si>
  <si>
    <t>20392</t>
  </si>
  <si>
    <t>Объятия придуманной невесты</t>
  </si>
  <si>
    <t>978-5-227-10070-2</t>
  </si>
  <si>
    <t>Звезде кантри Гейджу Тремейну надо срочно восстановить репутацию, чтобы не пострадала его музыкальная карьера. Он решает притвориться влюбленным и на роль своей фиктивной невесты выбирает подругу детства, Джанну Марино, с которой они постоянно ссорились.</t>
  </si>
  <si>
    <t>11466</t>
  </si>
  <si>
    <t>Прозоровский</t>
  </si>
  <si>
    <t>Обязательная аптечка для каждого дома. Незаменимый помощник на все случаи жизни</t>
  </si>
  <si>
    <t>978-5-9524-4520-8</t>
  </si>
  <si>
    <t>16833</t>
  </si>
  <si>
    <t>Овощи и зелень</t>
  </si>
  <si>
    <t>978-5-227-06906-1</t>
  </si>
  <si>
    <t>16460</t>
  </si>
  <si>
    <t>Овощные блюда в мультиварке</t>
  </si>
  <si>
    <t>978-5-227-06335-9</t>
  </si>
  <si>
    <t>18538</t>
  </si>
  <si>
    <t>Огненная идиллия</t>
  </si>
  <si>
    <t>978-5-227-08435-4</t>
  </si>
  <si>
    <t>20367</t>
  </si>
  <si>
    <t>Леммон Д.</t>
  </si>
  <si>
    <t>Огненное прикосновение чувств</t>
  </si>
  <si>
    <t>978-5-227-10023-8</t>
  </si>
  <si>
    <t>19851</t>
  </si>
  <si>
    <t>Мартин М.</t>
  </si>
  <si>
    <t>Огненное сердце</t>
  </si>
  <si>
    <t>978-5-227-09494-0</t>
  </si>
  <si>
    <t>11975</t>
  </si>
  <si>
    <t>Огненные дороги Геона</t>
  </si>
  <si>
    <t>978-5-227-02156-4</t>
  </si>
  <si>
    <t>17767</t>
  </si>
  <si>
    <t>Огонь давней любви</t>
  </si>
  <si>
    <t>978-5-227-07744-8</t>
  </si>
  <si>
    <t>20592</t>
  </si>
  <si>
    <t>Пен П.</t>
  </si>
  <si>
    <t>Огоньки светлячков</t>
  </si>
  <si>
    <t>978-5-227-10315-4</t>
  </si>
  <si>
    <t>Удивительная завораживающая и драматическая история одной семьи: бабушки, матери, отца, взрослой дочери, старшего сына и маленького мальчика. Все эти люди живут в подвале, лица взрослых изуродованы огнем при пожаре. А дочь и вовсе носит маску, чтобы скрыть черты, способные вызывать ужас даже у родных. Запертая в подвале семья вроде бы по-своему счастлива, но жизнь их отравляет тайна, которую взрослые хранят уже много лет. Постепенно у мальчика пробуждается желание выбраться из подвала, увидеть жизнь снаружи, тот огромный мир, где живут светлячки, о которых он знает из книг. Ему даже удается приоткрыть завесу тайны. Но в жизни часто бывает, что кажущееся одним, на самом деле оказывается совсем другим...</t>
  </si>
  <si>
    <t>18265</t>
  </si>
  <si>
    <t>978-5-227-08337-1</t>
  </si>
  <si>
    <t>11795</t>
  </si>
  <si>
    <t>Огород и сад без хлопот и затрат</t>
  </si>
  <si>
    <t>978-5-9524-4826-1</t>
  </si>
  <si>
    <t>10266</t>
  </si>
  <si>
    <t>Масленников</t>
  </si>
  <si>
    <t>Огород на подоконнике</t>
  </si>
  <si>
    <t>978-5-9524-3529-2</t>
  </si>
  <si>
    <t>18750</t>
  </si>
  <si>
    <t>Одержимый ветреной нимфой</t>
  </si>
  <si>
    <t>978-5-227-08665-5</t>
  </si>
  <si>
    <t>19903</t>
  </si>
  <si>
    <t>Одержимый запретным желанием</t>
  </si>
  <si>
    <t>978-5-227-09565-7</t>
  </si>
  <si>
    <t>17247</t>
  </si>
  <si>
    <t>Одержимый тобой</t>
  </si>
  <si>
    <t>978-5-227-07216-0</t>
  </si>
  <si>
    <t>19486</t>
  </si>
  <si>
    <t>Один день в Древнем Риме. Исторические карты жизни имперской столицы в античные времена.</t>
  </si>
  <si>
    <t>978-5-9524-5493-4</t>
  </si>
  <si>
    <t>19075</t>
  </si>
  <si>
    <t>Один шаг до любви</t>
  </si>
  <si>
    <t>978-5-227-08952-6</t>
  </si>
  <si>
    <t>19669</t>
  </si>
  <si>
    <t>Один шанс на соблазнение</t>
  </si>
  <si>
    <t>978-5-227-09292-2</t>
  </si>
  <si>
    <t>14572</t>
  </si>
  <si>
    <t>Одинокая птица</t>
  </si>
  <si>
    <t>978-5-227-04517-1</t>
  </si>
  <si>
    <t>19551</t>
  </si>
  <si>
    <t>Одинокий мужчина с кошкой</t>
  </si>
  <si>
    <t>978-5-227-09348-6</t>
  </si>
  <si>
    <t>13559</t>
  </si>
  <si>
    <t>М ТРУШ</t>
  </si>
  <si>
    <t>Труш Н.</t>
  </si>
  <si>
    <t>Одиночное плавание к острову Крым</t>
  </si>
  <si>
    <t>978-5-227-03656-8</t>
  </si>
  <si>
    <t>17690</t>
  </si>
  <si>
    <t>Одна душа на двоих</t>
  </si>
  <si>
    <t>978-5-227-07705-9</t>
  </si>
  <si>
    <t>11536</t>
  </si>
  <si>
    <t>Алюшина Т.</t>
  </si>
  <si>
    <t>Одна кровь на двоих</t>
  </si>
  <si>
    <t>978-5-9524-4641-0</t>
  </si>
  <si>
    <t>15854</t>
  </si>
  <si>
    <t>Одна ночь с бывшим</t>
  </si>
  <si>
    <t>978-5-227-05811-9</t>
  </si>
  <si>
    <t>19482</t>
  </si>
  <si>
    <t>Одна тайна на двоих</t>
  </si>
  <si>
    <t>978-5-227-09211-3</t>
  </si>
  <si>
    <t>19684</t>
  </si>
  <si>
    <t>Грей Г.</t>
  </si>
  <si>
    <t>Однажды в Америке</t>
  </si>
  <si>
    <t>978-5-9524-5550-4</t>
  </si>
  <si>
    <t>6054</t>
  </si>
  <si>
    <t>Однажды в солнечный день</t>
  </si>
  <si>
    <t>5-9524-1831-7</t>
  </si>
  <si>
    <t>11758</t>
  </si>
  <si>
    <t>Никсон</t>
  </si>
  <si>
    <t>Однажды майским утром</t>
  </si>
  <si>
    <t>978-5-9524-4885-8</t>
  </si>
  <si>
    <t>15058</t>
  </si>
  <si>
    <t>Барков Б.</t>
  </si>
  <si>
    <t>Однажды Сталин сказал Троцкому, или Кто такие конные матросы. Ситуации, эпизоды, диалоги, анекдоты</t>
  </si>
  <si>
    <t>978-5-227-05082-3</t>
  </si>
  <si>
    <t>21247</t>
  </si>
  <si>
    <t>Однажды стану твоей</t>
  </si>
  <si>
    <t>978-5-227-10520-2</t>
  </si>
  <si>
    <t>Из-за тяжелой болезни Вайолет Саммерс провела юность затворницей. Но в один прекрасный момент она вырывается из-под родительской опеки и отправляется на другой конец планеты, чтобы узнать настоящую жизнь. Судьба сводит ее с миллиардером, который избегает серьезных отношений и сторонится людей.</t>
  </si>
  <si>
    <t>16996</t>
  </si>
  <si>
    <t>Однажды я разлюблю</t>
  </si>
  <si>
    <t>978-5-227-07035-7</t>
  </si>
  <si>
    <t>15912</t>
  </si>
  <si>
    <t>Однажды ясным летним утром</t>
  </si>
  <si>
    <t>978-5-227-05852-2</t>
  </si>
  <si>
    <t>0137</t>
  </si>
  <si>
    <t>978-5-227-06987-0</t>
  </si>
  <si>
    <t>15135</t>
  </si>
  <si>
    <t>Одно лето</t>
  </si>
  <si>
    <t>978-5-227-04995-7</t>
  </si>
  <si>
    <t>15617</t>
  </si>
  <si>
    <t>Одно счастье на двоих</t>
  </si>
  <si>
    <t>978-5-227-05053-3</t>
  </si>
  <si>
    <t>13371</t>
  </si>
  <si>
    <t>Однолетние цветы дивной красоты. Выращивание, размножение, уход.</t>
  </si>
  <si>
    <t>978-5-227-03386-4</t>
  </si>
  <si>
    <t>4652</t>
  </si>
  <si>
    <t>Однолетники сорта выращивание и уход</t>
  </si>
  <si>
    <t>5-9524-0815-X</t>
  </si>
  <si>
    <t>19663</t>
  </si>
  <si>
    <t>Оживи мои желания</t>
  </si>
  <si>
    <t>978-5-227-09278-6</t>
  </si>
  <si>
    <t>18256</t>
  </si>
  <si>
    <t>Ожившее желание</t>
  </si>
  <si>
    <t>978-5-227-08226-8</t>
  </si>
  <si>
    <t>10839</t>
  </si>
  <si>
    <t>Окаянный талант</t>
  </si>
  <si>
    <t>978-5-9524-3972-6</t>
  </si>
  <si>
    <t>7942</t>
  </si>
  <si>
    <t>Окно в пустоту</t>
  </si>
  <si>
    <t>978-5-9524-2824-9</t>
  </si>
  <si>
    <t>17738</t>
  </si>
  <si>
    <t>Околдованная ловеласом</t>
  </si>
  <si>
    <t>978-5-227-07722-6</t>
  </si>
  <si>
    <t>17198</t>
  </si>
  <si>
    <t>Сорокин П.Е.</t>
  </si>
  <si>
    <t>Окрестности Петербурга. Из истории ижорской земли</t>
  </si>
  <si>
    <t>978-5-227-06020-4</t>
  </si>
  <si>
    <t>18104</t>
  </si>
  <si>
    <t>Окрыляющая книга. Живи легко</t>
  </si>
  <si>
    <t>978-5-227-08078-3</t>
  </si>
  <si>
    <t>17734</t>
  </si>
  <si>
    <t>Олег. Романтическая история о великом князе по мотивам русской летописи «Повесть временных лет» монаха Киево-Печерского монастыря преподобного Нестора-летописца</t>
  </si>
  <si>
    <t>978-5-227-07516-1</t>
  </si>
  <si>
    <t>4814</t>
  </si>
  <si>
    <t>Оливки и маслины</t>
  </si>
  <si>
    <t>5-9524-0996-2</t>
  </si>
  <si>
    <t>20487</t>
  </si>
  <si>
    <t>Омар Хайям. Гений, поэт, ученый</t>
  </si>
  <si>
    <t>978-5-9524-5873-4</t>
  </si>
  <si>
    <t>Оригинальное беллетризованное жизнеописание Омара Хайяма — знаменитого персидского ученого, государственного деятеля и поэта, обессмертившего свое имя и время, в котором жил, в своих непревзойденных стихах.</t>
  </si>
  <si>
    <t>18175</t>
  </si>
  <si>
    <t>Яковенко С.</t>
  </si>
  <si>
    <t>Омут</t>
  </si>
  <si>
    <t>978-5-227-08236-7</t>
  </si>
  <si>
    <t>18098</t>
  </si>
  <si>
    <t>Он мой, слышишь?</t>
  </si>
  <si>
    <t>978-5-227-08091-2</t>
  </si>
  <si>
    <t>17637</t>
  </si>
  <si>
    <t>Гранин Д.А</t>
  </si>
  <si>
    <t>Она и всё остальное. Роман о любви и не только</t>
  </si>
  <si>
    <t>978-5-227-07403-4</t>
  </si>
  <si>
    <t>18916</t>
  </si>
  <si>
    <t>Опасная любовь</t>
  </si>
  <si>
    <t>978-5-227-08538-2</t>
  </si>
  <si>
    <t>18463</t>
  </si>
  <si>
    <t>Опасная притягательность</t>
  </si>
  <si>
    <t>978-5-227-08395-1</t>
  </si>
  <si>
    <t>19953</t>
  </si>
  <si>
    <t>Опасная связь</t>
  </si>
  <si>
    <t>978-5-227-09576-3</t>
  </si>
  <si>
    <t>17863</t>
  </si>
  <si>
    <t>Опасная чувственность</t>
  </si>
  <si>
    <t>978-5-227-07789-9</t>
  </si>
  <si>
    <t>16687</t>
  </si>
  <si>
    <t>Фрэнсис М.</t>
  </si>
  <si>
    <t>Опасная штучка</t>
  </si>
  <si>
    <t>978-5-227-06713-5</t>
  </si>
  <si>
    <t>0150</t>
  </si>
  <si>
    <t>Опаснее мужчины</t>
  </si>
  <si>
    <t>978-5-227-06988-7</t>
  </si>
  <si>
    <t>16213</t>
  </si>
  <si>
    <t>Опасное влечение</t>
  </si>
  <si>
    <t>978-5-227-06145-4</t>
  </si>
  <si>
    <t>20221</t>
  </si>
  <si>
    <t>Опасное соблазнение</t>
  </si>
  <si>
    <t>978-5-227-09926-6</t>
  </si>
  <si>
    <t>17917</t>
  </si>
  <si>
    <t>Кернан Д.</t>
  </si>
  <si>
    <t>Опасные свидания</t>
  </si>
  <si>
    <t>978-5-227-08011-0</t>
  </si>
  <si>
    <t>8850</t>
  </si>
  <si>
    <t>Опасные удовольствия</t>
  </si>
  <si>
    <t>978-5-9524-3038-9</t>
  </si>
  <si>
    <t>18141</t>
  </si>
  <si>
    <t>Опасный курортный роман</t>
  </si>
  <si>
    <t>978-5-227-08144-5</t>
  </si>
  <si>
    <t>15353</t>
  </si>
  <si>
    <t>Кэмп К.</t>
  </si>
  <si>
    <t>Опасный мужчина</t>
  </si>
  <si>
    <t>978-5-227-05307-7</t>
  </si>
  <si>
    <t>14767</t>
  </si>
  <si>
    <t>Опасный обольститель</t>
  </si>
  <si>
    <t>978-5-227-04740-3</t>
  </si>
  <si>
    <t>14481</t>
  </si>
  <si>
    <t>Опасный человек</t>
  </si>
  <si>
    <t>978-5-227-04461-7</t>
  </si>
  <si>
    <t>21755</t>
  </si>
  <si>
    <t>Сафаров Ю.Б.</t>
  </si>
  <si>
    <t>Операция «Согласие» в Иране. Опыт советско-британского военного сотрудничества. Июль—сентябрь 1941 г.</t>
  </si>
  <si>
    <t>978-5-227-10639-1</t>
  </si>
  <si>
    <t>Книга посвящена малоизвестным страницам истории Второй мировой войны на второстепенном, хотя и в какой-то момент весьма важном театре военных действий. Речь идет о советско-британской военной операции «Согласие» по одновременной оккупации территории Ирана с севера и юга, проведенной в августе 1941 г. Целью операции было предотвратить активную деятельность в этой стране германской разведки, склонявшей шахское правительство на сторону стран оси. Кроме того, через иранскую территорию можно было организовать безопасный сухопутный коридор для поставок военной помощи Советскому Союзу со стороны западных союзников. _x000D_
Работа основана на архивных и иных документальных материалах и впервые в отечественной историографии раскрывает военные приготовления всех участников (СССР, Великобритания, Иран) этой краткосрочной драмы, а также и военные, политические и дипломатические усилия в период реализации операции «Согласие».</t>
  </si>
  <si>
    <t>4203</t>
  </si>
  <si>
    <t>Тевяшов</t>
  </si>
  <si>
    <t>Описание нескольких гравюр и литографий</t>
  </si>
  <si>
    <t>5-9524-0501-0</t>
  </si>
  <si>
    <t>0122</t>
  </si>
  <si>
    <t>Оплата наличными</t>
  </si>
  <si>
    <t>978-5-227-06989-4</t>
  </si>
  <si>
    <t>19718</t>
  </si>
  <si>
    <t>Оправдания Евы</t>
  </si>
  <si>
    <t>978-5-227-09392-9</t>
  </si>
  <si>
    <t>15639</t>
  </si>
  <si>
    <t>Опытный соблазнитель</t>
  </si>
  <si>
    <t>978-5-227-05055-7</t>
  </si>
  <si>
    <t>21249</t>
  </si>
  <si>
    <t>Опьяненная страстью</t>
  </si>
  <si>
    <t>978-5-227-10665-0</t>
  </si>
  <si>
    <t>Лена Вейр всю себя посвятила работе. Она трудится за полярным кругом управляющей в отеле, которым владеет харизматичный миллионер Константинос Сиопис. Романтические отношения с мужчинами не вписываются в ее планы, по крайней мере сейчас, когда Лена получает долгожданное повышение. Но внезапно вспыхнувшая искра страсти между нею и боссом круто меняет жизненный сценарий. Сможет ли Лена противостоять обаянию Константиноса? Ведь она точно знает, что он никогда не женится на ней…</t>
  </si>
  <si>
    <t>17362</t>
  </si>
  <si>
    <t>Опьяненный гавайским солнцем</t>
  </si>
  <si>
    <t>978-5-227-07431-7</t>
  </si>
  <si>
    <t>20316</t>
  </si>
  <si>
    <t>Опьяняющая нежность</t>
  </si>
  <si>
    <t>978-5-227-09924-2</t>
  </si>
  <si>
    <t>21086</t>
  </si>
  <si>
    <t>Беннингховен Ф.</t>
  </si>
  <si>
    <t>Орден меченосцев. Противостояние немецких рыцарей и русских князей в Ливонии</t>
  </si>
  <si>
    <t>978-5-9524-6087-4</t>
  </si>
  <si>
    <t>Книга немецкого исследователя Фридриха Беннингховена посвящена истории духовно-рыцарского ордена и миссионерской деятельности братьев меча на восточном побережье Балтийского моря. Автор рассказывает об учреждении ордена в Ливонии рыцарями из северогерманских земель, уставе и образе жизни его членов, об обращении язычников в христианство огнем и мечом, а также о жестокой борьбе с русскими князьями и литовцами, что привело к падению ордена после разгрома в битве при Сауле в 1236 году.</t>
  </si>
  <si>
    <t>21863</t>
  </si>
  <si>
    <t>Эддисон Ч.</t>
  </si>
  <si>
    <t>Орден тамплиеров. История братства рыцарей Храма и лондонского Темпла</t>
  </si>
  <si>
    <t>978-5-227-11187-6</t>
  </si>
  <si>
    <t>Книга Чарльза Г. Эддисона — ученого­правоведа, знатока истории ордена — посвящена легендарному братству Бедных рыцарей Иерусалимского храма. Автор рассказывает о зарождении самого могущественного военно­религиозного ордена того времени, особенностях устава, иерархии и владениях тамплиеров на Востоке и Западе. Эддисон сообщает о подвигах тамплиеров во имя защиты Святой земли, об участии рыцарей Храма в военных кампаниях Ричарда Львиное Сердце и других христианских королей, повествует о противостоянии с Саладином, осаде Иерусалима и трагической утрате Акры, последнего оплота храмовников в Святой земле, а также освещает процесс над тамплиерами в Англии. В последних главах своей книги Чарльз Эддисон, эсквайр Иннер­Темпла, описывает главную резиденцию тамплиеров в Англии и великолепный храм обители, а также излагает историю лондонского Темпла после роспуска ордена и перехода его владений в собственность правоведов, которые восстановили ряд обычаев рыцарей Храма и возродили традиции былого гостеприимства.</t>
  </si>
  <si>
    <t>17860</t>
  </si>
  <si>
    <t>Ордер на убийство</t>
  </si>
  <si>
    <t>978-5-9524-5299-2</t>
  </si>
  <si>
    <t>21021</t>
  </si>
  <si>
    <t>Акулинин И.Г.</t>
  </si>
  <si>
    <t>Оренбургское казачье войско в борьбе с большевиками. 1917—1920</t>
  </si>
  <si>
    <t>978-5-227-10620-9</t>
  </si>
  <si>
    <t>Генерал-майор Иван Григорьевич Акулинин — оренбургский казак, участник войн, Русско--японской и Первой мировой, а также повстанческой борьбы оренбургского казачества, помощник войскового атамана, командир I и II казачьих корпусов в 1918—1919 гг. В конце 1919 г. с I корпусом присоединился к повстанческим войскам уральского казачества, когда остальные оренбуржцы отступили с белыми армиями. С остатками уральцев Акулинин покинул Россию. В эмиграции он опубликовал свои воспоминания о борьбе Оренбургского казачьего войска с большевиками с конца 1917 г. до ухода остатков оренбургской армии за границу в начале 1920 г. Автор описывает и анализирует важнейшие события, свидетелем и участником которых он явился, и рассказывает, какие жертвы принесли оренбургские казаки, сражаясь с советской властью. Повествование дополняет история борьбы с большевиками Уральского казачьего войска.</t>
  </si>
  <si>
    <t>21664</t>
  </si>
  <si>
    <t>Фуллер Д.Ф.Ч.</t>
  </si>
  <si>
    <t>Оружие в истории. От пращи до ядерной бомбы</t>
  </si>
  <si>
    <t>978-5-9524-6374-5</t>
  </si>
  <si>
    <t>Джон Фредерик Чарльз Фуллер, английский военный историк и теоретик, в своей книге исследует влияние вооружения на военное искусство и судьбы народов, показывает, как изобретательский гений человека потенциально может уничтожить его чувство нравственных ценностей и цивилизацию. Выделив эпохи-века доблести и рыцарства с их мечами и копьями, последующие времена пороха, пара, нефти и атомной энергии, Фуллер показывает наиболее влиятельные военные инновации каждого периода. Хотя автор признает, что война не может быть устранена полностью, он призывает человека к необходимости ограничения разрушительного фактора оружия.</t>
  </si>
  <si>
    <t>21578</t>
  </si>
  <si>
    <t>Коггинс Д.</t>
  </si>
  <si>
    <t>Оружие времен Античности. Вооружение и оснащение армий скифов, египтян, персов, греков и римлян</t>
  </si>
  <si>
    <t>978-5-9524-6359-2</t>
  </si>
  <si>
    <t>Исследование Джека Коггинса охватывает период ранней Античности, вплоть до Пунических войн. Анализ тактики и стратегии ведения боя, традиционных для Египта, Рима, Греции, Фив, Македонии и других древних цивилизаций, дополняется подробным описанием видов оружия и обмундирования. Автор уделяет особое внимание военным рангам — колесничие, лучники, щитоносцы, копьеносцы — и типам построения войска — роты, легионы, корпуса, фаланги, — отмечая их достоинства и недостатки. Каждое из военных сражений предстает в книге важным звеном, формирующим мощную движущую силу эволюции истории.</t>
  </si>
  <si>
    <t>21619</t>
  </si>
  <si>
    <t>Оружие Китая. Традиционное древнее снаряжение для нападения и защиты</t>
  </si>
  <si>
    <t>978-5-9524-6358-5</t>
  </si>
  <si>
    <t>Уникальная книга Эдварда Вернера посвящена формированию различных видов оружия в Китае. Вернер, основываясь на древних трактатах, исследует такие виды оружия, как дубины, булавы, боевые топоры, копья, пики, мечи, луки, арбалеты, баллисты, ружья, материалы, из которых они изготавливались, их применение в бою, а также защитные доспехи. Автор уводит читателя в мир военного искусства китайской культуры, отмечая разнообразные нюансы отличий подвидов китайского оружия.</t>
  </si>
  <si>
    <t>14540</t>
  </si>
  <si>
    <t>Унгвари К.</t>
  </si>
  <si>
    <t>Осада Будапешта. 100 дней Второй мировой войны</t>
  </si>
  <si>
    <t>978-5-227-04597-3</t>
  </si>
  <si>
    <t>20279</t>
  </si>
  <si>
    <t>Осада и оборона крепостей. Двадцать два столетия осадного вооружения</t>
  </si>
  <si>
    <t>978-5-9524-5838-3</t>
  </si>
  <si>
    <t>18683</t>
  </si>
  <si>
    <t>Ганценмюллер Й.</t>
  </si>
  <si>
    <t>Осажденный Ленинград. Город в стратегических расчетах агрессоров и защитников. 1941—1944</t>
  </si>
  <si>
    <t>978-5-227-08670-9</t>
  </si>
  <si>
    <t>19854</t>
  </si>
  <si>
    <t>Осенние работы в саду и огороде. Защита от болезней, посадки, удобрения, уборка, обрезка, подготовка</t>
  </si>
  <si>
    <t>978-5-227-09711-8</t>
  </si>
  <si>
    <t>19485</t>
  </si>
  <si>
    <t>Оскал тьмы</t>
  </si>
  <si>
    <t>978-5-227-09262-5</t>
  </si>
  <si>
    <t>19832</t>
  </si>
  <si>
    <t>Осколок</t>
  </si>
  <si>
    <t>978-5-227-09607-4</t>
  </si>
  <si>
    <t>21710</t>
  </si>
  <si>
    <t>978-5-227-10377-2</t>
  </si>
  <si>
    <t>Намного сильнее, чем от застрявшего в голове осколка, Марк Лукас страдает от душевной боли из-за автомобильной аварии, виновником которой стал, потому что в ней погибла его жена и нерожденный ребенок. Марк обретает надежду вернуться к жизни, когда узнает о психиатрическом эксперименте, который мог бы избавить его от нестерпимых, мучительных воспоминаний. Но после первого визита в клинику с ним происходит нечто пугающе странное. Список контактов в телефоне оказывается пуст. Ключ от квартиры Марка больше не подходит к замку. На табличке обозначено чужое имя. А когда на его звонок дверь открывается изнутри, Марк попадает в свой самый жуткий кошмар…</t>
  </si>
  <si>
    <t>21392</t>
  </si>
  <si>
    <t>Бальфур Д.П.</t>
  </si>
  <si>
    <t>Османская империя. Шесть столетий от возвышения до упадка. XIV-XX вв.</t>
  </si>
  <si>
    <t>978-5-9524-6266-3</t>
  </si>
  <si>
    <t>Известный английский писатель-историк Джон Патрик Бальфур на страницах своей книги воссоздает историю Османской империи от основания на рубеже ХIII—XIV вв. до распада в 1923 г. Авторитетный востоковед, известный в научном сообществе как лорд Кинросс, прослеживает становление цивилизации воинственных кочевников и стремительное возвышение государства Османов до величайшей империи в мировой истории, которая простиралась от Дуная до Нила и от Алжира до Каспия, где процветали искусства, развивались науки и ремесла, не угасала философская мысль и процветало богословие. Живо и ярко автор рассказывает о повседневной жизни турок-османов, создает точные правдоподобные портреты султанов, их жен и наследников, позволяет заглянуть за узорчатые врата гарема. Особое внимание историк уделяет противостоянию Блистательной Порты с империей Габсбургов и Россией, которое, наряду с освободительным движением на Балканах и ошибками во внутренней политике, стало причиной распада Османской империи и провозглашения Турецкой республики.</t>
  </si>
  <si>
    <t>21393</t>
  </si>
  <si>
    <t>МЕМО</t>
  </si>
  <si>
    <t>Османская империя. Шесть столетий от возвышения до упадка. XIV—ХХ вв.</t>
  </si>
  <si>
    <t>978-5-9524-6265-6</t>
  </si>
  <si>
    <t>17986</t>
  </si>
  <si>
    <t>Осмелилась тебя желать</t>
  </si>
  <si>
    <t>978-5-227-08025-7</t>
  </si>
  <si>
    <t>19796</t>
  </si>
  <si>
    <t>Осмелишься соблазнить?</t>
  </si>
  <si>
    <t>978-5-227-09421-6</t>
  </si>
  <si>
    <t>19595</t>
  </si>
  <si>
    <t>Пономарев А.Л</t>
  </si>
  <si>
    <t>Основной компонент</t>
  </si>
  <si>
    <t>978-5-227-09409-4</t>
  </si>
  <si>
    <t>21610</t>
  </si>
  <si>
    <t>Филлис Д.</t>
  </si>
  <si>
    <t>Основы выездки и езды</t>
  </si>
  <si>
    <t>978-5-227-11037-4</t>
  </si>
  <si>
    <t>В книге знаменитого мастера выездки подробно рассказывается обо всех основных аспектах работы с лошадью, даются ценные рекомендации, помогающие разрешить неизбежные трудности. Воздействие на лошадь, обучение аллюрам любой сложности, навыки езды в различных ситуациях, борьба с вредными привычками животного, — о чем только не поведал опытнейший Джеймс Филлис в своем руководстве._x000D_
Не теряющие актуальности знания легендарного наездника, изложенные максимально доступным для современного читателя образом, дополнены комментариями современного специалиста-конника, поясняющего каждую главу с точки зрения сегодняшних достижений коневодства и конного спорта._x000D_
«Основы выездки и езды» — настольная книга для всех, кто хочет крепко сидеть в седле!</t>
  </si>
  <si>
    <t>11937</t>
  </si>
  <si>
    <t>Джейкобс Х.</t>
  </si>
  <si>
    <t>Особенная семья</t>
  </si>
  <si>
    <t>978-5-227-02160-1</t>
  </si>
  <si>
    <t>15140</t>
  </si>
  <si>
    <t>Осознание</t>
  </si>
  <si>
    <t>978-5-227-05033-5</t>
  </si>
  <si>
    <t>17825</t>
  </si>
  <si>
    <t>Гёте И.В.</t>
  </si>
  <si>
    <t>Остановись мгновение, ты прекрасно!</t>
  </si>
  <si>
    <t>978-5-227-07943-5</t>
  </si>
  <si>
    <t>18885</t>
  </si>
  <si>
    <t>Останься со мной сейчас</t>
  </si>
  <si>
    <t>978-5-227-08731-7</t>
  </si>
  <si>
    <t>13465</t>
  </si>
  <si>
    <t>Остаться в живых</t>
  </si>
  <si>
    <t>978-5-227-03601-8</t>
  </si>
  <si>
    <t>15480</t>
  </si>
  <si>
    <t>Остеохондроз и плоскостопие у мужчин. Супермен и соломинка. Профилактика, диагностика, лечение.</t>
  </si>
  <si>
    <t>978-5-227-05370-1</t>
  </si>
  <si>
    <t>13675</t>
  </si>
  <si>
    <t>Осторожный убийца</t>
  </si>
  <si>
    <t>978-5-227-03716-9</t>
  </si>
  <si>
    <t>0107</t>
  </si>
  <si>
    <t>978-5-227-06990-0</t>
  </si>
  <si>
    <t>16575</t>
  </si>
  <si>
    <t>Остров  для двоих</t>
  </si>
  <si>
    <t>978-5-227-06497-4</t>
  </si>
  <si>
    <t>19508</t>
  </si>
  <si>
    <t>Остров Дьявола</t>
  </si>
  <si>
    <t>978-5-227-09240-3</t>
  </si>
  <si>
    <t>21779</t>
  </si>
  <si>
    <t>978-5-227-11128-9</t>
  </si>
  <si>
    <t>Инспектор норвежской полиции Сара Геринген оправдана после года, проведенного в тюрьме по обвинению в служебном преступлении. В день, когда ей предстоит выйти на свободу, на нее обрушивается новый удар: зверски убит ее отец. Перед смертью его жестоко пытали, руки изуродованы, в животе найден ключ, а труп посыпан странным белым порошком. Полицейский начальник Сары предлагает ей заняться поисками убийцы. Однако по закону в случае происшествий с родственниками это недопустимо, и формально руководить расследованием он назначает молодого офицера Адриана Колла. Это сотрудничество приносит первые успехи. Инициативный Колл обращает внимание Сары на важные детали, и вскоре они попадают в затерянный в лесу старый особняк. Отсюда начинается  полный испытаний путь Сары к разгадке ужасающей семейной тайны.</t>
  </si>
  <si>
    <t>7305</t>
  </si>
  <si>
    <t>МК</t>
  </si>
  <si>
    <t>Остров зверей</t>
  </si>
  <si>
    <t>5-9524-1659-4</t>
  </si>
  <si>
    <t>3184</t>
  </si>
  <si>
    <t>Ким А.</t>
  </si>
  <si>
    <t>Остров Ионы</t>
  </si>
  <si>
    <t>5-227-01602-X</t>
  </si>
  <si>
    <t>17143</t>
  </si>
  <si>
    <t>Остров любви в океане страсти</t>
  </si>
  <si>
    <t>978-5-227-07141-5</t>
  </si>
  <si>
    <t>15201</t>
  </si>
  <si>
    <t>Остров наслаждений</t>
  </si>
  <si>
    <t>978-5-227-05216-2</t>
  </si>
  <si>
    <t>16978</t>
  </si>
  <si>
    <t>Карлайл К.</t>
  </si>
  <si>
    <t>Остров нашего счастья</t>
  </si>
  <si>
    <t>978-5-227-06925-2</t>
  </si>
  <si>
    <t>19125</t>
  </si>
  <si>
    <t>Остров сбывшейся мечты</t>
  </si>
  <si>
    <t>978-5-227-08974-8</t>
  </si>
  <si>
    <t>17397</t>
  </si>
  <si>
    <t>Остров сбывшихся желаний</t>
  </si>
  <si>
    <t>978-5-227-07441-6</t>
  </si>
  <si>
    <t>17154</t>
  </si>
  <si>
    <t>Острота ощущений</t>
  </si>
  <si>
    <t>978-5-227-07120-0</t>
  </si>
  <si>
    <t>20852</t>
  </si>
  <si>
    <t>Острота тайных ласк</t>
  </si>
  <si>
    <t>978-5-227-10366-6</t>
  </si>
  <si>
    <t>Лекси Рэндалл приехала спасать семейный бизнес. Ее цель — доказать отцу, что наследницей фирмы должна стать именно она, а не ее безответственный брат. Лекси создает архитектурный проект и предлагает его на рассмотрение известному бизнесмену Монтгомери Гранту. Вскоре они приступают к реализации проекта, однако влечение, возникшее между ними с первых секунд, контролировать все сложнее. К тому же Лекси больше всего на свете боится быть разоблаченной…</t>
  </si>
  <si>
    <t>21693</t>
  </si>
  <si>
    <t>Барух Б.М.</t>
  </si>
  <si>
    <t>От биржевого игрока с Уолл-стрит до влиятельного политического деятеля. Мемуары крупного американского финансиста, серого кардинала Белого дома</t>
  </si>
  <si>
    <t>978-5-9524-6433-9</t>
  </si>
  <si>
    <t>«Одинокий волк Уолл-стрит», «экономический диктатор», «серый кардинал Белого дома» — так называли Бернарда Баруха. Сколотив на бирже капитал, Барух занялся политикой, став экономическим советником подряд пяти президентов Америки. В Первую мировую войну он возглавляет Военно-промышленный комитет США, переведя американскую промышленность на военные рельсы и на этом хорошо зарабатывая, потом, будучи членом Высшего экономического совета Версальской конференции, прикладывает руку к перекраиванию политической карты мира, далее срывает большой куш в Великую депрессию. Именно он ввёл в оборот термин «холодная война»… В автобиографической книге Барух рассказывает о своей семье, финансовых авантюрах, о встречах и работе с государственными деятелями, размышляет о политике и экономике своей страны.</t>
  </si>
  <si>
    <t>15686</t>
  </si>
  <si>
    <t>Зуев Г.И.</t>
  </si>
  <si>
    <t>От Вознесенского проспекта до реки Пряжки. Краеведческие расследование по петербургскисм адресам</t>
  </si>
  <si>
    <t>978-5-227-05524-8</t>
  </si>
  <si>
    <t>7283</t>
  </si>
  <si>
    <t>Великина Е.</t>
  </si>
  <si>
    <t>От заката до обеда</t>
  </si>
  <si>
    <t>5-9524-2323-X</t>
  </si>
  <si>
    <t>17614</t>
  </si>
  <si>
    <t>Пирс Р.</t>
  </si>
  <si>
    <t>От имени государства</t>
  </si>
  <si>
    <t>978-5-227-07622-9</t>
  </si>
  <si>
    <t>16319</t>
  </si>
  <si>
    <t>Иванов О.А.</t>
  </si>
  <si>
    <t>От Крымского вала до Воробьевых гор.</t>
  </si>
  <si>
    <t>978-5-227-05740-2</t>
  </si>
  <si>
    <t>20788</t>
  </si>
  <si>
    <t>От монумента до граффити. Городская среда в мозаиках, росписях, рельефах и инсталляциях… Историко-художественный путеводитель. Петербург XX-XXI вв.</t>
  </si>
  <si>
    <t>978-5-227-10415-1</t>
  </si>
  <si>
    <t>В этой книге речь пойдет о монументах и росписях, мозаиках и рельефах, средовых объектах и инсталляциях, оформлении улиц и граффити, созданных за последние сто с лишним лет. Впервые средовое искусство Северной столицы предстает в своей цельности в мировом контексте._x000D_
В книге паблик-арт «захвачен» на дальних подступах, когда в Петербурге появились первые проявления «культуры участия». Автор стремится сочетать искусствоведческий подход с социально-антропологическим: попыткой рассмотреть репрезентацию массовых настроений и ожиданий, технику визуальных месседжей власти и реакции на них. _x000D_
Жанр книги очень пластичен. Здесь есть элементы историко-художественного путеводителя, намечена определенная навигация во времени и пространстве. Однако фактографические и краеведческие интересы далеко не приоритетны…_x000D_
Выстроена достаточно цельная картина господствующих художественных стилей: от модерна к нескольким версиям конструктивизма и постконструктивизма, включая ленинградское ар-деко. Наряду с произведениями крупных мастеров, рассмотрению подлежит и достаточно рядовая арт-продукция: иногда типологичные вещи репрезентируют время и господствующий стиль в не меньшей степени, чем шедевры.</t>
  </si>
  <si>
    <t>20505</t>
  </si>
  <si>
    <t>От него к ней и от нее к нему. Веселые рассказы</t>
  </si>
  <si>
    <t>978-5-227-09973-0</t>
  </si>
  <si>
    <t>В этом сборнике Николая Александровича Лейкина, сатирика-классика конца XIX века, как и всегда, представлено обилие бытовых подробностей и примет времени, а темы у рассказов актуальны во все времена. Произвол богачей, эмоциональный шантаж для вымогания денег (как детьми родителей, так и «кавалерами» наивных дам), легкомысленность юных девушек, чрезмерная болтливость. Не обходит автор стороной и такие по сей день животрепещущие темы, как странные попутчики в поезде, поведение в очередях, страстное желание кутить и вездесущее пьянство. Сами затронутые явления смешными назвать сложно, но в том и сила талантливого юмориста, чтобы не только изобличать пороки общества, но и делать это весело. Завершает сборник объемный рассказ с вкраплениями уморительных пародий на современников Н.А. Лейкина.</t>
  </si>
  <si>
    <t>21088</t>
  </si>
  <si>
    <t>От Орла до Новороссийска</t>
  </si>
  <si>
    <t>978-5-227-10132-7</t>
  </si>
  <si>
    <t>Книга представляет собой двадцатый том из серии, посвященной Белому движению в России, и описывает боевые действия Вооруженных Сил Юга России с начала октября 1919 года до марта 1920 года, то есть от начала их отхода осенью 1919-го до эвакуации из Одессы и Новороссийска._x000D_
Вооруженные силы белых оказались расчлененными, они стали нести значительные потери и быстро таяли. В ходе отступления потери белых убитыми, умершими и попавшими в плен составили более 200 тыс. человек._x000D_
Большинство публикуемых воспоминаний в России никогда не издавались._x000D_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</si>
  <si>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18262</t>
  </si>
  <si>
    <t>От первого лица</t>
  </si>
  <si>
    <t>978-5-227-07864-3</t>
  </si>
  <si>
    <t>20523</t>
  </si>
  <si>
    <t>Марчуков А.В.</t>
  </si>
  <si>
    <t>От Ржева до Берлина. Воины 3-й гвардейской истребительной авиадивизии о себе и боевых товарищах. Правда из прошлого</t>
  </si>
  <si>
    <t>978-5-227-09570-1</t>
  </si>
  <si>
    <t>Книга, которую вы держите в руках, уникальна. Впервые за 77 лет в ней публикуются стенограммы бесед с воинами 3-й гвардейской истребительной авиационной дивизии. Интервью были взяты у 36 человек: лётчиков, штабных, политических и технических работников Управления дивизии, 32-го и 63-го гвардейских истребительных авиационных полков. Кроме того, в беседах рассказывается о воинах ещё трёх авиационных частей: 1-го гвардейского, 163-го и 521-го истребительных авиаполков. Записанные во время войны беседы исключительны по своему содержанию и откровенности. Они не подвергались редакторской правке, над ними не довлела цензура. Люди говорили то, что думали — о своей жизни и боевом пути, о войне, о друзьях и сослуживцах. О каждом из воинов, оставивших интервью, в книге даются составленные на основе архивных источников очерки. А сами стенограммы снабжены подробными комментариями и справками об упомянутых в тексте персоналиях. Также уточняются боевые счета почти восьми десятков советских асов._x000D_
Книга снабжена богатым фотографическим и иллюстративным материалом, многие фотографии публикуются впервые.</t>
  </si>
  <si>
    <t>21591</t>
  </si>
  <si>
    <t>От Садового кольца до границ Москвы. История окраин, шедевры зодчества, памятные места, людские судьбы</t>
  </si>
  <si>
    <t>978-5-227-11010-7</t>
  </si>
  <si>
    <t>Известный москвовед Сергей Константинович Романюк рассказывает читателю историю московских сел и слобод, которыми прирастала столица._x000D_
Первая часть повествования поведает о территории от Садового кольца до Камер-Коллежского вала, который был в продолжение более чем ста лет границей города. Описание начинается с местности в излучине Москвы-реки, с Хамовной слободы, и продолжается по часовой стрелке, заканчиваясь Калужской дорогой. Говорится о прошлом этих мест, о шедеврах зодчества и о зданиях, которые не столь на виду, о людях забытых, но славных в истории города._x000D_
Вторая часть описывает местности от Камер-Коллежского вала и до границ города в конце XX века. Здесь сохранились широко известные великолепные дворцы, украшающие знаменитые усадьбы — Кунцево Нарышкиных, Останкино и Кусково Шереметевых, Люблино Дурасовых, царские Коломенское и Царицыно… От многих сел и усадеб остались лишь церковные здания, и часто это прекрасные образцы архитектуры — Покровская церковь в Филях, Знаменская в Перове, Троицкая в Троице-Голенищеве..._x000D_
За последние годы Москва стремительно меняется, а книга написана около тридцати лет назад, но тем не менее за это время никто не сделал более подробного описания местностей за Садовым кольцом, чем автор. Поэтому книга уникальна и рекомендуется самому широкому кругу читателей, интересующихся историей Москвы.</t>
  </si>
  <si>
    <t>17417</t>
  </si>
  <si>
    <t>Кайзергрубер Ф.</t>
  </si>
  <si>
    <t>От Северского Донца до Одера. Бельгийский доброволец в составе валлонского легиона. 1942-1945</t>
  </si>
  <si>
    <t>978-5-227-07443-0</t>
  </si>
  <si>
    <t>17793</t>
  </si>
  <si>
    <t>Праун А.</t>
  </si>
  <si>
    <t>От солдата до генерала</t>
  </si>
  <si>
    <t>978-5-9524-5271-8</t>
  </si>
  <si>
    <t>21340</t>
  </si>
  <si>
    <t>Чуйков В.И.</t>
  </si>
  <si>
    <t>От Сталинграда до Берлина. Воспоминания командующего</t>
  </si>
  <si>
    <t>978-5-227-07931-2</t>
  </si>
  <si>
    <t>Книга прославленного советского военачальника дважды Героя Советского Союза Маршала Советского Союза Василия Ивановича Чуйкова посвящена в основном боевому пути 62-й армии, преобразованной после Сталинградской битвы в 8-ю гвардейскую, которая вместе с другими войсками отстояла от врага Сталинград, участвовала в освобождении Донбасса, Запорожья, Одессы, форсировала Вислу, Одер и закончила свой боевой путь штурмом Берлина._x000D_
В своих воспоминаниях автор опирался на документы той поры, а также многочисленные свидетельства очевидцев и участников боевых действий.</t>
  </si>
  <si>
    <t>17396</t>
  </si>
  <si>
    <t>От судьбы не уйти</t>
  </si>
  <si>
    <t>978-5-227-07440-9</t>
  </si>
  <si>
    <t>21265</t>
  </si>
  <si>
    <t>Хаггард Г.В.</t>
  </si>
  <si>
    <t>От целителя до врача. История медицины с древности до наших дней</t>
  </si>
  <si>
    <t>978-5-9524-6004-1</t>
  </si>
  <si>
    <t>Врач Говард Хаггард, профессор Йельского университета, в своей книге сделал обзор истории медицины от ее истоков в древней цивилизации до наших дней. Он собрал интересные факты развития акушерских методов родовспоможения, анестезии, хирургии и других любопытных способов лечения людей, развившихся в целую науку врачевания. Невероятно увлекательно, с историческими анекдотами и множеством уникальных иллюстраций изложены разнообразные формы медицинской помощи.</t>
  </si>
  <si>
    <t>21414</t>
  </si>
  <si>
    <t>От Чернигова до Смоленска. Военная история юго-западного русского порубежья с древнейших времен до ХVII в.</t>
  </si>
  <si>
    <t>978-5-227-10857-9</t>
  </si>
  <si>
    <t>В работе профессора Брянского государственного университета им. академика И.Г. Петровского, доктора исторических наук Е.А. Шинакова на основе анализа широкого круга археологических и письменных источников рассматривается история вооружения и воинской культуры одного из самых «беспокойных» регионов России, всегда находившегося в пограничье различных этнокультурных и государственных ареалов и даже сейчас остающегося на стыке сразу трех стран. Российскую часть этого большого исторического региона сейчас занимает Брянская и частично — Смоленская и Калужская области, украинскую — Черниговская и Сумская, белорусскую — Гомельская и Могилевская области. Своеобразной осью этого региона от Смоленщины до Черниговщины является река Десна с ее притоками, поэтому его называют «Подесенье». Хронологические рамки работы — от древности, момента зарождения оружия и военных конфликтов, до конца XVII в., когда Подесенье фактически перестало быть беспокойным военным пограничьем._x000D_
Издание предназначено не только для специалистов и студентов, но и широкого круга читателей, интересующихся военной историей Отечества и отдельных регионов.</t>
  </si>
  <si>
    <t>16588</t>
  </si>
  <si>
    <t>Ответное желание</t>
  </si>
  <si>
    <t>978-5-227-06499-8</t>
  </si>
  <si>
    <t>19426</t>
  </si>
  <si>
    <t>Отдать все за ее любовь</t>
  </si>
  <si>
    <t>978-5-227-09112-3</t>
  </si>
  <si>
    <t>14938</t>
  </si>
  <si>
    <t>Отдать все, кроме сердца</t>
  </si>
  <si>
    <t>978-5-227-04875-2</t>
  </si>
  <si>
    <t>16360</t>
  </si>
  <si>
    <t>Отдых на бермудах</t>
  </si>
  <si>
    <t>978-5-227-06265-9</t>
  </si>
  <si>
    <t>16184</t>
  </si>
  <si>
    <t>Отель у моря</t>
  </si>
  <si>
    <t>978-5-227-06225-3</t>
  </si>
  <si>
    <t>4521</t>
  </si>
  <si>
    <t>NEXT 2</t>
  </si>
  <si>
    <t>Отец это звучит гордо</t>
  </si>
  <si>
    <t>5-9524-0779-X</t>
  </si>
  <si>
    <t>4905</t>
  </si>
  <si>
    <t>5-9524-1044-8</t>
  </si>
  <si>
    <t>16963</t>
  </si>
  <si>
    <t>Отказать мистеру совершенство</t>
  </si>
  <si>
    <t>978-5-227-06858-3</t>
  </si>
  <si>
    <t>15673</t>
  </si>
  <si>
    <t>Откровения виконта</t>
  </si>
  <si>
    <t>978-5-227-05499-9</t>
  </si>
  <si>
    <t>19614</t>
  </si>
  <si>
    <t>Откровения соблазна</t>
  </si>
  <si>
    <t>978-5-227-09274-8</t>
  </si>
  <si>
    <t>20630</t>
  </si>
  <si>
    <t>Открой дверь в прошлое</t>
  </si>
  <si>
    <t>978-5-227-10287-4</t>
  </si>
  <si>
    <t>Шантель Уилсон, известный психолог, неожиданно для самой себя отправляется на аукцион холостяков. Так она решает угодить своему другу. На мероприятии Шантель делает ставку на Романа Локетта, брата ее приятеля. Результатом этого шага стала бурная страстная ночь с незабываемым красавчиком, обернувшаяся незапланированной беременностью. Роман оказывается порядочным мужчиной, он предлагает Шантель брак, но та решительно отказывается, потому что всю жизнь мечтала о неземной любви…</t>
  </si>
  <si>
    <t>19670</t>
  </si>
  <si>
    <t>Открой свое сердце</t>
  </si>
  <si>
    <t>978-5-227-09293-9</t>
  </si>
  <si>
    <t>0110</t>
  </si>
  <si>
    <t>Откройте - смерть</t>
  </si>
  <si>
    <t>978-5-227-06991-7</t>
  </si>
  <si>
    <t>20406</t>
  </si>
  <si>
    <t>Откуда приходят герои любимых книг. Литературное зазеркалье. Живые судьбы в книжном отражении</t>
  </si>
  <si>
    <t>978-5-227-10167-9</t>
  </si>
  <si>
    <t>А вы когда-нибудь задумывались над тем, где родилась Золушка? Знаете ли вы, что Белоснежка пала жертвой придворных интриг? Что были времена, когда реальный Бэтмен патрулировал улицы Нью-Йорка, настоящий Робинзон Крузо дни напролет ждал корабля на необитаемом острове, который, кстати, впоследствии назвали его именем, а прототип Алеши из «Черной курицы» Погорельского вырос и послужил прототипом Алексея Вронского в «Анне Карениной»? Согласитесь, интересно изучать произведения известных авторов под столь непривычным углом. Из этой книги вы узнаете, что печальная история Муму писана с натуры, что Туве Янссон чуть было не вышла замуж за прототипа своего Снусмумрика, а Джоан Роулинг развелась с прототипом Златопуста Локонса. Многие литературные герои — отражение настоящих людей. Читайте, и вы узнаете, что жил некогда реальный злодей Синяя Борода, что Штирлиц не плод фантазии Юлиана Семенова, а маленькая Алиса родилась вовсе не в Стране чудес… Будем рады, если чтение этой книги принесет вам столько же открытий, сколько принесло нам во время работы над текстом.</t>
  </si>
  <si>
    <t>19464</t>
  </si>
  <si>
    <t>Откупиться страстью</t>
  </si>
  <si>
    <t>978-5-227-09115-4</t>
  </si>
  <si>
    <t>8816</t>
  </si>
  <si>
    <t>Глушенко Е.</t>
  </si>
  <si>
    <t>Отличница</t>
  </si>
  <si>
    <t>978-5-9524-3083-9</t>
  </si>
  <si>
    <t>18964</t>
  </si>
  <si>
    <t>Отложенная свадьба</t>
  </si>
  <si>
    <t>978-5-227-08896-3</t>
  </si>
  <si>
    <t>20002</t>
  </si>
  <si>
    <t>978-5-227-09672-2</t>
  </si>
  <si>
    <t>18537</t>
  </si>
  <si>
    <t>Отложенное счастье</t>
  </si>
  <si>
    <t>978-5-227-08434-7</t>
  </si>
  <si>
    <t>17059</t>
  </si>
  <si>
    <t>Отмени мое одиночество</t>
  </si>
  <si>
    <t>978-5-227-07068-5</t>
  </si>
  <si>
    <t>19114</t>
  </si>
  <si>
    <t>Сингх Н.</t>
  </si>
  <si>
    <t>Отпразднуем развод!</t>
  </si>
  <si>
    <t>978-5-227-08941-0</t>
  </si>
  <si>
    <t>16189</t>
  </si>
  <si>
    <t>Отпуск с незнакомцем</t>
  </si>
  <si>
    <t>978-5-227-06223-9</t>
  </si>
  <si>
    <t>17377</t>
  </si>
  <si>
    <t>Отражение</t>
  </si>
  <si>
    <t>978-5-227-07446-1</t>
  </si>
  <si>
    <t>20881</t>
  </si>
  <si>
    <t>Отрезанный</t>
  </si>
  <si>
    <t>978-5-227-10030-6</t>
  </si>
  <si>
    <t>Ведущий судмедэксперт Федерального ведомства уголовной полиции Германии Пауль Херцфельд нашел в голове чудовищно изуродованного женского трупа записку с номером телефона своей дочери Ханны. Оказывается, девочка похищена, и злоумышленник с извращенным сознанием вовлекает Пауля в смертельно опасную игру, оставляя призрачную надежду спасти дочь. Очередное указание о дальнейших действиях спрятано еще в одном трупе, который находится на северном острове Гельголанд. Однако Херцфельд не имеет шансов получить информацию. Мощный циклон отрезал остров от материка, население уже эвакуировали. Среди немногих, кто остался, художница комиксов Линда. Она и обнаружила на пляже мертвеца. Отчаявшийся отец пытается уговорить ее провести вскрытие по его телефонным инструкциям. Но Линда никогда не касалась скальпеля. Не говоря уже о том, чтобы рассекать человеческое тело.</t>
  </si>
  <si>
    <t>21614</t>
  </si>
  <si>
    <t>978-5-227-11034-3</t>
  </si>
  <si>
    <t>Ведущий судмедэксперт Федерального ведомства уголовной полиции Германии Пауль Херцфельд нашел в голове чудовищно изуродованного женского трупа записку с номером телефона своей дочери Ханны. Оказывается, девочка похищена, и злоумышленник с извращенным сознанием вовлекает Пауля в смертельно опасную игру, оставляя призрачную надежду спасти дочь. Очередное указание о дальнейших действиях спрятано еще в одном трупе, который находится на северном острове Гельголанд. Однако Херцфельд не имеет шансов получить информацию. Мощный циклон отрезал остров от материка, население уже эвакуировали. Среди немногих, кто остался, художница комиксов Линда. Она и обнаружила на пляже мертвеца. Отчаявшийся отец пытается уговорить ее провести вскрытие по его телефонным инструкциям. Но Линда никогда не касалась скальпеля. Не говоря уже о том, чтобы рассекать человеческое тело...</t>
  </si>
  <si>
    <t>17170</t>
  </si>
  <si>
    <t>Отрок</t>
  </si>
  <si>
    <t>978-5-227-07235-1</t>
  </si>
  <si>
    <t>20056</t>
  </si>
  <si>
    <t>Отчаянные подружки</t>
  </si>
  <si>
    <t>978-5-227-09429-2</t>
  </si>
  <si>
    <t>17791</t>
  </si>
  <si>
    <t>Рюдаль Т.</t>
  </si>
  <si>
    <t>Отшельник</t>
  </si>
  <si>
    <t>978-5-227-07768-4</t>
  </si>
  <si>
    <t>21711</t>
  </si>
  <si>
    <t>Оф.1 Петербург. Доходные дома (бежевый дом). 200 самых красивых и необычных зданий великого города</t>
  </si>
  <si>
    <t>978-5-227-11016-9</t>
  </si>
  <si>
    <t>Санкт-Петербург невозможно представить без его знаменитых доходных домов и особняков. Это не просто неотъемлемая часть города, это памятники архитектуры с богатейшим прошлым. Дома являются визитными карточками улиц и несут на своих неповторимых живописных фасадах печать ушедшей исторической эпохи. Многие дома до сегодняшнего дня являются жилыми. Иметь квартиру в таком здании — это возможность жить в уникальной атмосфере, пропитанной духом старого Петербурга._x000D_
В издании представлена лишь часть этой огромной сферы историко-культурного наследия, около двухсот адресов. Следует предуведомить читателя: книга посвящена в основном архитектурному облику, а не биографиям домов и жителей. В ней раскрываются композиционно-стилевые особенности зданий, их типические и индивидуальные черты, характерные для почерка того или иного архитектора.</t>
  </si>
  <si>
    <t>21712</t>
  </si>
  <si>
    <t>Оф.2 Петербург. Доходные дома (коллаж). 200 самых красивых и необычных зданий великого города</t>
  </si>
  <si>
    <t>978-5-227-11063-3</t>
  </si>
  <si>
    <t>19618</t>
  </si>
  <si>
    <t>Офис для Золушки</t>
  </si>
  <si>
    <t>978-5-227-09413-1</t>
  </si>
  <si>
    <t>20767</t>
  </si>
  <si>
    <t>Офицеры российской гвардии в Белой борьбе</t>
  </si>
  <si>
    <t>978-5-227-10014-6</t>
  </si>
  <si>
    <t>Книга «Офицеры российской гвардии в Белой борьбе» представляет собой восьмой том серии, посвященной истории Белого движения в России по воспоминаниям его участников._x000D_
За небольшим исключением помещенные в томе материалы никогда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</si>
  <si>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19697</t>
  </si>
  <si>
    <t>Никифоров О.Н</t>
  </si>
  <si>
    <t>Охота за призраком. Борьба спецслужб СССР, США и Западной Германии за архивы МГБ ГДР</t>
  </si>
  <si>
    <t>978-5-227-09473-5</t>
  </si>
  <si>
    <t>21589</t>
  </si>
  <si>
    <t>Яллоп Д.Э.</t>
  </si>
  <si>
    <t>Охота за Шакалом. На край света по следам жестокого убийцы</t>
  </si>
  <si>
    <t>978-5-9524-6364-6</t>
  </si>
  <si>
    <t>Британский писатель, сценарист и публицист Дэвид Яллоп десять лет шел по следу Карлоса Шакала — международного террориста венесуэльского происхождения, обвиняемого в нападении на израильских спортсменов на Мюнхенской олимпиаде, захвате заложников в штаб-квартире ОПЕК, бойне в аэропорту Тель-Авива, множестве взрывов, убийств и угонов самолетов. Жизнеописание Ильича Рамиреса Санчеса — таково настоящее имя «террориста номер один» в 70—80-е годы ХХ в. — читается как захватывающий триллер, однако это серьезное журналистское расследование, обличающее коррупцию в высших эшелонах власти и кровавые методы борьбы радикалов.</t>
  </si>
  <si>
    <t>19556</t>
  </si>
  <si>
    <t>Охота на Лунина</t>
  </si>
  <si>
    <t>978-5-227-09395-0</t>
  </si>
  <si>
    <t>21792</t>
  </si>
  <si>
    <t>Бреннеке Йохан</t>
  </si>
  <si>
    <t>Охотники за охотниками. Хроника боевых действий подводных лодок Германии во Второй мировой войне</t>
  </si>
  <si>
    <t>978-5-9524-5859-8</t>
  </si>
  <si>
    <t>Книга рассказывает о боевых действиях подводного флота Германии в годы Второй мировой войны. Автор, основываясь на фактических данных, документах, вахтенных журналах подводных лодок, дневниках подводников, воспоминаниях участников боевых действий, вскрывает причины поражения подводного флота Германии.</t>
  </si>
  <si>
    <t>17807</t>
  </si>
  <si>
    <t>Охотники за пиратами ХХI. Защита торгового флота</t>
  </si>
  <si>
    <t>978-5-227-07666-3</t>
  </si>
  <si>
    <t>19970</t>
  </si>
  <si>
    <t>Блэкмор Г.Л.</t>
  </si>
  <si>
    <t>Охотничье оружие. От Средних веков до двадцатого столетия</t>
  </si>
  <si>
    <t>978-5-9524-5623-5</t>
  </si>
  <si>
    <t>18766</t>
  </si>
  <si>
    <t>Охотный Ряд и Моховая. Прогулки под стенами Кремля</t>
  </si>
  <si>
    <t>978-5-227-05795-2</t>
  </si>
  <si>
    <t>12341</t>
  </si>
  <si>
    <t>Краснолуцкий А.Ю.</t>
  </si>
  <si>
    <t>Охтинская энциклопедия.Большая Охта</t>
  </si>
  <si>
    <t>978-5-227-02318-6</t>
  </si>
  <si>
    <t>12374</t>
  </si>
  <si>
    <t>Охтинская энциклопедия.Малая Охта</t>
  </si>
  <si>
    <t>978-5-227-02431-2</t>
  </si>
  <si>
    <t>21184</t>
  </si>
  <si>
    <t>Столбова Н.П.</t>
  </si>
  <si>
    <t>Охтинские усадьбы. Дача Безобразовых «Жерновка», Уткина дача, дача Долгорукова «Салтыковка»… История, архитектура и владельцы усадеб со времени их возникновения до сегодняшнего дня</t>
  </si>
  <si>
    <t>978-5-227-10720-6</t>
  </si>
  <si>
    <t>Охтинские усадьбы — тема многолетних изысканий автора в изучении прошлого Охты, старинной местности Петербурга. Книга расскажет об истории, архитектуре, владельцах усадеб «Жерновка», Уткина дача, «Салтыковка», дач Никонова и Комаровского. Повествование о сохранившихся усадьбах или участках, на которых они некогда находились, идет от времени их возникновения в XVIII в. до сегодняшнего дня. В ходе работы обнародованы неизвестные ранее факты и новые имена, уточнены даты, закрыты «лакуны» в истории дач. Впервые рассматривается как возможный «масонский след» в истории «Жерновки», дается интерпретация ее символики... Описания дач Никонова и Комаровского приводятся впервые. Исследование, выполненное на основе обширной источниковедческой базы, по сути, представляет новый жанр — «краеведческий детектив» с не всегда однозначными, но всегда обоснованными версиями исхода. Фактическую базу исследования составили архивные документы, в абсолютном большинстве впервые вводимые в научный оборот, а также планы и карты Санкт-Петербурга и окрестностей, другие источники и литература по теме, воспоминания и мемуары._x000D_
Текст иллюстрирован ранее не публиковавшимся иконографическим материалом, авторскими фотографиями.</t>
  </si>
  <si>
    <t>17578</t>
  </si>
  <si>
    <t>Очарование невинности</t>
  </si>
  <si>
    <t>978-5-227-07612-0</t>
  </si>
  <si>
    <t>10400</t>
  </si>
  <si>
    <t>Очарование юности</t>
  </si>
  <si>
    <t>978-5-9524-2574-3</t>
  </si>
  <si>
    <t>18763</t>
  </si>
  <si>
    <t>Очарованные. Дар Донованов</t>
  </si>
  <si>
    <t>978-5-227-08714-0</t>
  </si>
  <si>
    <t>21529</t>
  </si>
  <si>
    <t>Макдональд Д., Дронфилд Дж.</t>
  </si>
  <si>
    <t>Очень опасная женщина. Из Москвы в Лондон с любовью, ложью и коварством: биография шпионки, влюблявшей в себя гениев</t>
  </si>
  <si>
    <t>978-5-9524-6286-1</t>
  </si>
  <si>
    <t>Русская аристократка баронесса Мура Будберг – шпионка, искательница приключений, харизматичная соблазнительница, любовница двух крупнейших писателей XX века, родилась для того, чтобы потворствовать своим желаниям и получать удовольствие от жизни. Мужчины сходили по ней с ума, но ее главной любовью стал британский дипломат и тайный агент Роберт Брюс Локарт, ради него она была готова пожертвовать всем. Эта увлекательно изложенная, правдивая история о страсти, шпионаже, обмане и предательстве – первая биография Муры Будберг, в которой использованы все прежде не исследованные письма, дневники и документы, имевшие отношение к жизни этой необыкновенной женщины.</t>
  </si>
  <si>
    <t>16318</t>
  </si>
  <si>
    <t>Василенко Н.П.</t>
  </si>
  <si>
    <t>Очерки из истории Западной Руси и Украины</t>
  </si>
  <si>
    <t>978-5-227-05771-6</t>
  </si>
  <si>
    <t>20034</t>
  </si>
  <si>
    <t>Лукомский А.С.</t>
  </si>
  <si>
    <t>Очерки из моей жизни. Воспоминания генерал-лейтенанта Генштаба, одного из лидеров Белого движения на юге России</t>
  </si>
  <si>
    <t>978-5-227-09817-7</t>
  </si>
  <si>
    <t>20336</t>
  </si>
  <si>
    <t>Очерки истории Ливонской войны. От Нарвы до Феллина. 1558-1561 гг.</t>
  </si>
  <si>
    <t>978-5-227-10129-7</t>
  </si>
  <si>
    <t>В январе 1558 г. русские полки по повелению Ивана Грозного перешли русско­ливонскую границу. Четыре года, с 1558 по 1561 г., Прибалтика была объята пламенем войны, которая вскоре получила название Ливонской (в свою очередь, эта война стала частью более длительного конфликта, который можно назвать Войной за ливонское наследство, длившейся де­факто с 1555 по 1595 г.). В результате действий русских войск «больной человек» Северо­Восточной Европы, Ливонская «конфедерация», состоявшая из Ливонского ордена, Рижского архиепископства и ряда других, более мелких владений, была разгромлена, распалась и разделена между могущественными и алчными соседями. История этой войны, несмотря на ее значение для после­дующей истории не только России и Прибалтики, но и вмешавшихся в конфликт государств — Польши, Литвы, Швеции, Дании, — изучена крайне слабо, в особенности отечественной историографией. В этой небольшой работе, написанной с использованием как отечественных, так и зарубежных источников и литературы, восполняется этот пробел. В ней дан краткий военно­исторический (и отчасти — дипломатический) очерк этого конфликта, который будет полезен не только историкам, но и всем, кто интересуется и русской историей, и в особенности историей русского военного дела XVI в.</t>
  </si>
  <si>
    <t>20033</t>
  </si>
  <si>
    <t>Очерки по истории войн и военного искусства</t>
  </si>
  <si>
    <t>978-5-227-09824-5</t>
  </si>
  <si>
    <t>21512</t>
  </si>
  <si>
    <t>Худяков М.Г.</t>
  </si>
  <si>
    <t>Очерки по истории Казанского ханства. Становление, развитие и падение феодального государства в Среднем Поволжье. 1438–1552 гг.</t>
  </si>
  <si>
    <t>978-5-9524-6335-6</t>
  </si>
  <si>
    <t>Книга посвящена истории Казанского ханства со времен наивысшего могущества до завоевания территорий Иваном IV и утраты независимости в середине ХVI в. Автор описывает политическое и экономическое устройство региона, быт и повседневную жизнь поволжских татар, освещает сложные вопросы соседства двух обширных государств, одно из которых в конце концов поглотило другое, а также взаимопроникновение культур и усиление связей между двумя народами.</t>
  </si>
  <si>
    <t>20573</t>
  </si>
  <si>
    <t>Очерки по истории Смуты в Московском государстве XVI—XVII вв. Опыт изучения общественного строя и сословных отношений в Смутное время</t>
  </si>
  <si>
    <t>978-5-227-10282-9</t>
  </si>
  <si>
    <t>Настоящий труд русского и советского историка С.Ф. Платонова является наиболее полным исследованием событий в период со второй половины XVI века и до начала XVII, позже получивший название Смутного времени. Используя документы, автор подробно освещает ход внутренней и внешней политической борьбы тех лет. Положенный в основу работы богатый фактический материал дает конкретное представление о том, как, проходя через опричнину, крестьянские войны, напряженное противостояние нападкам соседних государств (Польши, Литвы, Швеции), складывалось многонациональное централизованное Московское государство.</t>
  </si>
  <si>
    <t>10728</t>
  </si>
  <si>
    <t>Доктор Адаптор</t>
  </si>
  <si>
    <t>Очищение организма за четырнадцать дней</t>
  </si>
  <si>
    <t>978-5-9524-3764-7</t>
  </si>
  <si>
    <t>11017</t>
  </si>
  <si>
    <t>978-5-9524-4199-6</t>
  </si>
  <si>
    <t>19981</t>
  </si>
  <si>
    <t>Очкарик</t>
  </si>
  <si>
    <t>978-5-227-09633-3</t>
  </si>
  <si>
    <t>18170</t>
  </si>
  <si>
    <t>978-5-227-08037-0</t>
  </si>
  <si>
    <t>21776</t>
  </si>
  <si>
    <t>Бок М.П.</t>
  </si>
  <si>
    <t>П.А. Столыпин. Воспоминания о моем отце. 1884—1911</t>
  </si>
  <si>
    <t>978-5-9524-6518-3</t>
  </si>
  <si>
    <t>В этой книге старшая дочь П.А. Столыпина рассказывает о своем отце, о предках, среди которых были Лермонтов и Суворов. О важнейших вехах на пути Столыпина от прогрессивного помещика до государственного деятеля. Любящий муж и отец, трудолюбивый и удачливый человек, он первым принял на себя страшный удар ненависти, предательства и неверия.</t>
  </si>
  <si>
    <t>21818</t>
  </si>
  <si>
    <t>Ульянова С.Б, Сидорчук И.В</t>
  </si>
  <si>
    <t>Пагубные страсти населения Петрограда—Ленинграда в 1920-е годы. Обаяние порока</t>
  </si>
  <si>
    <t>978-5-227-11155-5</t>
  </si>
  <si>
    <t>Поведение, не принимаемое обществом или законом, существует в любом социуме. Проблемы наркомании, алкоголизма, проституции и прочие пагубные страсти являются частью массовой культуры и предметом научного изучения. Книга посвящена асоциальным и нетрадиционным формам свободного времяпрепровождения жителей Петрограда—Ленинграда в 1920-е годы. Этот период выбран не случайно. На смену Гражданской войне, «красному» и «белому» террорам, голоду и эпидемиям сыпного тифа, повлекшим за собой гибель миллионов человек, в марте 1921 г. пришла новая экономическая политика — НЭП, существенно повлиявшая на культуру…_x000D_
Книга напитана текстами того времени, чтобы полнее передать «дух эпохи», дать читателю «услышать» голоса современников описываемых событий. Авторов привлекала не столько борьба с теми или иными общественными пороками, сколько характер их распространения в досуговой сфере, мотивация потребителей различных видов девиантного досуга и инфраструктура его предложения.</t>
  </si>
  <si>
    <t>21704</t>
  </si>
  <si>
    <t>Хольцман О.</t>
  </si>
  <si>
    <t>Падение иудейского государства. Эпоха Второго Храма от III века до н. э. до первой Иудейской войны</t>
  </si>
  <si>
    <t>978-5-227-11078-7</t>
  </si>
  <si>
    <t>Немецкий историк, профессор богословия, специалист по толкованию библейских текстов, переводчик, гебраист, автор трудов по истории древней Иудеи и раннего христианства Оскар Хольцман впервые опубликовал фундаментальный труд «Падение еврейского государства» в 1888 году._x000D_
Предлагаемое сочинение составляет часть масштабного проекта по всеобщей истории, издаваемой немецким ученым В. Онкеном. Беспристрастие Хольцмана и самостоятельность его при освещении описываемых событий искупают в значительной мере некоторые недостатки изложения текста. В 1899 году книга была переведена на русский язык, так как она имеет серьезную научную ценность и является одним из самых авторитетных исследований XIX века по древней истории еврейского народа. В России над ее текстом трудился известный филолог и ориенталист Г.Г. Геккель. Автор повествует об эпохе Второго Храма с III века до н. э. до первой Иудейской войны (66—71 гг.). В издании изложены важнейшие аспекты жизни еврейского народа на Ближнем Востоке.</t>
  </si>
  <si>
    <t>20655</t>
  </si>
  <si>
    <t>Рансимен С.</t>
  </si>
  <si>
    <t>Падение Константинополя. Гибель Византийской империи под натиском османов</t>
  </si>
  <si>
    <t>978-5-9524-5867-3</t>
  </si>
  <si>
    <t>Британский историк­медиевист, византинист Стивен Рансимен в своем труде повествует о том, что привело Византию на край гибели, а турок — к триумфу, почему Европа предпочла не заметить трудного положения, в котором оказались византийцы, и помощь, полученная ими, была столь ничтожной. В книге детально изложены ход военных действий, причины, приведшие к падению Константинополя после сравнительно недолгой осады, и последствия всего этого, что  стало страшным потрясением для христианских народов. Туркам победа позволила не только основать новую столицу, но и обеспечить себе прочные позиции в Европе для дальнейших завоеваний. Для греков же поражение означало гибель византийской цивилизации и уход греческой культуры в подполье, и, кроме того, оно привело к исходу византийских интеллектуалов на Запад, что сыграло значительную роль в европейском Возрождении.</t>
  </si>
  <si>
    <t>14353</t>
  </si>
  <si>
    <t>Падение мисс Кэмерон</t>
  </si>
  <si>
    <t>978-5-227-04428-0</t>
  </si>
  <si>
    <t>12351</t>
  </si>
  <si>
    <t>Чилверс А.</t>
  </si>
  <si>
    <t>Падение сквозь облака</t>
  </si>
  <si>
    <t>978-5-227-02466-4</t>
  </si>
  <si>
    <t>17506</t>
  </si>
  <si>
    <t>Падшая женщина</t>
  </si>
  <si>
    <t>978-5-227-07444-7</t>
  </si>
  <si>
    <t>19501</t>
  </si>
  <si>
    <t>Память о лучшей ночи</t>
  </si>
  <si>
    <t>978-5-227-09116-1</t>
  </si>
  <si>
    <t>19610</t>
  </si>
  <si>
    <t>Параллельная реальность. V.Plans. Женский планировщик. Новая Я. (Вид 6)</t>
  </si>
  <si>
    <t>978-5-227-09378-3</t>
  </si>
  <si>
    <t>21423</t>
  </si>
  <si>
    <t>Парижане. История приключений в Париже</t>
  </si>
  <si>
    <t>978-5-9524-6288-5</t>
  </si>
  <si>
    <t>Удостоенный наград биограф, историк, страстный франкофил и талантливый рассказчик, Г. Робб приглашает читателя в познавательное путешествие сквозь века парижской истории, начиная с 1750 года и до наших дней. Книга представляет собой серию увлекательных новелл, основанных на реальных событиях из жизни самых разных жителей французской столицы — знаменитостей с мировым именем и людей совсем неизвестных: прелюбодеев, полицейских, убийц, проституток, революционеров, поэтов, солдат, шпионов. Фоном и главным действующим лицом в них является Париж — прославленный город, который автор показывает в непривычных ракурсах, чтобы читатель увидел его по-новому и открыл для себя заново.</t>
  </si>
  <si>
    <t>17546</t>
  </si>
  <si>
    <t>Парк развлечений</t>
  </si>
  <si>
    <t>978-5-227-07592-5</t>
  </si>
  <si>
    <t>18531</t>
  </si>
  <si>
    <t>Пароль к знойному свиданию</t>
  </si>
  <si>
    <t>978-5-227-08420-0</t>
  </si>
  <si>
    <t>19030</t>
  </si>
  <si>
    <t>Пароль: Тишина над Балтикой</t>
  </si>
  <si>
    <t>978-5-9524-5351-7</t>
  </si>
  <si>
    <t>20491</t>
  </si>
  <si>
    <t>Армстронг Д.</t>
  </si>
  <si>
    <t>Партизанская война. Стратегия и тактика. 1941—1943</t>
  </si>
  <si>
    <t>978-5-9524-5874-1</t>
  </si>
  <si>
    <t>В книге, созданной под руководством профессора Висконсинского университета (США) Джона Армстронга, собрано огромное количество материалов по партизанской войне, которая велась на территории Советского Союза. Редкие документы из секретных архивов, сводки, донесения, описания важнейших операций противоборствующих сторон раскрывают многие аспекты стратегии и тактики крупных партизанских формирований, находившихся в Белоруссии, на Орловщине, Смоленщине, в Ленинградской и Калининской областях и на Украине.</t>
  </si>
  <si>
    <t>21371</t>
  </si>
  <si>
    <t>Партия эсеров и ее предшественники. История движения социалистов-революционеров. Борьба с террором в России в начале ХХ века</t>
  </si>
  <si>
    <t>978-5-227-10440-3</t>
  </si>
  <si>
    <t>Генерал-майор Отдельного корпуса жандармов Александр Иванович Сииридович был убежденным монархистом, отдал много сил борьбе с революционными радикалами и свой опыт изложил в двух книгах, объединенных темой «Революционное движение в России»: «Российская социал-демократическая рабочая партия» и «Партия социалистов-революционеров и ее предшественники». В 1905 году он был тяжело ранен террористом. Восстановившись после ранения, Сииридович получил назначение на пост начальника дворцовой охраны. Он отвечал за личную безопасность государя и членов его семьи. Но интерес к политическому сыску не оставлял генерала. Особое беспокойство вызывала деятельность партии социалистов-революционеров, сделавших главным средством своей борьбы террор. Данные о деятельности революционных организаций, изложенные в трудах Спиридовича, были переданы им в охранное ведомство и опубликованы для служебного использования сотрудниками. Однако это не инструкция и не аналитическая справка. Это достоверное, эмоционально окрашенное повествование о революции, написанное человеком «с другой стороны баррикад».</t>
  </si>
  <si>
    <t>21549</t>
  </si>
  <si>
    <t>Андерсон Р.; Андерсон Р.Ч</t>
  </si>
  <si>
    <t>Парусные корабли. История мореплавания и кораблестроения с древних времен до XIX века</t>
  </si>
  <si>
    <t>978-5-9524-6107-9</t>
  </si>
  <si>
    <t>Предлагаемая читателю книга прослеживает историю развития парусного судна на протяжении шести тысячелетий — от древних времен до конца XIX века. В ней рассматриваются суда Древнего Египта и Крита, Финикии, Греции и Рима, а также европейские, азиатские и американские суда. Следуя главным направлениям развития северных и южных европейских судов, авторы описывают технические и культурные факторы, определившие перемены в форме и назначении парусников — от древних судов с одинаковыми штевнями и единственной мачтой до больших и удивительно красивых пяти- и шестимачтовых кораблей XIX века. Иллюстрации наглядно показывают детали конструкций судов и парусное оснащение разных периодов.</t>
  </si>
  <si>
    <t>20378</t>
  </si>
  <si>
    <t>Пассажир без лица</t>
  </si>
  <si>
    <t>978-5-227-10031-3</t>
  </si>
  <si>
    <t>«Ты ищешь не одна». Это анонимное послание, оставленное на коврике у входной двери, произвело эффект сильнее удара электрошокера. Инспектор шотландской полиции Грейс Кемпбелл поняла, что на этот раз у нее нет выбора. Она должна открыть давно запертую дверь тайной комнаты, расположенной в глубине ее квартиры. И встретиться лицом к лицу с жуткой историей, которая преследовала ее столько лет…</t>
  </si>
  <si>
    <t>21232</t>
  </si>
  <si>
    <t>978-5-227-10746-6</t>
  </si>
  <si>
    <t>19725</t>
  </si>
  <si>
    <t>Пасынки Страны</t>
  </si>
  <si>
    <t>978-5-227-09567-1</t>
  </si>
  <si>
    <t>13893</t>
  </si>
  <si>
    <t>Пасынок судьбы</t>
  </si>
  <si>
    <t>978-5-227-04006-0</t>
  </si>
  <si>
    <t>17060</t>
  </si>
  <si>
    <t>Паутина соблазна</t>
  </si>
  <si>
    <t>978-5-227-07075-3</t>
  </si>
  <si>
    <t>21633</t>
  </si>
  <si>
    <t>СТЭТХЕМ</t>
  </si>
  <si>
    <t>Стэтхем Д.</t>
  </si>
  <si>
    <t>Пацанские цитаты Джейсона Стэтхема — 2. Обалдеваю от своих цитат!</t>
  </si>
  <si>
    <t>978-5-9524-6192-5</t>
  </si>
  <si>
    <t>Так как интерес россиян к фейковым цитатам Джейсона Стэтхема не спадает, мы с удовольствием продолжаем радовать читателей его легендарными высказываниями из соцсетей. Пацанские цитаты этого обаятельного, многогранного, брутального английского актёра-мультимиллионера способны поднять настроение любому мужчине с чувством юмора. И, хотя многие «перлы» достаточно жёсткие, бесстрашные боевые девчонки тоже могут найти здесь много забавного, смешного и даже мудрого. Мы по-прежнему не оспариваем авторство, главное, что эти записи веселят, поднимают жизненный тонус, порой учат хорошему, а иногда шокируют…</t>
  </si>
  <si>
    <t>21787</t>
  </si>
  <si>
    <t>Пацанские цитаты Джейсона Стэтхема. Да не говорил я этой фигни!</t>
  </si>
  <si>
    <t>978-5-9524-6482-7</t>
  </si>
  <si>
    <t>Популярность высказываний Джейсона Стэтхема в России феноменальна! Это веселит и удивляет даже самого Джейсона Стэтхема, актёра, который прекрасно относится к русским и совершенно не против того, что стал мемом на просторах Интернета нашей огромной страны. Брутальный смельчак, спасающий всех и вся, красавец-мачо, хороший семьянин и просто парень из соседнего двора — такова многогранная личность этого востребованного английского актёра-мультимиллионера. А ещё он прекрасно играет в шахматы, футбол и выполняет умопомрачительные трюки без дублёров. Вишенкой на торте стали бесконечные яркие высказывания, которые якобы принадлежат Стэтхему. Не станем оспаривать их авторство, главное, что они веселят, поднимают жизненный тонус, порой учат хорошему, а иногда шокируют…</t>
  </si>
  <si>
    <t>21093</t>
  </si>
  <si>
    <t>Пациент особой клиники</t>
  </si>
  <si>
    <t>978-5-227-10623-0</t>
  </si>
  <si>
    <t>У Тилля Беркхоффа бесследно пропадает сын Макс. Все улики свидетельствуют о том, что мальчик стал жертвой маньяка Гвидо Трамница. Преступник арестован полицией и признался в похищении и убийстве нескольких маленьких детей. Место их захоронения серийный убийца  указал, однако о судьбе Макса хранит упорное молчание. Суд признает садиста невменяемым и отправляет его в строго охраняемую  психиатрическую лечебницу. Следствию известно о том, что психопат вел дневник, где описывал все, что сделал с жертвами, но найти записи не удалось. Отчаявшийся отец обращается за содействием к знакомому сотруднику полиции, и тот делает ему невероятное предложение: стать пациентом этой особой клиники. Так он сможет оказаться ближе к детоубийце и заставить его признаться. Того, чем обернется эта отчаянная попытка, не ожидал никто.</t>
  </si>
  <si>
    <t>21825</t>
  </si>
  <si>
    <t>978-5-227-11135-7</t>
  </si>
  <si>
    <t>Серийный убийца Гвидо Трамниц арестован, признан невменяемым и теперь отбывает срок в психиатрической лечебнице-тюрьме строгого режима. Он уже признался в двух зверских убийствах детей и указал полиции, где спрятал их изуродованные трупы. Однако есть еще один ребенок – шестилетний Макс, пропавший три месяца назад. Следователь, ведущий дело и обладающий лишь косвенными доказательствами, уверен, что это похищение – дело рук Трамница, но маньяк упорно молчит по совету своего адвоката…_x000D_
Отец Макса – Тилль Беркхофф – не желает сидеть сложа руки и решается на опасный эксперимент. В качестве фиктивного пациента он проникает в психиатрическую больницу, где содержат Трамница. Мужчина надеется расколоть маньяка. Он уверен, что нет ничего хуже неопределенности. Но в стенах, где правят отчаяние и безумие, ему предстоит узнать, что есть вещи гораздо хуже…</t>
  </si>
  <si>
    <t>18813</t>
  </si>
  <si>
    <t>Шопенгауэр А.</t>
  </si>
  <si>
    <t>Певец пессимизма</t>
  </si>
  <si>
    <t>978-5-227-08064-6</t>
  </si>
  <si>
    <t>10565</t>
  </si>
  <si>
    <t>ЮМОР FM</t>
  </si>
  <si>
    <t>Сидоров-Кассир и товарищ Сухов</t>
  </si>
  <si>
    <t>Педерастры в штабе</t>
  </si>
  <si>
    <t>978-5-9524-3651-0</t>
  </si>
  <si>
    <t>20445</t>
  </si>
  <si>
    <t>Абалос Р.</t>
  </si>
  <si>
    <t>Пелена страха</t>
  </si>
  <si>
    <t>978-5-227-10187-7</t>
  </si>
  <si>
    <t>В Лейпциге у знаменитого памятника Битве народов обнаружены трупы пяти девушек. Сотрудники отдела по расследованию убийств пережили шок, когда увидели место преступления, которое было больше похоже на театральную мизансцену. Тела девушек в эротичном нижнем белье лежали в саркофагах, мастерски изображенных на холстах в трех измерениях, отчего при взгляде сверху у зрителя создавалось впечатление, что перед ним настоящее открытое захоронение. При ближайшем рассмотрении белье тоже оказывается нарисованным на обнаженных телах, на их спинах обнаруживают нарисованные раны, из которых торчат кинжалы со странным символом на рукояти...</t>
  </si>
  <si>
    <t>18517</t>
  </si>
  <si>
    <t>978-5-227-08454-5</t>
  </si>
  <si>
    <t>6208</t>
  </si>
  <si>
    <t>Пепел звезд</t>
  </si>
  <si>
    <t>5-9524-1972-0</t>
  </si>
  <si>
    <t>7459</t>
  </si>
  <si>
    <t>5-9524-2480-5</t>
  </si>
  <si>
    <t>20024</t>
  </si>
  <si>
    <t>Первая Государственная дума. От самодержавия к парламентской монархии. 27 апреля — 8 июля 1906 г.</t>
  </si>
  <si>
    <t>978-5-9524-5662-4</t>
  </si>
  <si>
    <t>17531</t>
  </si>
  <si>
    <t>Первая колония</t>
  </si>
  <si>
    <t>978-5-227-07600-7</t>
  </si>
  <si>
    <t>21358</t>
  </si>
  <si>
    <t>Зайончковский А.М.</t>
  </si>
  <si>
    <t>Первая мировая война. 1914—1918 гг. Выдающийся труд, посвященный одному из самых кровавых конфликтов в истории</t>
  </si>
  <si>
    <t>978-5-227-10767-1</t>
  </si>
  <si>
    <t>Андрей Медардович Зайончковский — русский генерал от инфантерии, историк и теоретик, написал фундаментальный труд, который мы печатаем по оригиналу государственного военного издательства Наркомата обороны Союза ССР. Более ста лет минуло с начала Первой мировой войны, но издание не утратило своей актуальности и уважаемо почитателями серьезных исторических трудов._x000D_
Эта книга посвящена описанию ключевых военных операций за период с 1914 по 1918 год. Полная история Первой мировой, построенная по хронологическому принципу. Максимум информации: вооружение, количество дивизий, мобилизационные планы, схемы, карты, огромное количество фактов, взаимосвязь происходящих событий… Это очень серьезная историческая монография, и она требует такого же читателя — вдумчивого, склонного к анализу любителя истории.</t>
  </si>
  <si>
    <t>20648</t>
  </si>
  <si>
    <t>Первые бои добровольческой армии</t>
  </si>
  <si>
    <t>978-5-227-09960-0</t>
  </si>
  <si>
    <t>Книга «Первые бои добровольческой армии» представляет собой второй том из серии, посвященной Белому движению в России, и знакомит читателя с воспоминаниями участников событий на Дону и Кубани в конце 1917 — начале 1918 г._x000D_
В книге впервые с такой полнотой представлены свидетельства не только руководителей антикоммунистической борьбы, но и ее рядовых участников, позволяющие наглядно представить обстановку и атмосферу того времени, психологию и духовный облик первых добровольцев. За небольшим исключением помещенные в томе материалы в России никогда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</si>
  <si>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18850</t>
  </si>
  <si>
    <t>Первые впечатления</t>
  </si>
  <si>
    <t>978-5-227-08826-0</t>
  </si>
  <si>
    <t>20740</t>
  </si>
  <si>
    <t>Марсден К.</t>
  </si>
  <si>
    <t>Первый век Санкт-Петербурга. Путь от государева бастиона к блистательной столице империи</t>
  </si>
  <si>
    <t>978-5-9524-5953-3</t>
  </si>
  <si>
    <t>Дух Петербурга XVIII века — архитектура знаменитых дворцов, живопись, театр, декоративно-прикладное искусство, быт и пристрастия монархов и важных сановников — все, чем живы слава и величие этого города, в центре внимания автора, который не забывает уделять внимание и повседневной жизни горожан. Сопроводив собственные впечатления от знакомства с историческими памятниками города курьезами, историческими анекдотами, Кристофер Марсден ярко, оригинально, хотя и несколько субъективно, воссоздает реалии петербургской жизни той эпохи.</t>
  </si>
  <si>
    <t>21849</t>
  </si>
  <si>
    <t>Галланд А.</t>
  </si>
  <si>
    <t>Первый и последний. Немецкие истребители на Западном фронте. 1941—1945 гг.</t>
  </si>
  <si>
    <t>978-5-9524-6540-4</t>
  </si>
  <si>
    <t>Воспоминания Адольфа Галланда, командующего истребительной авиацией люфтваффе с 1941-го по 1945 год, воссоздают достоверную картину боевых действий на Западном фронте. Автор анализирует состояние авиации воюющих сторон, делится профессиональными суждениями о технических качествах известных типов самолетов, стратегических и тактических просчетах в ходе военной кампании. Книга одного из самых талантливых немецких летчиков существенно дополняет представление о роли истребительной авиации во Второй мировой войне.</t>
  </si>
  <si>
    <t>19077</t>
  </si>
  <si>
    <t>Крей О.</t>
  </si>
  <si>
    <t>Первый крестовый поход. Сражения и осады, правители, паломники и вилланы, святые места в свидетельствах очевидцев и участников</t>
  </si>
  <si>
    <t>978-5-9524-5416-3</t>
  </si>
  <si>
    <t>20689</t>
  </si>
  <si>
    <t>Первый кубанский («Ледяной») поход</t>
  </si>
  <si>
    <t>978-5-227-10001-6</t>
  </si>
  <si>
    <t>Книга «Первый кубанский («Ледяной») поход» представляет собой третий том из серии, посвященной Белому движению в России, и знакомит читателя с воспоминаниями участников событий на Дону и Кубани зимой и весной 1918 г._x000D_
В книге впервые с такой полнотой представлены свидетельства не только руководителей антикоммунистической борьбы, но и ее рядовых участников, позволяющие наглядно представить обстановку и атмосферу того времени, психологию и духовный облик первых добровольцев. За небольшим исключением помещенные в томе материалы в России никогда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</si>
  <si>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20245</t>
  </si>
  <si>
    <t>Зензинов В.М.</t>
  </si>
  <si>
    <t>Пережитое. Воспоминания эсера-боевика, члена Петросовета и комиссара Временного правительства</t>
  </si>
  <si>
    <t>978-5-227-09866-5</t>
  </si>
  <si>
    <t>3928</t>
  </si>
  <si>
    <t>МИРЫ</t>
  </si>
  <si>
    <t>Плеханов А.</t>
  </si>
  <si>
    <t>Перезагрузка</t>
  </si>
  <si>
    <t>5-9524-0352-2</t>
  </si>
  <si>
    <t>21101</t>
  </si>
  <si>
    <t>Перекрестки судеб</t>
  </si>
  <si>
    <t>978-5-227-10657-5</t>
  </si>
  <si>
    <t>Бродяга, вор-майданник, лагерник, искатель приключений, художник, журналист Михаил Дёмин, он же Георгий Трифонов — брат Юрия Трифонова. В тюрьме Дёмину приходилось скрывать свое истинное происхождение. Старый друг сочинил ему «правильную» биографию: мать — проститутка, отец — профессиональный вор… После освобождения Михаил Дёмин начал печататься сначала в сибирской, затем в центральной прессе, выпустил четыре сборника стихов и книгу прозы. В 1968 году уехал в Париж и стал писателем-невозвращенцем. На Западе опубликовал автобиографическую трилогию «Блатной», «Таежный бродяга», «Рыжий дьявол»._x000D_
Его перу также принадлежит предлагаемая сегодня вам дилогия в уникальном жанре уголовного детектива «Перекрестки судеб». Первая часть «…И пять бутылок водки», ее герои — уголовники, действующие на юге Украины, а вторая — «Тайны сибирских алмазов», в ней мы погрузимся в жестокий мир алмазных приисков и таежных болот Якутии. Ранее эти книги были изданы в России небольшими тиражами лишь в 1990-х годах и почти не известны современному читателю. А писал Дёмин очень увлекательно, с пониманием не только уголовного мира, но и природы и этнографии народов Севера.</t>
  </si>
  <si>
    <t>18339</t>
  </si>
  <si>
    <t>Перекресток</t>
  </si>
  <si>
    <t>978-5-227-08378-4</t>
  </si>
  <si>
    <t>7230</t>
  </si>
  <si>
    <t>Перекрестья</t>
  </si>
  <si>
    <t>5-9524-2241-1</t>
  </si>
  <si>
    <t>19351</t>
  </si>
  <si>
    <t>Дарк А.</t>
  </si>
  <si>
    <t>Перерожденный</t>
  </si>
  <si>
    <t>978-5-227-09216-8</t>
  </si>
  <si>
    <t>21095</t>
  </si>
  <si>
    <t>Переулки Замоскворечья. Прогулки по центру Москвы</t>
  </si>
  <si>
    <t>978-5-227-10553-0</t>
  </si>
  <si>
    <t>В тихих переулочках Замоскворечья укрылась от посторонних взоров старая Москва, которую читателю и предстоит отыскать. Здесь и палаты, спрятанные во дворе советского жилого дома, и старинные храмы, и усадьбы, принадлежавшие когда-то патриархальным замоскворецким купцам. Вместе с автором книги вы совершите увлекательное путешествие во времени. В путь!</t>
  </si>
  <si>
    <t>21397</t>
  </si>
  <si>
    <t>Переулки старой Москвы</t>
  </si>
  <si>
    <t>978-5-227-10888-3</t>
  </si>
  <si>
    <t>Эта книга приглашает в путешествие по московским переулкам, раскинувшимся в старом городе, ограниченном Садовым кольцом. Здесь, в небольшой части современного города-гиганта, сосредоточено большинство архитектурных и исторических памятников. В книге рассказывается о сокровищах, которые «спрятаны» в прихотливом лабиринте переулков, вдали от проторенных туристами путей, о выдающихся сооружениях и памятных местах, связанных с великими именами в истории нашей страны, о рядовых, казалось бы, ничем не примечательных зданиях и часто незаслуженно забытых деятелях отечественной культуры и истории.</t>
  </si>
  <si>
    <t>17621</t>
  </si>
  <si>
    <t>Персональный рай</t>
  </si>
  <si>
    <t>978-5-227-07637-3</t>
  </si>
  <si>
    <t>18930</t>
  </si>
  <si>
    <t>Песня нашей любви</t>
  </si>
  <si>
    <t>978-5-227-08796-6</t>
  </si>
  <si>
    <t>19080</t>
  </si>
  <si>
    <t>Курган С.</t>
  </si>
  <si>
    <t>Песок вечности</t>
  </si>
  <si>
    <t>978-5-227-09044-7</t>
  </si>
  <si>
    <t>16017</t>
  </si>
  <si>
    <t>Петербург - столица русской гвардии. История гвардейских подразделений. Структура войск. Боевые действийя. Выдающиеся личностей.</t>
  </si>
  <si>
    <t>978-5-227-05917-8</t>
  </si>
  <si>
    <t>16900</t>
  </si>
  <si>
    <t>Манро Д.</t>
  </si>
  <si>
    <t>Петербург в царствование Екатерины Великой</t>
  </si>
  <si>
    <t>978-5-227-06658-9</t>
  </si>
  <si>
    <t>21842</t>
  </si>
  <si>
    <t>Анисимов Е.В.</t>
  </si>
  <si>
    <t>Петербург времен Петра Великого</t>
  </si>
  <si>
    <t>978-5-227-11167-8</t>
  </si>
  <si>
    <t>Книга известного историка Евгения Викторовича Анисимова раскрывает перед читателями славные страницы истории России — период зарождения и становления ее будущей столицы. Случай уникальный — Санкт-Петербург строится на территории, формально входящей в другое государство — Швецию._x000D_
Автор проливает свет на темные моменты истории, показывая, в какую цену обошлось нам «окно в Европу», рассказывает о людях, благодаря таланту которых был воздвигнут и сумел выжить молодой град, вопреки грозному соседству и капризам природы. Путешествуя вместе с автором по Петербургу, читатели узнают, какими были первые дома и набережные, познакомятся с жителями и строителями Петербурга, их непростыми судьбами и бытом. _x000D_
В книге приведено множество исторических фактов, разных мнений, архитектурных подробностей, она будет интересна не только читателям, влюбленным в Северную столицу, но и профессиональным историкам.</t>
  </si>
  <si>
    <t>15894</t>
  </si>
  <si>
    <t>Гречук Н.</t>
  </si>
  <si>
    <t>Петербург. События и лица.</t>
  </si>
  <si>
    <t>978-5-227-05075-5</t>
  </si>
  <si>
    <t>13698</t>
  </si>
  <si>
    <t>Антонов В.В.</t>
  </si>
  <si>
    <t>Петербург: Вы это знали?</t>
  </si>
  <si>
    <t>978-5-227-03759-6</t>
  </si>
  <si>
    <t>15379</t>
  </si>
  <si>
    <t>Марголис А.</t>
  </si>
  <si>
    <t>Петербург: история и современность. Избранные очерки.</t>
  </si>
  <si>
    <t>978-5-227-05328-2</t>
  </si>
  <si>
    <t>19907</t>
  </si>
  <si>
    <t>Аспидов А.</t>
  </si>
  <si>
    <t>Петербургские арабески</t>
  </si>
  <si>
    <t>978-5-227-09475-9</t>
  </si>
  <si>
    <t>21540</t>
  </si>
  <si>
    <t>Юхнева Е.Д</t>
  </si>
  <si>
    <t>Петербургские доходные дома. Очерки из истории быта</t>
  </si>
  <si>
    <t>978-5-227-10991-0</t>
  </si>
  <si>
    <t>На наших глазах уходит в небытие старое петербургское жилье. Это четвертое, дополненное и доработанное издание — попытка создания своеобразного памятника не парадному, а повседневному Петербургу. Книга Е.К. Юхнёвой посвящена одной из интереснейших сторон жизни старого Петербурга — его доходным домам._x000D_
Автор в мельчайших подробностях воссоздает атмосферу быта роскошных «барских» квартир с их будуарами, кабинетами, диванными и детскими комнатами, холостяцких мансард, чиновничьих квартирок, а также беспросветного существования каморок, углов, чердаков и подвалов. Вы прочтете все об архитектуре, отделке, планировке и интерьерах доходных домов — от скромных деревянных пятистенок до каменных громад начала XX века. Узнаете, как жили люди без водопровода, канализации, парового отопления, электричества и прочих бытовых благ, привнесенных техническим прогрессом, увидите реалистичную картину жизни петербургского доходного дома.</t>
  </si>
  <si>
    <t>21766</t>
  </si>
  <si>
    <t>Петербургские женщины XIX века</t>
  </si>
  <si>
    <t>978-5-227-11117-3</t>
  </si>
  <si>
    <t>Предыдущая книга Елены Первушиной вышла под названием «Петербургские женщины XVIII века». Перед вами вторая книга, которая рассказывает о судьбах жительниц Северной столицы в конце XIX — начале XX века. В это время в России назрел кризис, жить по-старому было уже нельзя. В политической борьбе женщины нашли ответ на «женский вопрос» XIX века. Они завоевали права, получили возможность строить свою жизнь по собственному выбору. Но тут же перед ними встал новый вопрос: как женщины могут преобразовать общество, сделав его более справедливым и комфортным для себя и для мужчин? Искать ответ на него пришлось уже женщинам XX века…_x000D_
В книге приводится множество цитат, как правило, из малоизвестных и совсем незнакомых читателю произведений. Это не только мемуары и документы, но и художественные произведения, в которых авторы (нередко авторы-женщины) выражали свое отношение к тем или иным событиям, явлениям и проблемам общественной жизни.</t>
  </si>
  <si>
    <t>21765</t>
  </si>
  <si>
    <t>Петербургские женщины XVIII века</t>
  </si>
  <si>
    <t>978-5-227-11118-0</t>
  </si>
  <si>
    <t>Жизнь женщин XVIII века была трудной, противоречивой и волнующей. Кто может рассказать о времени и о себе лучше, чем очевидцы — люди, жившие в ту эпоху. Поэтому в книге вы встретите множество цитат из мемуаров и литературных произведений XVIII века. Мемуаристы порой противоречат друг другу, по-разному смотрят на одних и тех же людей, на одни и те же события и не всегда точны в описании фактов. Но именно это делает их тексты живыми свидетельствами эпохи, со всеми ее тайнами, противоречиями, умолчаниями, а порой и фальсификациями и откровенной ложью._x000D_
Конечно, эту тему не исчерпаешь одной книгой. И день, когда количество трудов, посвященных истории женщин, сравнится с количеством трудов, описывающих историю мужчин, еще очень далек. И все же, прочитав эту книгу до конца, вы будете знать немного больше о том, что это значило: быть женщиной в Петербурге XVIII века.</t>
  </si>
  <si>
    <t>14684</t>
  </si>
  <si>
    <t>Петербургские окрестности. Быт и нравы начала ХХ века. Изд.3-е, доораб. и доп.</t>
  </si>
  <si>
    <t>978-5-227-04591-1</t>
  </si>
  <si>
    <t>18921</t>
  </si>
  <si>
    <t>Петербургские поляки в городском фольклоре. Мистические тайны, предсказания, легенды, предания и исторические анекдоты</t>
  </si>
  <si>
    <t>978-5-227-08821-5</t>
  </si>
  <si>
    <t>19442</t>
  </si>
  <si>
    <t>Петербургский презент</t>
  </si>
  <si>
    <t>978-5-9524-5359-3</t>
  </si>
  <si>
    <t>21745</t>
  </si>
  <si>
    <t>Краско А.В.</t>
  </si>
  <si>
    <t>Петербургское купечество: страницы семейных историй</t>
  </si>
  <si>
    <t>978-5-9524-6199-4</t>
  </si>
  <si>
    <t>Книга посвящена истории одиннадцати наиболее богатых и влиятельных купеческих семейств Санкт-Петербурга XIX и XX веков, связанных друг с другом родством: Елисеевых, Целибеевых, Полежаевых, Тарасовых, Овсянниковых, Смуровых, Растеряевых, Дурдиных, Леляновых, Новинских, Авериных._x000D_
На основании глубоких архивных изысканий автор впервые прослеживает судьбы незаурядных людей, их вклад в благотворительность и меценатство. Помимо рассказа о наиболее известных представителях этих семейств, имена которых достаточно известны, повествуется и о судьбах их родственников, проживших свой век не менее интересно и содержательно._x000D_
Книга снабжена родословными схемами упомянутых семейств. Издание содержит множество старинных малоизвестных фотографий, в большинстве своем публикуемых впервые.</t>
  </si>
  <si>
    <t>20275</t>
  </si>
  <si>
    <t>Богословский М.М.</t>
  </si>
  <si>
    <t>Петр I. Материалы для биографии: в 3 т. Т. 1. Детство. Юность. Азовские походы. Первое заграничное путешествие: Курляндия, Бранденбург, Голландия</t>
  </si>
  <si>
    <t>978-5-227-09952-5</t>
  </si>
  <si>
    <t>20276</t>
  </si>
  <si>
    <t>Петр I. Материалы для биографии: в 3 т. Т. 2. Первое заграничное путешествие: Англия. Саксония. Вена</t>
  </si>
  <si>
    <t>978-5-227-09953-2</t>
  </si>
  <si>
    <t>20277</t>
  </si>
  <si>
    <t>Петр I. Материалы для биографии: в 3 т. Т. 3. Русско-датский союз. Керченский поход. Дипломатическая подготовка Северной войны</t>
  </si>
  <si>
    <t>978-5-227-09954-9</t>
  </si>
  <si>
    <t>19593</t>
  </si>
  <si>
    <t>Половцов А.А</t>
  </si>
  <si>
    <t>Петр Великий — патриот и реформатор</t>
  </si>
  <si>
    <t>978-5-227-09444-5</t>
  </si>
  <si>
    <t>20561</t>
  </si>
  <si>
    <t>Петр Столыпин. Последний русский дворянин</t>
  </si>
  <si>
    <t>978-5-227-10248-5</t>
  </si>
  <si>
    <t>Вдовствующая императрица России Мария Федоровна называла Петра Аркадьевича Столыпина «последним русским дворянином». Умная проницательная датчанка разглядела в этом незнатном небогатом провинциале цельную, могучую натуру, способную решать государственные проблемы и брать на себя ответственность за судьбу целой империи. При этом не в поисках личной выгоды, а, скорее, вызывая огонь на себя. Выдающийся реформатор в период разгула анархии видел две главные задачи — умиротворить страну в бурную эпоху военного поражения и революции, а также решить земельный вопрос, который веками повергал ее в бунташное неистовство. Надо дать России двадцать лет внешнего и внутреннего спокойствия, и тогда «русский паровой каток» в мире уже будет не остановить. Но на этом пути реформатор всегда оставался один, ибо у трона личностей по масштабу подобных Столыпину попросту не было. Возможно, поэтому империя и рухнула так скоро после его гибели.</t>
  </si>
  <si>
    <t>21805</t>
  </si>
  <si>
    <t>Чепель А.И.</t>
  </si>
  <si>
    <t>Петроградская сторона. Улица Ленина. По бывшим Матвеевской и Широкой</t>
  </si>
  <si>
    <t>978-5-227-11156-2</t>
  </si>
  <si>
    <t>В книге пойдет речь об архитектуре и истории домов и участков, на которых эти дома построены; об архитекторах, возводивших эти здания; о домовладельцах, задумывавших строительство на своих участках и нанимавших для этих целей профессионалов; о жильцах, обитавших в существующих и канувших в Лету домах._x000D_
Структура издания проста. Две части посвящены двум прежним магистралям, составляющим сейчас улицу Ленина, — Матвеевской и Широкой. Каждая из частей состоит из двух разделов, рассказывающих о четной и нечетной стороне улицы. Мы не упоминаем прежние адреса, только современные, чтобы не заблудиться в «размытом» старом адресном перечне. Зачастую в рамках очерка повествование не будет ограничиваться только домом, а уйдет немного дальше — при условии, что человек, владевший зданием, строивший его или живший здесь, оставил заметный след в других частях города.</t>
  </si>
  <si>
    <t>13414</t>
  </si>
  <si>
    <t>Лелина</t>
  </si>
  <si>
    <t>Петропавловская крепость</t>
  </si>
  <si>
    <t>978-5-227-03388-8</t>
  </si>
  <si>
    <t>5885</t>
  </si>
  <si>
    <t>Петушок золотой гребешок</t>
  </si>
  <si>
    <t>5-9524-1728-0</t>
  </si>
  <si>
    <t>20633</t>
  </si>
  <si>
    <t>Холль Э</t>
  </si>
  <si>
    <t>Пехотинец в Сталинграде. Военный дневник командира роты вермахта. 1942-1943</t>
  </si>
  <si>
    <t>978-5-9524-5620-4</t>
  </si>
  <si>
    <t>Эдельберт Холль, лейтенант германской армии, командир пехотной роты, подробно рассказывает о боевых действиях своего подразделения под Сталинградом и затем в черте города. Здесь бойцы его роты в составе пехотной, а затем танковой дивизии вели бои за каждую улицу и каждый дом, отмечая, что в этих условиях им приходилось осваивать совершенно иной, незнакомый прежде вид боя. Красноармейцы оказывали ожесточенное и упорное сопротивление, ведя огонь из «любой дыры или пролома в стене и появляясь даже из­под земли». Основываясь исключительно на личных воспоминаниях, Холль скрупулезно описывает ход боевых действий, рассказывает о тяжелых потерях, суровом фронтовом быте и о печальном завершении его сталинградской эпопеи.</t>
  </si>
  <si>
    <t>11920</t>
  </si>
  <si>
    <t>Печи и камины своими руками</t>
  </si>
  <si>
    <t>978-5-227-02029-1</t>
  </si>
  <si>
    <t>12298</t>
  </si>
  <si>
    <t>978-5-227-02427-5</t>
  </si>
  <si>
    <t>12630</t>
  </si>
  <si>
    <t>21655</t>
  </si>
  <si>
    <t>Пешеходные прогулки по центру Москвы</t>
  </si>
  <si>
    <t>978-5-227-10776-3</t>
  </si>
  <si>
    <t>Зачастую мы так спешим от метро до работы и обратно или торопимся к месту встречи, что не замечаем многого даже на хоженых-перехоженых улицах. А уж заглянуть в тихий переулок обычно и в голову не приходит! Московские переулки дарят нам столько ярких впечатлений и хранят столько тайн и загадок, что приходится лишь удивляться, как близко к нам на самом деле находятся эти удивительные места._x000D_
Каждое из описанных в книге зданий расположено в пяти—семи минутах ходьбы от одной из центральных станций метро. Это значительно упрощает изучение этих памятников. Представьте, например, что ваш друг или деловой партнер задерживается на пятнадцать минут. Вместо того чтобы бесполезно стоять и ждать его, вы можете прогуляться до ближайшего интересного здания, предварительно узнав его историю из книги. Даже в свободное, случайно появившееся время у вас есть возможность изучать любимый город!</t>
  </si>
  <si>
    <t>16504</t>
  </si>
  <si>
    <t>Пещерная тактика</t>
  </si>
  <si>
    <t>978-5-227-06481-3</t>
  </si>
  <si>
    <t>15341</t>
  </si>
  <si>
    <t>Пик Ангела</t>
  </si>
  <si>
    <t>978-5-227-05312-1</t>
  </si>
  <si>
    <t>10926</t>
  </si>
  <si>
    <t>Пик дьявола</t>
  </si>
  <si>
    <t>978-5-9524-4077-7</t>
  </si>
  <si>
    <t>20434</t>
  </si>
  <si>
    <t>Саймон Н.</t>
  </si>
  <si>
    <t>Пик тайной страсти</t>
  </si>
  <si>
    <t>978-5-227-10123-5</t>
  </si>
  <si>
    <t>Его называли Дикий Фаррелл. Он и был таким — нелюдимым, не желавшим ни к кому привязываться. Но эта женщина — Мика — запала ему в сердце. В прошлом у обоих был печальный опыт неудачных отношений. Неужели судьба дарит им второй шанс?</t>
  </si>
  <si>
    <t>17435</t>
  </si>
  <si>
    <t>Пикантная история</t>
  </si>
  <si>
    <t>978-5-227-07451-5</t>
  </si>
  <si>
    <t>15891</t>
  </si>
  <si>
    <t>Лавлейс Мерлин</t>
  </si>
  <si>
    <t>Пикантная сделка</t>
  </si>
  <si>
    <t>978-5-227-05840-9</t>
  </si>
  <si>
    <t>16148</t>
  </si>
  <si>
    <t>Пикник в Вероне</t>
  </si>
  <si>
    <t>978-5-227-06128-7</t>
  </si>
  <si>
    <t>18340</t>
  </si>
  <si>
    <t>Пилигримы спирали</t>
  </si>
  <si>
    <t>978-5-227-08379-1</t>
  </si>
  <si>
    <t>20145</t>
  </si>
  <si>
    <t>Рудель Г.У.</t>
  </si>
  <si>
    <t>Пилот "Штуки". Мемуары аса люфтваффе 1939-1945</t>
  </si>
  <si>
    <t>978-5-9524-5709-6</t>
  </si>
  <si>
    <t>20123</t>
  </si>
  <si>
    <t>Герхард П.</t>
  </si>
  <si>
    <t>Пираты Новой Испании. 1575—1742</t>
  </si>
  <si>
    <t>978-5-9524-5677-8</t>
  </si>
  <si>
    <t>20333</t>
  </si>
  <si>
    <t>Элмс Ч.</t>
  </si>
  <si>
    <t>Пираты. Рассказы о знаменитых морских разбойниках</t>
  </si>
  <si>
    <t>978-5-227-10098-6</t>
  </si>
  <si>
    <t>Эта увлекательная книга, посвященная истории морского пиратства, уникальна широтой охвата темы: в ней рассказано о датских, норманнских, испанских, вест-индских, малайских, алжирских и многих других жестоких и беспощадных морских разбойниках, наводивших страх на моряков и мирный торговый люд в разных районах Мирового океана. Повествования о жизни флибустьеров, дополненные материалами судебных процессов, отчетами адмиралтейства, рассказами несчастных, попавших в руки пиратов, о страданиях и злоключениях, которые им пришлось пережить, позволят узнать много интересного всем, кто интересуется захватывающими историями о людях, плававших под черным флагом много лет назад.</t>
  </si>
  <si>
    <t>19983</t>
  </si>
  <si>
    <t>Блэр К.</t>
  </si>
  <si>
    <t>Пистолеты мира</t>
  </si>
  <si>
    <t>978-5-9524-5645-7</t>
  </si>
  <si>
    <t>21910</t>
  </si>
  <si>
    <t>Романовы</t>
  </si>
  <si>
    <t>Письма царской семьи из заточения</t>
  </si>
  <si>
    <t>978-5-227-10880-7</t>
  </si>
  <si>
    <t>Сборник «Письма царской семьи из заточения» напоминает о трагическом событии — в ночь с 16 на 17 июля 1918 года находящаяся под арестом в Екатеринбурге царская семья и их слуги были расстреляны по постановлению Уральского областного совета рабочих, крестьянских и солдатских депутатов. То, что хотели сказать близким члены царской семьи в последние месяцы своей жизни, нашло отражение в их письмах, прорывавшихся на волю._x000D__x000D_
Многие представители Белого движения, дававшие в Российской империи присягу на верность императору, и в изгнании не отреклись от нее. Они бережно хранили письма, которые правдами и неправдами доходили от находящихся под арестом членов царской семьи к родным и друзьям. Эти письма были тщательно собраны и опубликованы._x000D__x000D_
«Письма царской семьи из заточения» — книга, вышедшая в 1974 году в православном Свято-Троицком монастыре в Джорданвилле (США). В нее включены личные письма и другие материалы последних семнадцати месяцев земного пути царской семьи. Автор-составитель «Писем царской семьи из заточения» Е.Е. Алферьев, профессор Свято-Троицкой духовной семинарии, вложил в это издание не только силы, но и душу.</t>
  </si>
  <si>
    <t>20190</t>
  </si>
  <si>
    <t>Питание в благости</t>
  </si>
  <si>
    <t>978-5-227-09647-0</t>
  </si>
  <si>
    <t>11561</t>
  </si>
  <si>
    <t>978-5-9524-4667-0</t>
  </si>
  <si>
    <t>5282</t>
  </si>
  <si>
    <t>ШПАРГАЛКА</t>
  </si>
  <si>
    <t>Урминцева</t>
  </si>
  <si>
    <t>Пишем сочинения на отлично</t>
  </si>
  <si>
    <t>5-9524-1324-2</t>
  </si>
  <si>
    <t>18724</t>
  </si>
  <si>
    <t>Пламенная цель итальянца</t>
  </si>
  <si>
    <t>978-5-227-08578-8</t>
  </si>
  <si>
    <t>20054</t>
  </si>
  <si>
    <t>Пламенное увлечение шейха</t>
  </si>
  <si>
    <t>978-5-227-09407-0</t>
  </si>
  <si>
    <t>19313</t>
  </si>
  <si>
    <t>Романов В.</t>
  </si>
  <si>
    <t>Пламя</t>
  </si>
  <si>
    <t>978-5-227-09170-3</t>
  </si>
  <si>
    <t>17290</t>
  </si>
  <si>
    <t>Соколов К.И.</t>
  </si>
  <si>
    <t>Пламя над Волгой. Крестьянские восстания и выступления в Тверской губернии в конец 1917-1922гг.</t>
  </si>
  <si>
    <t>978-5-227-07158-3</t>
  </si>
  <si>
    <t>21009</t>
  </si>
  <si>
    <t>Пламя незабываемой встречи</t>
  </si>
  <si>
    <t>978-5-227-10475-5</t>
  </si>
  <si>
    <t>Дульси, застенчивая и скромная девушка, пережившая предательство и насмешки в юном возрасте, навсегда закрыла свое сердце. Она больше не верит людям и не верит в любовь. Но встреча с Рафаэлем постепенно помогает ей разрушить стены, которые она возвела вокруг себя. Рафаэль — добрый и благородный, с ним она чувствует себя в безопасности. Но даже у самых благородных мужчин есть свои секреты...</t>
  </si>
  <si>
    <t>21699</t>
  </si>
  <si>
    <t>Кларк А.</t>
  </si>
  <si>
    <t>План «Барбаросса». Крушение Третьего рейха. 1941—1945</t>
  </si>
  <si>
    <t>978-5-9524-6454-4</t>
  </si>
  <si>
    <t>Книга английского военного историка Алана Кларка — это непредвзятый взгляд на самую кровопролитную войну в истории человечества. Исследование хода Второй мировой войны, политической обстановки, военных ошибок позволило автору сделать вывод, расходящийся с оценками западных аналитиков: победа русских была неизбежна и без помощи союзников и их «второго фронта»._x000D_
На основе малоизвестных документальных материалов автор анализирует переломные моменты Второй мировой войны: битву под Москвой, Сталинградское и Курское сражения, Берлинскую операцию. Дает многостороннюю оценку роли Адольфа Гитлера, немецких и советских военачальников.</t>
  </si>
  <si>
    <t>19350</t>
  </si>
  <si>
    <t>Заяц В.</t>
  </si>
  <si>
    <t>Планета супербарона Кетсинга</t>
  </si>
  <si>
    <t>978-5-227-09169-7</t>
  </si>
  <si>
    <t>21438</t>
  </si>
  <si>
    <t>Локьер Д.Н.</t>
  </si>
  <si>
    <t>Планеты и звезды в мифах древних народов. Истоки астрономии</t>
  </si>
  <si>
    <t>978-5-9524-6239-7</t>
  </si>
  <si>
    <t>Всю свою жизнь известный английский астрофизик Джозеф Норман Локьер изучал небесные светила. Результатом его исследований, в числе прочих открытий, явилась теория астрономической ориентации древних храмовых сооружений. В этой книге Локьер рассматривает гипотезу о том, что в основе культовой архитектуры, мифов, легенд и религиозных обрядов лежат наблюдения человека за небесными явлениями: движением звезд, Солнца и Луны. Для  начала Локьер дает представление о небесной механике и о том, какие способы наблюдения были доступны древним цивилизациям, затем подробно излагает выводы о происхождении богов и культов народов, их обычаев, а также предлагает свою датировку правления царей и создания храмов.</t>
  </si>
  <si>
    <t>10198</t>
  </si>
  <si>
    <t>Плата за риск</t>
  </si>
  <si>
    <t>978-5-9524-3319-9</t>
  </si>
  <si>
    <t>17670</t>
  </si>
  <si>
    <t>Плейбоев не ревнуют</t>
  </si>
  <si>
    <t>978-5-227-07708-0</t>
  </si>
  <si>
    <t>18963</t>
  </si>
  <si>
    <t>Плейбой из Теннесси</t>
  </si>
  <si>
    <t>978-5-227-08799-7</t>
  </si>
  <si>
    <t>18603</t>
  </si>
  <si>
    <t>Плейбой с сердцем романтика</t>
  </si>
  <si>
    <t>978-5-227-08508-5</t>
  </si>
  <si>
    <t>18793</t>
  </si>
  <si>
    <t>Плененные. Дар Донованов</t>
  </si>
  <si>
    <t>978-5-227-08782-9</t>
  </si>
  <si>
    <t>15282</t>
  </si>
  <si>
    <t>978-5-227-05029-8</t>
  </si>
  <si>
    <t>18381</t>
  </si>
  <si>
    <t>Пленительная невинность</t>
  </si>
  <si>
    <t>978-5-2270-8353-1</t>
  </si>
  <si>
    <t>19130</t>
  </si>
  <si>
    <t>Пленница острова страсти</t>
  </si>
  <si>
    <t>978-5-227-08961-8</t>
  </si>
  <si>
    <t>21258</t>
  </si>
  <si>
    <t>ИР ХП</t>
  </si>
  <si>
    <t>Пленница пиратов</t>
  </si>
  <si>
    <t>978-5-227-10800-5</t>
  </si>
  <si>
    <t>После внезапной смерти своего юного супруга дочь испанского дона красавица Марибель не хочет снова вступать в брак, но отец принуждает ее. Желая завладеть состоянием, доставшимся дочери от мужа, он отправляет Марибель в Англию к жениху, которого она никогда не видела. По пути на корабль нападают пираты и красавицу захватывают в плен. Капитан пиратов сразу обращает на себя ее внимание. Он очень красив, к тому же единственный сын английского лорда. Однако из-за ложного обвинения в государственной измене Джастину грозит виселица. Молодые люди не в силах сдержать пожар охвативших их чувств. Любовь помогает преодолеть невероятные препятствия, встающие на пути к счастью.</t>
  </si>
  <si>
    <t>20697</t>
  </si>
  <si>
    <t>Плодовый сад. Минимум знаний для максимального урожая…</t>
  </si>
  <si>
    <t>978-5-227-09724-8</t>
  </si>
  <si>
    <t>В этой книге опытный садовод и огородник Анна Зорина даст вам самый необходимый минимум знаний для того, чтобы при небольших трудозатратах вырастить максимальный урожай ягод и плодов. Вы узнаете, как повысить приживаемость саженцев, получите правила ухода за ними; как правильно выбрать место для посадки данного вида; кого выбрать в соседи для данного растения, чтобы всем было комфортно; как бороться с болезнями и паразитами; как подготовить грунт; сколько поливать, чем удобрять, и многое другое. Читайте книгу — и яблони и вишни, барбарис и сливы, малина и смородина, крыжовник и жимолость, ежевика и клубника, голубика и облепиха порадуют вас крепким здоровьем, быстрым ростом, обильным цветением и высоким урожаем.</t>
  </si>
  <si>
    <t>10220</t>
  </si>
  <si>
    <t>Плоть</t>
  </si>
  <si>
    <t>978-5-9524-3407-3</t>
  </si>
  <si>
    <t>15344</t>
  </si>
  <si>
    <t>Дермански М.</t>
  </si>
  <si>
    <t>Плохая Мари</t>
  </si>
  <si>
    <t>978-5-227-05320-6</t>
  </si>
  <si>
    <t>0111</t>
  </si>
  <si>
    <t>Плохие вести от куклы</t>
  </si>
  <si>
    <t>978-5-227-06992-4</t>
  </si>
  <si>
    <t>19716</t>
  </si>
  <si>
    <t>Плюшевый оракул</t>
  </si>
  <si>
    <t>978-5-227-09490-2</t>
  </si>
  <si>
    <t>0178</t>
  </si>
  <si>
    <t>По дороге к смерти</t>
  </si>
  <si>
    <t>978-5-227-06993-1</t>
  </si>
  <si>
    <t>17874</t>
  </si>
  <si>
    <t>По желанию дамы</t>
  </si>
  <si>
    <t>978-5-227-07795-0</t>
  </si>
  <si>
    <t>16796</t>
  </si>
  <si>
    <t>Аткинс Э.</t>
  </si>
  <si>
    <t>По закону плохих парней</t>
  </si>
  <si>
    <t>978-5-227-06770-8</t>
  </si>
  <si>
    <t>17316</t>
  </si>
  <si>
    <t>По зову сердца</t>
  </si>
  <si>
    <t>978-5-227-07317-4</t>
  </si>
  <si>
    <t>16906</t>
  </si>
  <si>
    <t>По их следам</t>
  </si>
  <si>
    <t>978-5-227-06846-0</t>
  </si>
  <si>
    <t>21613</t>
  </si>
  <si>
    <t>978-5-227-11033-6</t>
  </si>
  <si>
    <t>Отец и мать Джордана и Берил Тэвисток, агенты британской секретной службы, были убиты в Париже при загадочных обстоятельствах. Осиротевших детей воспитал их дядя Хью, в прошлом также разведчик. На вечеринке в доме дяди от подвыпивших гостей брат и сестра узнают, что двадцать лет назад полиция и спецслужбы пришли к выводу, что предатель Бернард Тэвисток убил свою жену и затем совершил самоубийство. Берил и Джордан уверены в том, что дело было сфабриковано, но как это доказать? Брат и сестра отправляются в Париж, чтобы докопаться до истины и защитить доброе имя своих родителей...</t>
  </si>
  <si>
    <t>10146</t>
  </si>
  <si>
    <t>По ком звонят колокольчики</t>
  </si>
  <si>
    <t>978-5-9524-3330-4</t>
  </si>
  <si>
    <t>17196</t>
  </si>
  <si>
    <t>По обе стороны Арбата, или Три дома Маргариты</t>
  </si>
  <si>
    <t>978-5-227-07190-3</t>
  </si>
  <si>
    <t>21767</t>
  </si>
  <si>
    <t>По Петербургу на метро. Подземные маршруты Северной столицы</t>
  </si>
  <si>
    <t>978-5-227-11119-7</t>
  </si>
  <si>
    <t>Большинство горожан ежедневно не задумываясь пользуются метрополитеном. Елена Первушина призывает пристально вглядеться в привычное, рассказывает о том, как постепенно создавалась и ширилась сеть метро Северной столицы и какие новые станции в ближайшем будущем появятся на карте города. Читатели узнают имена всех архитекторов и художников, вложивших свой труд в строительство и неповторимое оформление петербургской подземки, а также много интересного о том, что окружает станции на поверхности._x000D_
Компактное издание, насыщенное информацией, будет весьма полезным справочным пособием для многих любознательных петербуржцев и любителей отечественной истории.</t>
  </si>
  <si>
    <t>17966</t>
  </si>
  <si>
    <t>По прозвищу Адмирал</t>
  </si>
  <si>
    <t>978-5-227-08084-4</t>
  </si>
  <si>
    <t>20626</t>
  </si>
  <si>
    <t>По родной планете. Задорные путешествия. Собрание сочинений.Том 4</t>
  </si>
  <si>
    <t>978-5-227-10239-3</t>
  </si>
  <si>
    <t>Михаил Задорнов — всеми горячо любимый писатель-сатирик, драматург и эссеист. Замечательный, остроумный, невероятно образованный и очень увлечённый родной историей человек. Его устное творчество знает вся наша огромная страна и жители зарубежья, его книги мгновенно разлетаются с прилавков, а многие выражения ушли в народ и стали крылатыми._x000D_
Впервые читателям предоставляется уникальная возможность приобрести собрание сочинений этого удивительного человека. В четвёртый том вошли очерки автора о самых интересных местах нашей планеты, написанные с 1990­х по 2010­е годы.</t>
  </si>
  <si>
    <t>20566</t>
  </si>
  <si>
    <t>По родной России. Задорные путешествия. Собрание сочинений. Том 3</t>
  </si>
  <si>
    <t>978-5-227-10236-2</t>
  </si>
  <si>
    <t>Михаил Задорнов — всеми горячо любимый писатель-сатирик, драматург и эссеист. Замечательный, остроумный, невероятно образованный и очень увлечённый родной историей человек. Его устное творчество знает вся наша огромная страна и жители зарубежья, его книги мгновенно разлетаются с прилавков, а многие выражения ушли в народ и стали крылатыми._x000D_
Впервые читателям предоставляется уникальная возможность приобрести собрание сочинений этого удивительного человека. В третий том вошли не только современные очерки автора об удивительных местах России, но и его юношеское творчество 1970-х годов. Повесть «Курильские острова» публикуется впервые.</t>
  </si>
  <si>
    <t>15013</t>
  </si>
  <si>
    <t>По ту сторону полуночи</t>
  </si>
  <si>
    <t>978-5-227-04973-5</t>
  </si>
  <si>
    <t>18664</t>
  </si>
  <si>
    <t>Буторин А.</t>
  </si>
  <si>
    <t>По ту сторону чуда</t>
  </si>
  <si>
    <t>978-5-227-08596-2</t>
  </si>
  <si>
    <t>5310</t>
  </si>
  <si>
    <t>ПОЛИТИКА</t>
  </si>
  <si>
    <t>Шевченко Г.</t>
  </si>
  <si>
    <t>Побег из коридоров МИДа Судьба перебежчика века</t>
  </si>
  <si>
    <t>5-9524-1290-3</t>
  </si>
  <si>
    <t>19271</t>
  </si>
  <si>
    <t>Грэхем</t>
  </si>
  <si>
    <t>Побег к собственному счастью</t>
  </si>
  <si>
    <t>978-5-227-09052-2</t>
  </si>
  <si>
    <t>10742</t>
  </si>
  <si>
    <t>Победитель получит все</t>
  </si>
  <si>
    <t>978-5-9524-3846-0</t>
  </si>
  <si>
    <t>21398</t>
  </si>
  <si>
    <t>Судавцов Н.Д.</t>
  </si>
  <si>
    <t>Победитель турок. Князь Василий Бебутов. 1791–1858 гг.</t>
  </si>
  <si>
    <t>978-5-227-10844-9</t>
  </si>
  <si>
    <t>Книга видного российского кавказоведа доктора исторических наук, профессора Н.Д. Судавцова посвящена одному из выдающихся военных и государственных деятелей России на Кавказе в ХIХ веке, представителю древнего армянского княжеского рода Василию Иосифовичу (Осиповичу) Бебутову, генералу от инфантерии, члену Государственного совета России. Он был одним из немногих кавказских генералов, который родился на Кавказе, в Тифлисе, сделал здесь свою блестящую военную, государственную карьеру и остался верен своему краю до конца дней своих.</t>
  </si>
  <si>
    <t>15318</t>
  </si>
  <si>
    <t>Победить в любовной схватке</t>
  </si>
  <si>
    <t>978-5-227-05290-2</t>
  </si>
  <si>
    <t>13939</t>
  </si>
  <si>
    <t>Побеждаем остеохондроз</t>
  </si>
  <si>
    <t>978-5-227-03952-1</t>
  </si>
  <si>
    <t>14083</t>
  </si>
  <si>
    <t>14915</t>
  </si>
  <si>
    <t>Побежденный холостяк</t>
  </si>
  <si>
    <t>978-5-227-04872-1</t>
  </si>
  <si>
    <t>3182</t>
  </si>
  <si>
    <t>Побочный эффект</t>
  </si>
  <si>
    <t>5-227-01713-1</t>
  </si>
  <si>
    <t>14340</t>
  </si>
  <si>
    <t>Повелитель песков</t>
  </si>
  <si>
    <t>978-5-227-04349-8</t>
  </si>
  <si>
    <t>10082</t>
  </si>
  <si>
    <t>Повелитель снов</t>
  </si>
  <si>
    <t>978-5-9524-3244-4</t>
  </si>
  <si>
    <t>21243</t>
  </si>
  <si>
    <t>Повелитель Сумерек</t>
  </si>
  <si>
    <t>978-5-227-10755-8</t>
  </si>
  <si>
    <t>Книга Правления королевства Тьмы предрекает, что наследника Повелителю Сумерек должна родить фея. Но Колл знает, что Лара добровольно не придет к нему, хотя она должна исполнить свое предназначение. Поэтому ему надо придумать способ убедить ее, что она любит его и хочет родить от него ребенка. Но честолюбие властелина Темных Земель простирается за пределы его страстной любви к домине. Коллу нужна ее магия, чтобы победить Хетар и Теру. Но на земли мирной Теры претендует и ненасытный император Хетара… Чтобы восстановить равновесие Тьмы и Света, принц-тень Калиг и мать Лары, королева фей Илона, строят планы по спасению Лары, так как судьба ее еще призовет…</t>
  </si>
  <si>
    <t>19887</t>
  </si>
  <si>
    <t>Повелительница сердца шейха</t>
  </si>
  <si>
    <t>978-5-227-09296-0</t>
  </si>
  <si>
    <t>17566</t>
  </si>
  <si>
    <t>Повелительница соблазна</t>
  </si>
  <si>
    <t>978-5-227-07617-5</t>
  </si>
  <si>
    <t>17884</t>
  </si>
  <si>
    <t>Повелительница страсти</t>
  </si>
  <si>
    <t>978-5-227-07790-5</t>
  </si>
  <si>
    <t>0159</t>
  </si>
  <si>
    <t>Поверишь этому - поверишь всему</t>
  </si>
  <si>
    <t>978-5-227-06994-8</t>
  </si>
  <si>
    <t>2987</t>
  </si>
  <si>
    <t>Павлов О.</t>
  </si>
  <si>
    <t>Повести последних дней</t>
  </si>
  <si>
    <t>5-227-01543-0</t>
  </si>
  <si>
    <t>18666</t>
  </si>
  <si>
    <t>Белкин А.П.</t>
  </si>
  <si>
    <t>Повести Пушкина</t>
  </si>
  <si>
    <t>978-5-227-08603-7</t>
  </si>
  <si>
    <t>18142</t>
  </si>
  <si>
    <t>Повод для знакомства</t>
  </si>
  <si>
    <t>978-5-227-08143-8</t>
  </si>
  <si>
    <t>16896</t>
  </si>
  <si>
    <t>Повод для служебного романа</t>
  </si>
  <si>
    <t>978-5-227-06839-2</t>
  </si>
  <si>
    <t>20778</t>
  </si>
  <si>
    <t>Поворот дороги</t>
  </si>
  <si>
    <t>978-5-227-10212-6</t>
  </si>
  <si>
    <t>В середине года и в середине своей жизни Бетани Хэмлин отправляется путешествовать в автомобиле с дочерью Энни и бывшей свекровью Руфью. Та недавно овдовела и, чтобы развеяться, хочет попасть на встречу бывших одноклассников и главное — увидеться со своей первой любовью Ройсом, чувство к которому пронесла через всю жизнь. Самой Бетани нужно время, чтобы обдумать важное решение, которое предстоит принять. Ее бывший муж, Грант, просит теперь, когда второй его брак распался, помириться ради их детей. А Энни хочет доказать своему другу, что может прекрасно обойтись и без него. Автомобилисткам предстоит неблизкий путь по Америке. У них есть подробные карты, тщательно разработанный маршрут, но даже отлично спланированная поездка порой преподносит сюрпризы. Или дарит неожиданную встречу… И теперь путешествие из Сиэтла в другой конец страны может изменить жизнь трех женщин.</t>
  </si>
  <si>
    <t>18501</t>
  </si>
  <si>
    <t>Поворот судьбы</t>
  </si>
  <si>
    <t>978-5-227-08427-9</t>
  </si>
  <si>
    <t>20889</t>
  </si>
  <si>
    <t>БРК НОВ</t>
  </si>
  <si>
    <t>Тер-Нерсесян С. М</t>
  </si>
  <si>
    <t>Повседневная жизнь Армении от Античности до Средневековья. Быт, религия, культура</t>
  </si>
  <si>
    <t>978-5-9524-6029-4</t>
  </si>
  <si>
    <t>Сирарпи Миграновна Тер-Нерсесян, профессор, член Американской академии Средневековья, член Национального общества антиквариев Франции и член Академии Армении, долгое время преподавала в Сорбонне и в Гарвардском университете. В своей книге она рассказывает об истории развития армянского этноса начиная с бронзового века. Исследователь делает панорамный обзор влияния других культур на общество, экономику, архитектуру и искусство вплоть до раннего Средневековья Армении.</t>
  </si>
  <si>
    <t>20677</t>
  </si>
  <si>
    <t>Повседневная жизнь Вавилона и Ассирии. Быт, религия, культура</t>
  </si>
  <si>
    <t>978-5-9524-5646-4</t>
  </si>
  <si>
    <t>Автор, используя материалы археологических экспедиций и лингвистических исследований, сделал уникальную попытку реконструировать быт людей, живших четыре тысячелетия назад в долине Тигра и Евфрата. Вы сможете перенестись к самым истокам нашей цивилизации и открыть для себя мир древней Месопотамии: ее религию, политическое устройство, обычаи, искусство и ремесла.</t>
  </si>
  <si>
    <t>20053</t>
  </si>
  <si>
    <t>Симпсон Ж.</t>
  </si>
  <si>
    <t>Повседневная жизнь викингов. Быт, религия, культура</t>
  </si>
  <si>
    <t>978-5-9524-5622-8</t>
  </si>
  <si>
    <t>19862</t>
  </si>
  <si>
    <t>Эдвардс М.</t>
  </si>
  <si>
    <t>Повседневная жизнь Древней Индии</t>
  </si>
  <si>
    <t>978-5-9524-5555-9</t>
  </si>
  <si>
    <t>20657</t>
  </si>
  <si>
    <t>Росс Э.</t>
  </si>
  <si>
    <t>Повседневная жизнь кельтов­язычников. Быт, религия, культура</t>
  </si>
  <si>
    <t>978-5-9524-5870-3</t>
  </si>
  <si>
    <t>В книге рассказывается о возникновении и расцвете новой культуры, которая позднее превратилась в могучую кельтскую цивилизацию, распространившую свое влияние на большую часть Европы и Британские острова. Энн Росс ярко воссоздает мир кельтов — кузнецов, сказителей и воинов. Знакомит с внешним видом кельтов, их привычками, манерой одеваться и украшать себя, принципами воспитания детей. Автор увлекательно повествует о находках археологов, священных храмах загадочных друидов, иерархии древнего общества, его магических обрядах и ритуалах.</t>
  </si>
  <si>
    <t>19786</t>
  </si>
  <si>
    <t>Уитлок Р</t>
  </si>
  <si>
    <t>Повседневная жизнь майя. Быт, религия, культура</t>
  </si>
  <si>
    <t>978-5-9524-5554-2</t>
  </si>
  <si>
    <t>20848</t>
  </si>
  <si>
    <t>Квеннелл М.,Квеннелл Ч</t>
  </si>
  <si>
    <t>Повседневная жизнь первобытных людей. Быт, религия, культура</t>
  </si>
  <si>
    <t>978-5-9524-5970-0</t>
  </si>
  <si>
    <t>Авторы этой книги дают возможность увидеть полную картину существования первобытных племен, начиная с эпохи палеолита и заканчивая ранним железным веком. Они знакомят с тем миром, когда на Земле только начинало формироваться человеческое сообщество. Рассказывают о жилищах, орудиях труда и погребениях людей той далекой эпохи. Весь путь, который люди прошли за много тысячелетий, спрессован в увлекательнейшие отчеты археологов, историков, биологов и географов.</t>
  </si>
  <si>
    <t>20804</t>
  </si>
  <si>
    <t>Данн Ч.</t>
  </si>
  <si>
    <t>Повседневная жизнь традиционной Японии. Быт, религия, культура</t>
  </si>
  <si>
    <t>978-5-9524-6003-4</t>
  </si>
  <si>
    <t>В этой книге представлен быт Эдо — столицы Японии во времена сёгунов из рода Токугава; рассказывается о религиозных обрядах, буддийских и синтоистских святилищах; развернута увлекательная картина повседневной жизни представителей разных сословий.</t>
  </si>
  <si>
    <t>19321</t>
  </si>
  <si>
    <t>Повторившаяся любовь</t>
  </si>
  <si>
    <t>978-5-227-09056-0</t>
  </si>
  <si>
    <t>19901</t>
  </si>
  <si>
    <t>Повторим брачную ночь?</t>
  </si>
  <si>
    <t>978-5-227-09484-1</t>
  </si>
  <si>
    <t>21490</t>
  </si>
  <si>
    <t>Повторим медовый месяц</t>
  </si>
  <si>
    <t>978-5-227-10567-7</t>
  </si>
  <si>
    <t>Блоссом Дюпон, владелица свадебного агентства, готовит собственную свадьбу с красавцем-миллиардером Джо Блэкуэллом. На очередной встрече по обсуждению торжества в ее душу закрадывается сомнение, что жених передумал. Блоссом сгоряча разрывает помолвку и отменяет их свадьбу. Роскошная вилла на Гавайях ждет молодоженов в медовый месяц, и Блоссом отправляется туда одна «зализывать раны». У Джо возникает та же идея. И вот они снова вместе и волей-неволей вынуждены решать проблемы между собой. Смогут ли они восстановить доверие в своих отношениях и снова стать парой?</t>
  </si>
  <si>
    <t>16868</t>
  </si>
  <si>
    <t>Повторим нашу встречу</t>
  </si>
  <si>
    <t>978-5-227-06823-1</t>
  </si>
  <si>
    <t>18180</t>
  </si>
  <si>
    <t>Повторить мгновения счастья</t>
  </si>
  <si>
    <t>978-5-227-08158-2</t>
  </si>
  <si>
    <t>4599</t>
  </si>
  <si>
    <t>Погода и здоровье</t>
  </si>
  <si>
    <t>5-9524-0593-2</t>
  </si>
  <si>
    <t>4226</t>
  </si>
  <si>
    <t>4713</t>
  </si>
  <si>
    <t>19255</t>
  </si>
  <si>
    <t>Погонщица единорогов</t>
  </si>
  <si>
    <t>978-5-227-09166-6</t>
  </si>
  <si>
    <t>18650</t>
  </si>
  <si>
    <t>Погоня за любовью</t>
  </si>
  <si>
    <t>978-5-227-08563-4</t>
  </si>
  <si>
    <t>21237</t>
  </si>
  <si>
    <t>Погребальные обряды и обычаи разных народов. Курганы, склепы, пирамиды, мавзолеи. Ритуалы, траур, поминальные трапезы</t>
  </si>
  <si>
    <t>978-5-9524-6065-2</t>
  </si>
  <si>
    <t>На всём протяжении существования человечества люди мечтают о вечной жизни, но, увы, земному пути каждого рано или поздно приходит конец. Уход из жизни окутан завесой тайн и суеверий. Никто ещё не вернулся с того света и не рассказал о своих переживаниях и ощущениях там, за гранью… Но тем не менее живые с огромной ответственностью относятся к проведению похорон и соблюдению всех необходимых формальностей._x000D_
Все без исключения с уважением относятся к данному таинству, сопровождая всяческими обрядами, которые уникальны для разных народов. Несмотря на ряд отличий, во всех мировых конфессиях обряд погребения имеет один и тот же смысл — покойного необходимо подготовить к переходу в мир иной и достойно проводить, чтобы душа его нашла вечный покой. Книга будет интересна самому широкому кругу читателей, она рассказывает о языческих курганах, семейных склепах, египетских пирамидах. Вы узнаете много интересного о мавзолеях и о том, что Великая Китайская стена — самое большое и длинное кладбище в мире, и ещё огромное количество уникальной информации на тему, избежать которой никому не удастся.</t>
  </si>
  <si>
    <t>20317</t>
  </si>
  <si>
    <t>Сэйсон С.С.</t>
  </si>
  <si>
    <t>Под венец с другой невестой</t>
  </si>
  <si>
    <t>978-5-227-09925-9</t>
  </si>
  <si>
    <t>19539</t>
  </si>
  <si>
    <t>Под венец с другом детства</t>
  </si>
  <si>
    <t>978-5-227-09158-1</t>
  </si>
  <si>
    <t>18886</t>
  </si>
  <si>
    <t>Под защитой трепетного сердца</t>
  </si>
  <si>
    <t>978-5-227-08735-5</t>
  </si>
  <si>
    <t>20120</t>
  </si>
  <si>
    <t>Под покровом желания</t>
  </si>
  <si>
    <t>978-5-227-09810-8</t>
  </si>
  <si>
    <t>18868</t>
  </si>
  <si>
    <t>Под покровом светлых чувств</t>
  </si>
  <si>
    <t>978-5-227-08728-7</t>
  </si>
  <si>
    <t>18760</t>
  </si>
  <si>
    <t>Под прицелом соблазна</t>
  </si>
  <si>
    <t>978-5-227-08666-2</t>
  </si>
  <si>
    <t>21299</t>
  </si>
  <si>
    <t>Кулаев Иван Васильевич</t>
  </si>
  <si>
    <t>Под счастливой звездой. Как делали миллионные состояния в России. Воспоминания сибирского золотопромышленника. 1875—1930</t>
  </si>
  <si>
    <t>978-5-227-10293-5</t>
  </si>
  <si>
    <t>Удивительная жизнь и судьба Ивана Васильевича Кулаева может послужить примером для истинного предпринимателя. Он пытал счастья на приисках в тундре, тонул подо льдом Енисея, пережил китайское боксерское восстание, Русско-японскую и Первую мировую войну, революцию, национализацию имущества, бандитское похищение... Каждый раз начиная с нуля, он верил в свою удачу, в свою счастливую звезду. В книге воссоздана подлинная атмосфера быта, экономики и промышленности Сибири начала века.</t>
  </si>
  <si>
    <t>15561</t>
  </si>
  <si>
    <t>Под угрозой скандала</t>
  </si>
  <si>
    <t>978-5-227-05423-4</t>
  </si>
  <si>
    <t>17709</t>
  </si>
  <si>
    <t>Сейц Д. К</t>
  </si>
  <si>
    <t>Под черным флагом. Истории знаменитых пиратов Вест­Индии, Атлантики и Малабарского берега.</t>
  </si>
  <si>
    <t>978-5-9524-5278-7</t>
  </si>
  <si>
    <t>14315</t>
  </si>
  <si>
    <t>Под чужим именем</t>
  </si>
  <si>
    <t>978-5-227-04347-4</t>
  </si>
  <si>
    <t>12659</t>
  </si>
  <si>
    <t>Под шепот океана</t>
  </si>
  <si>
    <t>978-5-227-02775-7</t>
  </si>
  <si>
    <t>10399</t>
  </si>
  <si>
    <t>Гиллен Л.</t>
  </si>
  <si>
    <t>Под шепот сердец</t>
  </si>
  <si>
    <t>978-5-9524-3625-1</t>
  </si>
  <si>
    <t>21658</t>
  </si>
  <si>
    <t>Под южными небесами. Юмористическое описание поездки супругов Николая Ивановича и Глафиры Семеновны</t>
  </si>
  <si>
    <t>978-5-227-11076-3</t>
  </si>
  <si>
    <t>Книга русского писателя, журналиста и редактора-издателя юмористического журнала «Осколки» Николая Александровича Лейкина «Под южными небесами» из серии «Наши едут по Е¬вропам» — это юмористическое описание путешествия супругов Николая Ивановича и Глафиры Семеновны Ивановых в Биарриц и Мадрид, где они постоянно попадают в уморительно смешные ситуации.</t>
  </si>
  <si>
    <t>16522</t>
  </si>
  <si>
    <t>Подари мне волшебство</t>
  </si>
  <si>
    <t>978-5-227-06395-3</t>
  </si>
  <si>
    <t>19694</t>
  </si>
  <si>
    <t>Подари мне второй шанс</t>
  </si>
  <si>
    <t>978-5-227-09350-9</t>
  </si>
  <si>
    <t>20014</t>
  </si>
  <si>
    <t>Ковингтон Р.</t>
  </si>
  <si>
    <t>Подари мне поцелуй</t>
  </si>
  <si>
    <t>978-5-227-09683-8</t>
  </si>
  <si>
    <t>17015</t>
  </si>
  <si>
    <t>Подари мне себя</t>
  </si>
  <si>
    <t>978-5-227-07038-8</t>
  </si>
  <si>
    <t>7307</t>
  </si>
  <si>
    <t>Мошковская</t>
  </si>
  <si>
    <t>Подарите крокодила</t>
  </si>
  <si>
    <t>5-9524-1757-4</t>
  </si>
  <si>
    <t>17102</t>
  </si>
  <si>
    <t>Подарки для любимых</t>
  </si>
  <si>
    <t>978-5-227-07146-0</t>
  </si>
  <si>
    <t>20146</t>
  </si>
  <si>
    <t>Подарок</t>
  </si>
  <si>
    <t>978-5-227-09857-3</t>
  </si>
  <si>
    <t>18591</t>
  </si>
  <si>
    <t>Константинов Е.</t>
  </si>
  <si>
    <t>Подарок инкассатору</t>
  </si>
  <si>
    <t>978-5-227-08568-9</t>
  </si>
  <si>
    <t>10916</t>
  </si>
  <si>
    <t>ММ</t>
  </si>
  <si>
    <t>Дубровская С.В.</t>
  </si>
  <si>
    <t>Подвижные игры для детей от 3 до 7 лет</t>
  </si>
  <si>
    <t>978-5-9524-4036-4</t>
  </si>
  <si>
    <t>21627</t>
  </si>
  <si>
    <t>Пиллар Л.</t>
  </si>
  <si>
    <t>Подводная война. Хроника морских сражений. 1939—1945</t>
  </si>
  <si>
    <t>978-5-9524-6406-3</t>
  </si>
  <si>
    <t>В книге Леона Пиллара описаны основные операции, в которых участвовали подводные лодки во время Второй мировой войны. Автор представляет обширную панораму сражений в Мировом океане и, выходя далеко за рамки сухой фактологии, позволяет пережить драматические события тех дней.</t>
  </si>
  <si>
    <t>20010</t>
  </si>
  <si>
    <t>Подводный мир-2. Творческая раскраска обитателей глубин</t>
  </si>
  <si>
    <t>978-5-9524-5635-8</t>
  </si>
  <si>
    <t>19944</t>
  </si>
  <si>
    <t>Подводный мир. Творческая раскраска обитателей глубин</t>
  </si>
  <si>
    <t>978-5-9524-5637-2</t>
  </si>
  <si>
    <t>21449</t>
  </si>
  <si>
    <t>Баженов Н.Н.</t>
  </si>
  <si>
    <t>Подводный флот Муссолини. Итальянские субмарины в битве за Атлантику. 1940—1943</t>
  </si>
  <si>
    <t>978-5-227-10943-9</t>
  </si>
  <si>
    <t>О немецких подводных лодках, охотившихся на суда союзников в трех океанах поодиночке и в так называемых «волчьих стаях», написаны десятки книг. О том же, что в битве за море активно участвовали и подводные лодки Реджиа Марина (итальянского флота), мало кто знает. Между тем подводный флот Муссолини к началу Второй мировой войны был многочисленнее, чем у любой другой страны, даже чем у нацистской Германии. А итальянские капитаны по смелости, авантюризму и склонности к самоубийственным атакам могли посоперничать со своими немецкими коллегами. И в отличие от воевавшего бесславно надводного флота ВМС Италии, подводники дуче действовали достаточно профессионально и эффективно. Субмарины доходили до берегов Америки и Южной Африки, на их счету десятки подтвержденных потоплений кораблей и судов в Атлантике и в Индийском океане. В данной книге автор впервые собрал подробные сведения о действиях подлодок Муссолини, их тактике, результатах торпедных атак, а также о наиболее прославившихся субмаринах и их командирах.</t>
  </si>
  <si>
    <t>20400</t>
  </si>
  <si>
    <t>Буш Х.</t>
  </si>
  <si>
    <t>Подводный флот Третьего рейха. Немецкие подлодки в войне, которая была почти выиграна. 1939—1945 гг.</t>
  </si>
  <si>
    <t>978-5-9524-5843-7</t>
  </si>
  <si>
    <t>В книге немецкого подводника Харальда Буша рассказывается о военных операциях германских субмарин во время Второй мировой войны. Успешные походы и изнурительная борьба за выживание, совершенствование стратегии и тактики морского боя и обновление технической базы судов... Обо всем этом ярко и образно повествует автор, а также приводит интересные детали из жизни и быта моряков-подводников.</t>
  </si>
  <si>
    <t>16755</t>
  </si>
  <si>
    <t>Поддаться искушению</t>
  </si>
  <si>
    <t>978-5-227-06745-6</t>
  </si>
  <si>
    <t>8855</t>
  </si>
  <si>
    <t>Клив К.</t>
  </si>
  <si>
    <t>Поджигатели</t>
  </si>
  <si>
    <t>978-5-9524-3105-8</t>
  </si>
  <si>
    <t>17741</t>
  </si>
  <si>
    <t>Подлинная история носа Пиноккио</t>
  </si>
  <si>
    <t>978-5-227-07329-7</t>
  </si>
  <si>
    <t>16392</t>
  </si>
  <si>
    <t>978-5-227-06201-7</t>
  </si>
  <si>
    <t>17325</t>
  </si>
  <si>
    <t>Подлинная красота</t>
  </si>
  <si>
    <t>978-5-227-07311-2</t>
  </si>
  <si>
    <t>21872</t>
  </si>
  <si>
    <t>Подлинная царица. Воспоминания близкой подруги императрицы Александры Федоровны</t>
  </si>
  <si>
    <t>978-5-9524-6524-4</t>
  </si>
  <si>
    <t>Юлия Александровна фон Ден, верная Лили, как звали ее в царской семье, была одной из самых близких подруг, доверенных лиц Александры Федоровны, ее фрейлиной и единственной, кто поддержал императрицу в тяжелые дни отречения Николая II от престола. Преданная государыне Юлия посчитала своим долгом облегчить участь свергнутой семьи. Она активно начала налаживать с ними связь во время их пребывания в Тобольске, в результате чего стала возможна переписка арестованных с оставшимися верными монархам людьми, передача посылок со всем необходимым... Уже будучи в эмиграции, Юлия Ден написала воспоминания о венценосной семье, главной целью которых было запечатлеть светлый образ почитаемой и любимой ею императрицы. Эта книга очевидца последнего акта русской монархической трагедии.</t>
  </si>
  <si>
    <t>19181</t>
  </si>
  <si>
    <t>Подлинное искушение</t>
  </si>
  <si>
    <t>978-5-227-09035-5</t>
  </si>
  <si>
    <t>18938</t>
  </si>
  <si>
    <t>Подмени моего жениха</t>
  </si>
  <si>
    <t>978-5-227-08790-4</t>
  </si>
  <si>
    <t>4822</t>
  </si>
  <si>
    <t>Ровинский</t>
  </si>
  <si>
    <t>Подробный словарь русскихъ граверовъ XVI-XIX вв т.1</t>
  </si>
  <si>
    <t>5-9524-0918-0</t>
  </si>
  <si>
    <t>4823</t>
  </si>
  <si>
    <t>Подробный словарь русскихъ граверовъ XVI-XIX вв т.2</t>
  </si>
  <si>
    <t>5-9524-0919-9</t>
  </si>
  <si>
    <t>14764</t>
  </si>
  <si>
    <t>Райхерт Г.</t>
  </si>
  <si>
    <t>Подружимся с едой, или Наставление всем, кто ест. Записки не только о кулинарии</t>
  </si>
  <si>
    <t>978-5-227-04530-0</t>
  </si>
  <si>
    <t>15621</t>
  </si>
  <si>
    <t>Подружка невесты</t>
  </si>
  <si>
    <t>978-5-227-05631-3</t>
  </si>
  <si>
    <t>21445</t>
  </si>
  <si>
    <t>Подсознание может всё, или управляем энергией желаний</t>
  </si>
  <si>
    <t>978-5-227-10893-7</t>
  </si>
  <si>
    <t>Автор приглашает вас в увлекательное путешествие по бесконечному космосу внутреннего мира человека, знакомя читателей с особенностями нашей психоэнергетики. Эта книга посвящена свойствам астрального тела, пространству психики, в котором реализуется то, что мы привыкли называть эмоциями и желаниями. _x000D__x000D_
Благодаря теоретической информации, простым практическим советам и упражнениям, данным в этой книге, вы легко наладите осознанную  связь с таинственным миром эмоций и желаний, чтобы правильно воспользоваться  ресурсами этого пространства и ощутить его поддержку. Это гарантированно сделает вас баловнем судьбы, успешным, удачливым и даже счастливым человеком, у которого осознанные стремления совпадают с подсознательными желаниями.</t>
  </si>
  <si>
    <t>12458</t>
  </si>
  <si>
    <t>Подумай дважды</t>
  </si>
  <si>
    <t>978-5-227-02596-8</t>
  </si>
  <si>
    <t>16793</t>
  </si>
  <si>
    <t>Подчиниться его приказу</t>
  </si>
  <si>
    <t>978-5-227-06784-5</t>
  </si>
  <si>
    <t>20851</t>
  </si>
  <si>
    <t>Поединок страсти</t>
  </si>
  <si>
    <t>978-5-227-10373-4</t>
  </si>
  <si>
    <t>Александра Латтимор — преуспевающий юрист в крупной компании, возвращается в родной городок, чтобы проведать семью и помочь им в сложном деле. На благотворительной вечеринке Алекса внезапно встречает Джексона, парня, с которым в школе ее связывали непростые отношения. Его интерес к ней, похоже, не угас за долгие годы, — стоит ли дать шанс старым чувствам?..</t>
  </si>
  <si>
    <t>17572</t>
  </si>
  <si>
    <t>Пожизненный срок</t>
  </si>
  <si>
    <t>978-5-227-07597-0</t>
  </si>
  <si>
    <t>14596</t>
  </si>
  <si>
    <t>Абросимов Ю.</t>
  </si>
  <si>
    <t>Пожитки</t>
  </si>
  <si>
    <t>978-5-227-04626-0</t>
  </si>
  <si>
    <t>18498</t>
  </si>
  <si>
    <t>Позволь быть любимой</t>
  </si>
  <si>
    <t>978-5-227-08409-5</t>
  </si>
  <si>
    <t>17092</t>
  </si>
  <si>
    <t>Позволь быть рядом</t>
  </si>
  <si>
    <t>978-5-227-07101-9</t>
  </si>
  <si>
    <t>15</t>
  </si>
  <si>
    <t>Поздравляем с дочкой</t>
  </si>
  <si>
    <t>978-5-9524-2735-8</t>
  </si>
  <si>
    <t>6796</t>
  </si>
  <si>
    <t>Поздравляем с сыном!</t>
  </si>
  <si>
    <t>978-5-9524-2732-7</t>
  </si>
  <si>
    <t>17999</t>
  </si>
  <si>
    <t>Поиграем в любовь</t>
  </si>
  <si>
    <t>978-5-227-08020-2</t>
  </si>
  <si>
    <t>2718</t>
  </si>
  <si>
    <t>Поймайте мне колобуса</t>
  </si>
  <si>
    <t>5-227-01445-0</t>
  </si>
  <si>
    <t>14850</t>
  </si>
  <si>
    <t>Пойманный свет</t>
  </si>
  <si>
    <t>978-5-227-04847-9</t>
  </si>
  <si>
    <t>18436</t>
  </si>
  <si>
    <t>Даль Д.</t>
  </si>
  <si>
    <t>Поймать молнию</t>
  </si>
  <si>
    <t>978-5-227-08428-6</t>
  </si>
  <si>
    <t>19342</t>
  </si>
  <si>
    <t>Пока не зазвонил телефон</t>
  </si>
  <si>
    <t>978-5-227-09146-8</t>
  </si>
  <si>
    <t>17551</t>
  </si>
  <si>
    <t>Хайес С.</t>
  </si>
  <si>
    <t>Пока ты моя</t>
  </si>
  <si>
    <t>978-5-227-07596-3</t>
  </si>
  <si>
    <t>15091</t>
  </si>
  <si>
    <t>978-5-227-04999-5</t>
  </si>
  <si>
    <t>18961</t>
  </si>
  <si>
    <t>Покажи мне рай</t>
  </si>
  <si>
    <t>978-5-227-08794-2</t>
  </si>
  <si>
    <t>14843</t>
  </si>
  <si>
    <t>Покаянные сны Михаила Афанасьевича</t>
  </si>
  <si>
    <t>978-5-227-04538-6</t>
  </si>
  <si>
    <t>6691</t>
  </si>
  <si>
    <t>Покемон 285 (80-83) 54 эл</t>
  </si>
  <si>
    <t>6692</t>
  </si>
  <si>
    <t>Покемон 285 (84-87) 54 эл</t>
  </si>
  <si>
    <t>6689</t>
  </si>
  <si>
    <t>Покемон 382 54 эл</t>
  </si>
  <si>
    <t>9670</t>
  </si>
  <si>
    <t>Покемон 80-83 54 эл</t>
  </si>
  <si>
    <t>9671</t>
  </si>
  <si>
    <t>Покемон 84-87 54 эл</t>
  </si>
  <si>
    <t>9668</t>
  </si>
  <si>
    <t>Покемон арт 380 54 эл</t>
  </si>
  <si>
    <t>9661</t>
  </si>
  <si>
    <t>Пазлы</t>
  </si>
  <si>
    <t>Покемон арт 381 54 эл</t>
  </si>
  <si>
    <t>9662</t>
  </si>
  <si>
    <t>Покемон арт 382 54 эл</t>
  </si>
  <si>
    <t>9669</t>
  </si>
  <si>
    <t>Покемон арт 383 54 эл</t>
  </si>
  <si>
    <t>9672</t>
  </si>
  <si>
    <t>Покемон арт 490 54 эл</t>
  </si>
  <si>
    <t>21587</t>
  </si>
  <si>
    <t>Покер. Уроки беспроигрышной игры от профессионала</t>
  </si>
  <si>
    <t>978-5-9524-6189-5</t>
  </si>
  <si>
    <t>Эта книга — руководство для начинающих, которое научит вас играть в покер и, что самое важное, выигрывать! Правила для каждой разновидности покера объясняются простым, доступным для всех языком и сопровождаются наглядными иллюстрациями._x000D_
Вы научитесь торговаться, делать ставки и блефовать, как настоящий карточный шулер._x000D_
Книга предназначена для широкого круга читателей.</t>
  </si>
  <si>
    <t>21634</t>
  </si>
  <si>
    <t>Марков С.В.</t>
  </si>
  <si>
    <t>Покинутая царская семья. Царское Село — Тобольск — Екатеринбург. 1917—1918</t>
  </si>
  <si>
    <t>978-5-227-10868-5</t>
  </si>
  <si>
    <t>Сергей Владимирович Марков – представитель белой эмиграции, монархист, бывший офицер. На Первую мировую войну он пошел добровольцем в 16 лет и роковой 1917 год встретил совсем юным восемнадцатилетним корнетом, но уже с тяжелыми фронтовыми ранениями и Георгиевскими крестами за храбрость._x000D_
Сергей Марков служил в Крымском конном полку, шефом которого была императрица Александра Федоровна, заботливо, поматерински относившаяся к своим офицерам, и в том числе – к «маленькому» Маркову, как она его называла. Бывший корнет сохранил преданность своему «державному шефу» на всю жизнь. Он был одним из немногих офицеров, пытавшихся сделать хоть что-то, чтобы спасти царскую семью, находившуюся после Февральской революции под арестом, даже отправился в Тобольск следом за сосланной императрицей и ее близкими. Увы, наблюдать издалека за арестованными, не имея возможности чем-то помочь, было невыносимо тяжело. А оказать действенную помощь в их освобождении, не подвергая жизнь членов царской семьи опасности, мальчишка-корнет даже с помощью нескольких друзей не сумел._x000D_
В 1928 году в Вене вышла книга воспоминаний Сергея Маркова «Покинутая царская семья», в которой он рассказывает обо всем пережитом во время русской революции, о людях из ближайшего окружения царской семьи и о том, как они раскрылись в страшные дни народного бунта, о начинавшейся в России Гражданской войне и о свергнутых венценосцах, которым некому было помочь в последние дни жизни…</t>
  </si>
  <si>
    <t>20366</t>
  </si>
  <si>
    <t>Поклянись быть моей</t>
  </si>
  <si>
    <t>978-5-227-10021-4</t>
  </si>
  <si>
    <t>18120</t>
  </si>
  <si>
    <t>Покорение Америки</t>
  </si>
  <si>
    <t>978-5-227-08230-5</t>
  </si>
  <si>
    <t>21469</t>
  </si>
  <si>
    <t>Каспари А.А</t>
  </si>
  <si>
    <t>Покоренный Кавказ</t>
  </si>
  <si>
    <t>978-5-227-10897-5</t>
  </si>
  <si>
    <t>Книга «Покоренный Кавказ» впервые увидела свет в Санкт-Петербурге в 1904 г. Альвин Андреевич Каспари — выходец из Германии, русский издатель и книготорговец. Он издавал журналы «Родина», «Новь», «Всемирная новь», серии книг «Библиотека романов», «Дешевая библиотека русских классиков» и такие научно-популярные труды, как «Всемирная история Каспари». _x000D_
В книгу «Покоренный Кавказ» входит 14 очерков, рассказывающих о природе, народонаселении и истории Кавказа с древних времен до конца XIX века. Главное внимание уделено драматическим событиям Кавказской войны, завершившейся пленением предводителя горцев Шамиля. Авторы очерков — известные в свое время историки и публицисты. Несмотря на то что впервые книга вышла в свет более века назад, другого подобного труда, дающего столь полное и разностороннее представление о Кавказе, не издано в России до сих пор.</t>
  </si>
  <si>
    <t>17796</t>
  </si>
  <si>
    <t>Покорить девушку с обложки</t>
  </si>
  <si>
    <t>978-5-227-07751-6</t>
  </si>
  <si>
    <t>21236</t>
  </si>
  <si>
    <t>Покорить дерзкого парня</t>
  </si>
  <si>
    <t>978-5-227-10635-3</t>
  </si>
  <si>
    <t>Конни лихорадочно искала выход из трудного положения: за бабушкой нужен постоянный уход, хозяин арендованного дома требует, чтобы женщины съехали, а куда? Тех денег, что девушка зарабатывает, слишком мало для поиска нового жилья. И тут появляется богатый красавец и предлагает ей сделку — фиктивный брак. По завещанию деда он должен срочно жениться, иначе не получит огромное наследство. Брак должен продлиться не менее полутора лет, за это Конни и ее бабушка будут полностью обеспечены, а затем развод. Конни согласилась. Молодые люди не представляли, на какой скользкий путь они вступают…</t>
  </si>
  <si>
    <t>18754</t>
  </si>
  <si>
    <t>Покорить маркиза</t>
  </si>
  <si>
    <t>978-5-227-08674-7</t>
  </si>
  <si>
    <t>14893</t>
  </si>
  <si>
    <t>Табаченко А.И.</t>
  </si>
  <si>
    <t>Покрышкинский авиаполк (серый). 16-й гвардейский истребительский авиационный полк в боях с Люфтваффе</t>
  </si>
  <si>
    <t>978-5-227-04802-8</t>
  </si>
  <si>
    <t>13115</t>
  </si>
  <si>
    <t>Бергман А.</t>
  </si>
  <si>
    <t>Поле битвы</t>
  </si>
  <si>
    <t>978-5-227-03255-3</t>
  </si>
  <si>
    <t>16409</t>
  </si>
  <si>
    <t>Политолог</t>
  </si>
  <si>
    <t>978-5-227-05971-0</t>
  </si>
  <si>
    <t>16009</t>
  </si>
  <si>
    <t>Полмира за любовь</t>
  </si>
  <si>
    <t>978-5-227-05948-2</t>
  </si>
  <si>
    <t>15452</t>
  </si>
  <si>
    <t>Грекова Т., Мещерякова Н.</t>
  </si>
  <si>
    <t>Полная правда о щитовидной железе</t>
  </si>
  <si>
    <t>978-5-227-04920-9</t>
  </si>
  <si>
    <t>15702</t>
  </si>
  <si>
    <t>978-5-227-05540-8</t>
  </si>
  <si>
    <t>19788</t>
  </si>
  <si>
    <t>Полнолуние</t>
  </si>
  <si>
    <t>978-5-227-09583-1</t>
  </si>
  <si>
    <t>21457</t>
  </si>
  <si>
    <t>Полный курс лекций по русской истории. Достопамятные события и лица от возникновения древних племен до великих реформ Александра II</t>
  </si>
  <si>
    <t>978-5-227-10941-5</t>
  </si>
  <si>
    <t>В основу книги легли лекции и научные труды русского и советского историка С.Ф. Платонова, а также записи слушателей курсов Военно-юридической академии и Петербургского университета. В одном издании собран и обобщен обширный материал, охватывающий период истории со времен расселения славянских племен и образования Киевского княжества до правления Николая I и Александра II. Профессор Платонов, обладавший талантом рассказчика, живо и ярко описывает события Смутного времени, борьбу за Московский престол, а также период культурного подъема во времена царствования Алексея Михайловича. В сборник включены очерки, посвященные правителям Российского государства, а также переломным моментам отечественной истории.</t>
  </si>
  <si>
    <t>15440</t>
  </si>
  <si>
    <t>Положите ее среди лилий</t>
  </si>
  <si>
    <t>978-5-227-05442-5</t>
  </si>
  <si>
    <t>0180</t>
  </si>
  <si>
    <t>978-5-227-06995-5</t>
  </si>
  <si>
    <t>17930</t>
  </si>
  <si>
    <t>Полосатик на задних лапках. Дневничок</t>
  </si>
  <si>
    <t>978-5-227-08043-1</t>
  </si>
  <si>
    <t>19611</t>
  </si>
  <si>
    <t>Полосы рассвета. V.Plans. Женский планировщик. Новая Я. (Вид 7)</t>
  </si>
  <si>
    <t>978-5-227-09379-0</t>
  </si>
  <si>
    <t>21705</t>
  </si>
  <si>
    <t>Полоцкая война. Очерки истории русско-литовского противостояния времен Ивана Грозного. 1562—1570</t>
  </si>
  <si>
    <t>978-5-227-11082-4</t>
  </si>
  <si>
    <t>В истории русско-польско-литовского противостояния, длившегося с перерывами двести лет, с 1486 по 1686 г., война 1562–1570 гг. занимает важнейшее место. В ходе этого конфликта, который по праву можно назвать войной Полоцкой, именно Полоцк стал главной целью Ивана Грозного, и вокруг него развернулись основные события. В ходе этого конфликта держали экзамен две политические системы, Руси московской и Руси литовской. И если московская Русь прошла это тяжелейшее испытание, то Русь литовская не выдержала проверки и по итогам войны прекратила свое существование как политический субъект, де-факто поглощенная Польшей в результате Люблинской унии 1569 г. Неудачный для Вильно ход Полоцкой войны, которая, несмотря на то что литовские войска неоднократно брали верх над русскими полками, все же по «очкам» была выиграна Москвой, предопределил завершение истории Великого княжества Литовского и изменил историю Восточной Европы на несколько столетий вперед._x000D_
Из всех составляющих истории Полоцкой войны именно военная ее история в отечественной и тем более зарубежной историографии изучена явно недостаточным образом и сопровождается шлейфом застарелых мифов и заблуждений. Во многом это связано с тем, что внимание исследователей, как правило, привлекали бурные события русской политической истории 60-х гг. XVI в. В лучшем положении оказалось лишь главное событие войны — осада и взятие русскими войсками Полоцка, однако этим знаменательным событием история этой войны отнюдь не исчерпывается. Исправить хотя бы отчасти эту несправедливость и призвано это исследование. Не претендуя на абсолютную полноту и законченность описания конфликта, автор полагает, что эта работа будет интересна преподавателям, студентам и всем, кто интересуется военной историей России XVI в., историей русского военного дела и русского общества той эпохи.</t>
  </si>
  <si>
    <t>19154</t>
  </si>
  <si>
    <t>Полузабытое искушение</t>
  </si>
  <si>
    <t>978-5-227-08970-0</t>
  </si>
  <si>
    <t>10691</t>
  </si>
  <si>
    <t>Полшага до мечты</t>
  </si>
  <si>
    <t>978-5-9524-3833-0</t>
  </si>
  <si>
    <t>5893</t>
  </si>
  <si>
    <t>Польская кухня</t>
  </si>
  <si>
    <t>5-9524-1800-7</t>
  </si>
  <si>
    <t>13374</t>
  </si>
  <si>
    <t>Помидоры, огурцы</t>
  </si>
  <si>
    <t>978-5-227-03401-4</t>
  </si>
  <si>
    <t>17464</t>
  </si>
  <si>
    <t>Помиримся у алтаря</t>
  </si>
  <si>
    <t>978-5-227-07471-3</t>
  </si>
  <si>
    <t>19817</t>
  </si>
  <si>
    <t>Помоги остаться с тобой</t>
  </si>
  <si>
    <t>978-5-227-09416-2</t>
  </si>
  <si>
    <t>17803</t>
  </si>
  <si>
    <t>Помоги стать твоей</t>
  </si>
  <si>
    <t>978-5-227-07752-3</t>
  </si>
  <si>
    <t>12701</t>
  </si>
  <si>
    <t>Помолвка на десерт</t>
  </si>
  <si>
    <t>978-5-227-02840-2</t>
  </si>
  <si>
    <t>20665</t>
  </si>
  <si>
    <t>Пообещай лучшую ночь</t>
  </si>
  <si>
    <t>978-5-227-10342-0</t>
  </si>
  <si>
    <t>Бенджамин Сильвер уже дважды терял самых близких людей – сначала погибли его биологические родители, а потом приемные. Он твердо решил никогда не заводить семью, из страха пережить еще одну потерю. Но внезапно в его жизнь ворвалась очаровательная Мириам Ховард. Решится ли он отбросить свои страхи и связать жизнь с этой удивительной женщиной?..</t>
  </si>
  <si>
    <t>20604</t>
  </si>
  <si>
    <t>Пообещай мне счастье</t>
  </si>
  <si>
    <t>978-5-227-10285-0</t>
  </si>
  <si>
    <t>Олив, глава крупной корпорации, давно любит Гуннара, президента фирмы, с которой она соперничает. Эти двое знают друг друга с детства, но только сейчас, после случайной ночи, проведенной вдвоем, им предстоит наконец определиться, что важнее — любовь или дело всей жизни?..</t>
  </si>
  <si>
    <t>18689</t>
  </si>
  <si>
    <t>Пообещай остаться моей</t>
  </si>
  <si>
    <t>978-5-227-08585-6</t>
  </si>
  <si>
    <t>12648</t>
  </si>
  <si>
    <t>Гуткин М.</t>
  </si>
  <si>
    <t>Попадать, так с музыкой</t>
  </si>
  <si>
    <t>978-5-227-02780-1</t>
  </si>
  <si>
    <t>19119</t>
  </si>
  <si>
    <t>Попробуй сказать «нет»</t>
  </si>
  <si>
    <t>978-5-227-08959-5</t>
  </si>
  <si>
    <t>20942</t>
  </si>
  <si>
    <t>Крич М.</t>
  </si>
  <si>
    <t>Попробуй стать моим</t>
  </si>
  <si>
    <t>978-5-227-10451-9</t>
  </si>
  <si>
    <t>Уилла получила предложение руки и сердца от парня, с которым десять лет назад провела упоительную ночь, после чего их пути разошлись, казалось, навсегда. И вот теперь Гаррет предлагает ей игру в жениха и невесту, а затем фиктивный брак, который решит ее финансовые проблемы, а он получит ранчо от деда, пожелавшего, чтобы внук не отдавал все свои силы работе и создал, наконец, семью. Странно, Уилла и Гаррет все эти десять лет любят друг друга, но по разным причинам не могут разобраться в своих чувствах. А что, если игра в жениха и невесту поможет им в этом?</t>
  </si>
  <si>
    <t>19599</t>
  </si>
  <si>
    <t>Попробуй страсть на вкус</t>
  </si>
  <si>
    <t>978-5-227-09209-0</t>
  </si>
  <si>
    <t>16110</t>
  </si>
  <si>
    <t>Попроси меня остаться</t>
  </si>
  <si>
    <t>978-5-227-06103-4</t>
  </si>
  <si>
    <t>18211</t>
  </si>
  <si>
    <t>978-5-227-08154-4</t>
  </si>
  <si>
    <t>18784</t>
  </si>
  <si>
    <t>Попрыгун</t>
  </si>
  <si>
    <t>978-5-227-08764-5</t>
  </si>
  <si>
    <t>21831</t>
  </si>
  <si>
    <t>Популярная анатомия. Строение и функции человеческого тела</t>
  </si>
  <si>
    <t>978-5-9524-6409-4</t>
  </si>
  <si>
    <t>Айзек Азимов подробно описывает строение и функции тела человека, которого он воспринимает как частицу биосферы. Увлекательно рассказывает о скелетном каркасе, мышцах, кровеносной и пищеварительной системах, а также о сердце, печени, легких, почках — органах, приводящих в действие и снабжающих энергией живой организм. Автор уделяет большое внимание роли репродуктивных органов и кожного покрова. Доходчиво разъясняет сложные термины. Книга снабжена интересными и наглядными рисунками.</t>
  </si>
  <si>
    <t>21783</t>
  </si>
  <si>
    <t>Популярная физика. От архимедова рычага до квантовой механики</t>
  </si>
  <si>
    <t>978-5-9524-6432-2</t>
  </si>
  <si>
    <t>Эта книга состоит из трех частей и охватывает период истории физики от Древней Греции и до середины XX века. В последней части Азимов подробно освещает основное событие в XX столетии — открытие бесконечно малых частиц и волн, предлагает оригинальный взгляд на взаимодействие технического прогресса и общества в целом. Книга расширяет представления о науке, помогает понять и полюбить физику.</t>
  </si>
  <si>
    <t>15769</t>
  </si>
  <si>
    <t>Популярный англо­русский и русско­английский словарь. Транскрипция и транслитерация английских слов русскими буквами</t>
  </si>
  <si>
    <t>978-5-227-05710-5</t>
  </si>
  <si>
    <t>20937</t>
  </si>
  <si>
    <t>Популярный англо­русский и русско­английский словарь. Транскрипция и транслитерация английских слов</t>
  </si>
  <si>
    <t>978-5-227-10570-7</t>
  </si>
  <si>
    <t>Словарь содержит 12 000 наиболее употребительных общественно-бытовых слов и словосочетаний. Он рассчитан на широкий круг русскоязычной аудитории, на лиц, изучающих английский язык, выезжающих за границу в деловые и туристические поездки.Уникальность настоящего издания в том, что впервые английские слова одновременно снабжены транскрипцией и транслитерацией. Для удобства обе части - англо-русский и русско-английский словари - объединены в одной книге.</t>
  </si>
  <si>
    <t>15821</t>
  </si>
  <si>
    <t>РАЗГОВОРНИ</t>
  </si>
  <si>
    <t>Чернореченский А.</t>
  </si>
  <si>
    <t>Популярный русско-испанский разговорник</t>
  </si>
  <si>
    <t>978-5-227-05882-9</t>
  </si>
  <si>
    <t>10145</t>
  </si>
  <si>
    <t>Селезнева</t>
  </si>
  <si>
    <t>Популярный русско-турецкий разговорник</t>
  </si>
  <si>
    <t>978-5-9524-3328-1</t>
  </si>
  <si>
    <t>11879</t>
  </si>
  <si>
    <t>Популярный русско-финский разговорник</t>
  </si>
  <si>
    <t>978-5-227-02032-1</t>
  </si>
  <si>
    <t>16893</t>
  </si>
  <si>
    <t>Попутчик до Аляски</t>
  </si>
  <si>
    <t>978-5-227-06843-9</t>
  </si>
  <si>
    <t>17852</t>
  </si>
  <si>
    <t>Попытка контакта</t>
  </si>
  <si>
    <t>978-5-227-07982-4</t>
  </si>
  <si>
    <t>19500</t>
  </si>
  <si>
    <t>Попытка соблазнения</t>
  </si>
  <si>
    <t>978-5-227-09153-6</t>
  </si>
  <si>
    <t>19799</t>
  </si>
  <si>
    <t>Шульман М.</t>
  </si>
  <si>
    <t>Поражение на западе. Разгром гитлеровских войск на Западном фронте</t>
  </si>
  <si>
    <t>978-5-9524-5586-3</t>
  </si>
  <si>
    <t>21725</t>
  </si>
  <si>
    <t>Поражение на море. Разгром военно-морского флота Германии</t>
  </si>
  <si>
    <t>978-5-9524-5987-8</t>
  </si>
  <si>
    <t>Воспоминания бывшего офицера германского ВМФ о борьбе немецкого военно-морского флота и превосходящих сил противника во время Второй мировой войны. Автор рассказывает о морских сражениях и обо всех типах кораблей, участвовавших в них, — от гигантов линкоров до сверхмалых субмарин. Место действия — Атлантика, Балтика и Черное море.</t>
  </si>
  <si>
    <t>19453</t>
  </si>
  <si>
    <t>Сташков Н.Н</t>
  </si>
  <si>
    <t>Порождение тьмы</t>
  </si>
  <si>
    <t>978-5-227-09297-7</t>
  </si>
  <si>
    <t>15169</t>
  </si>
  <si>
    <t>Порочная тайна</t>
  </si>
  <si>
    <t>978-5-227-05212-4</t>
  </si>
  <si>
    <t>7924</t>
  </si>
  <si>
    <t>Портрет блондинки в голубом</t>
  </si>
  <si>
    <t>978-5-9524-2847-8</t>
  </si>
  <si>
    <t>20535</t>
  </si>
  <si>
    <t>Портрет леди</t>
  </si>
  <si>
    <t>978-5-227-09842-9</t>
  </si>
  <si>
    <t>Молодая американка Изабелла Арчер по приглашению тетушки приезжает в Англию. Мисс Арчер хороша собой, обладает живым характером и в целом очаровательна. Ею движет желание увидеть мир, однако, не имея средств, Изабелла может довольствоваться лишь ролью компаньонки своей тетки. Внезапно свалившееся на нее состояние позволяет ей претворить мечты в реальность, однако, разбогатев, Изабелла рискует стать инструментом для достижения поставленных кем-то целей. Генри Джеймс (1843—1916), признанный классик американской литературы, заглядывает в таинственные глубины женской души и создает достоверный и поистине прекрасный портрет, попутно отвечая на извечный вопрос: богатство — дар судьбы или проклятье?..</t>
  </si>
  <si>
    <t>21697</t>
  </si>
  <si>
    <t>Португальская империя и ее владения в XV-XIX вв</t>
  </si>
  <si>
    <t>978-5-9524-6443-8</t>
  </si>
  <si>
    <t>Чарлз Боксер, профессор Йельского университета, автор целого ряда исторических трудов, представляет историю Португальской империи, подчеркивая, что именно португальцы возглавили первые морские экспедиции европейцев. Испанцы, голландцы, англичане, французы, которые последовали за первопроходцами, во многом воспользовались их ценным опытом. Это касалось как искусства навигации, так и навыков общения с народами других вер и другого цвета кожи. Автор анализирует, насколько успешно португальцы перенесли свои основные административные учреждения в новое экзотическое окружение и усовершенствовали их применительно к новым условиям. Автор также обратил внимание на взаимосвязь разбросанных в разных частях света владений империи и самой Португалии, расположенной на самой западной оконечности Европы.</t>
  </si>
  <si>
    <t>12732</t>
  </si>
  <si>
    <t>Порученец Жукова</t>
  </si>
  <si>
    <t>978-5-227-02830-3</t>
  </si>
  <si>
    <t>19047</t>
  </si>
  <si>
    <t>Посвящение. Глубокий поиск</t>
  </si>
  <si>
    <t>978-5-227-08949-6</t>
  </si>
  <si>
    <t>20214</t>
  </si>
  <si>
    <t>Посвящения и посвященные в Тибете</t>
  </si>
  <si>
    <t>978-5-9524-5755-3</t>
  </si>
  <si>
    <t>5467</t>
  </si>
  <si>
    <t>Посетителей не будят</t>
  </si>
  <si>
    <t>5-9524-1506-7</t>
  </si>
  <si>
    <t>13331</t>
  </si>
  <si>
    <t>Чаней Дж. А.</t>
  </si>
  <si>
    <t>Посланная небесами</t>
  </si>
  <si>
    <t>978-5-227-03501-1</t>
  </si>
  <si>
    <t>Когда эта девушка была жива, ее звали Анжела Талботт. Она погибла от руки жестокого убийцы и готова была обрести покой на Небесах, но, как оказалось, ей предназначена другая роль. Анжела вновь отправляется в мир людей. Ее задача — отыскать своего убийцу. Теперь она не двадцатипятилетняя кареглазая пышечка, а бесплотный дух, ангел. Незримо присутствуя среди родных и знакомых, легко проникая в их сознание, она открывает для  себя много такого, отчего переживает глубокое потрясение. Помешать ей пытаются гелионы Алек и Руфус, — мертвые уже несколько столетий, эти воплощения зла находят людей, которых можно использовать в своих черных целях. Вскоре Анжела понимает, что розыски убийцы — не главное. На нее возложена великая миссия.</t>
  </si>
  <si>
    <t>15938</t>
  </si>
  <si>
    <t>После вечеринки</t>
  </si>
  <si>
    <t>978-5-227-05929-1</t>
  </si>
  <si>
    <t>15214</t>
  </si>
  <si>
    <t>Спринг ДЖ.А.., Спринг М.</t>
  </si>
  <si>
    <t>После измены. Как залечить боль и возродить доверие, когда партнер вам изменил.</t>
  </si>
  <si>
    <t>978-5-227-05253-7</t>
  </si>
  <si>
    <t>18214</t>
  </si>
  <si>
    <t>После Сталинграда. Семь лет в советском плену. 1943—1950</t>
  </si>
  <si>
    <t>978-5-9524-5293-0</t>
  </si>
  <si>
    <t>17882</t>
  </si>
  <si>
    <t>Послевкусие желанной мести</t>
  </si>
  <si>
    <t>978-5-227-07786-8</t>
  </si>
  <si>
    <t>19895</t>
  </si>
  <si>
    <t>Последнее послание</t>
  </si>
  <si>
    <t>978-5-227-09665-4</t>
  </si>
  <si>
    <t>21780</t>
  </si>
  <si>
    <t>978-5-227-11097-8</t>
  </si>
  <si>
    <t>В отдаленном шотландском монастыре убит постоялец. Его тело изуродовано самым невероятным образом. Пятеро местных монахов знают погибшего только по имени — Антон. При этом всем известно, что он обзавелся тайным рабочим кабинетом, скрытым в стенах кельи. И здесь обнаружены странные научные материалы. От кого скрывался Антон? Какую истину искал? Почему его ликвидировали с такой варварской жестокостью? Расследование поручают инспектору Грейс Кэмпбелл. И для нее успех дела — единственный шанс вернуться в отдел расследования убийств, откуда ее отчислили за серьезный промах. Грейс пытается восстановить уверенность в себе, не подозревая, что на ее плечах лежит разгадка одной из самых головокружительных тайн человечества.</t>
  </si>
  <si>
    <t>19126</t>
  </si>
  <si>
    <t>Последнее шоу в стриптиз­клубе</t>
  </si>
  <si>
    <t>978-5-227-08973-1</t>
  </si>
  <si>
    <t>21132</t>
  </si>
  <si>
    <t>Последние бои Вооруженных Сил Юга России</t>
  </si>
  <si>
    <t>978-5-227-10133-4</t>
  </si>
  <si>
    <t>Книга представляет собой 21-й том, посвященный Белому движению в России, и охватывает действия белых в составе Вооруженных Сил на Юге России зимой—весной 1920 года, то есть последний период тяжелого отступления белых от Орла в направлениях Донской области, Одессы и Крыма, в преддверии Крымской эпопеи Русской Армии генерала П.Н. Врангеля._x000D_
В настоящем издании собраны воспоминания участников о борьбе в рядах ВСЮР в это время. За небольшими исключениями, в России они никогда не публиковались._x000D_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</si>
  <si>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21157</t>
  </si>
  <si>
    <t>Последние бои на Дальнем Востоке</t>
  </si>
  <si>
    <t>978-5-227-10136-5</t>
  </si>
  <si>
    <t>Книга представляет собой 24-й том из серии, посвященной Белому движению в России, и знакомит с заключительным этапом Гражданской войны на территории исторической России — боям и политической обстановке в 1921—1922 гг. в Приморье. Подробно описан так называемый Хабаровский поход, взятие Хабаровска и отступление. Несомненный интерес представляют воспоминания участников тех событий, связанных с созывом Приамурского Земского собора, деятельностью генерала М.К. Дитерихса, эвакуацией армии в Китай._x000D_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</si>
  <si>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13200</t>
  </si>
  <si>
    <t>Последние герои</t>
  </si>
  <si>
    <t>978-5-227-03193-8</t>
  </si>
  <si>
    <t>20726</t>
  </si>
  <si>
    <t>Неменко А.В.</t>
  </si>
  <si>
    <t>Последние дни обороны Севастополя. Неизвестные страницы знаменитой битвы. Июнь—июль 1942 г.</t>
  </si>
  <si>
    <t>978-5-227-10354-3</t>
  </si>
  <si>
    <t>Датой окончания обороны Севастополя традиционно принято считать 3 июля 1942 года, когда в сводке Совинформбюро прозвучала информация о том, что советские войска оставили город. Однако работа с документами привела автора этой книги к однозначному выводу: Севастополь сражался еще около двух недель после означенной даты — по крайней мере, до второй декады июля, когда врагом были подавлены последние очаги организованной обороны. Советские войска не оставили город, они остались в Севастополе. В донесении командующего Севастопольским оборонительным районом Ф.С. Октябрьского содержатся слова: «Оставшиеся войска сильно устали, дрогнули». Но, как выяснилось это не совсем так…_x000D_
Эта книга о тех, кто не «дрогнул». В книге рассматривается период с 28 июня по 16 июля 1942 года, когда произошел последний бой севастопольской обороны. В результате работы с немецкими архивными документами удалось выяснить, где он произошел. Поисковые работы на местности позволили выявить его следы и привязать их к современным ориентирам.</t>
  </si>
  <si>
    <t>17030</t>
  </si>
  <si>
    <t>Последние известия</t>
  </si>
  <si>
    <t>978-5-227-06594-0</t>
  </si>
  <si>
    <t>14888</t>
  </si>
  <si>
    <t>Симмонз Дебора</t>
  </si>
  <si>
    <t>Последний Де Бург</t>
  </si>
  <si>
    <t>978-5-227-04863-9</t>
  </si>
  <si>
    <t>18728</t>
  </si>
  <si>
    <t>Даль Х.О.</t>
  </si>
  <si>
    <t>Последний расчет</t>
  </si>
  <si>
    <t>978-5-227-08682-2</t>
  </si>
  <si>
    <t>14550</t>
  </si>
  <si>
    <t>Последний сезон</t>
  </si>
  <si>
    <t>978-5-227-04620-8</t>
  </si>
  <si>
    <t>20346</t>
  </si>
  <si>
    <t>Сайер Ги</t>
  </si>
  <si>
    <t>Последний солдат Третьего Рейха</t>
  </si>
  <si>
    <t>978-5-9524-5642-6</t>
  </si>
  <si>
    <t>19020</t>
  </si>
  <si>
    <t>Последний хит сезона</t>
  </si>
  <si>
    <t>978-5-227-08930-4</t>
  </si>
  <si>
    <t>16773</t>
  </si>
  <si>
    <t>Последний шанс для счастья</t>
  </si>
  <si>
    <t>978-5-227-06741-8</t>
  </si>
  <si>
    <t>21654</t>
  </si>
  <si>
    <t>Райан К.</t>
  </si>
  <si>
    <t>Последняя битва. Штурм Берлина глазами очевидцев</t>
  </si>
  <si>
    <t>978-5-9524-6419-3</t>
  </si>
  <si>
    <t>Классическое произведение Райана, одного из лучших военных репортеров прошедшего столетия, посвящено истории битвы за Берлин — последней битвы Второй мировой войны. Автор показывает трагедию изнутри, глазами очевидцев и участников событий: от солдата до маршала, от эсэсовца до монахини. Достигая «эффекта присутствия», с поразительной объективностью исследуются чувства проигравшего диктатора и шквал вырвавшегося напряжения наступающих. Не обойдена ни одна сторона жизни человеческого сообщества, не забыто ни одно злодеяние, ни одна «слезинка ребенка».</t>
  </si>
  <si>
    <t>17617</t>
  </si>
  <si>
    <t>Последняя воля Нобеля</t>
  </si>
  <si>
    <t>978-5-227-07608-3</t>
  </si>
  <si>
    <t>13383</t>
  </si>
  <si>
    <t>ОИ НИ</t>
  </si>
  <si>
    <t>Чуприн К.В.</t>
  </si>
  <si>
    <t>Последняя крепость Сталина. Военные секреты Северной Кореи</t>
  </si>
  <si>
    <t>978-5-227-03421-2</t>
  </si>
  <si>
    <t>19664</t>
  </si>
  <si>
    <t>Темпл Л.</t>
  </si>
  <si>
    <t>Последняя любовь лорда Стентона</t>
  </si>
  <si>
    <t>978-5-227-09347-9</t>
  </si>
  <si>
    <t>16573</t>
  </si>
  <si>
    <t>Последняя ночь холостяка</t>
  </si>
  <si>
    <t>978-5-227-06489-9</t>
  </si>
  <si>
    <t>20016</t>
  </si>
  <si>
    <t>Майлз К.</t>
  </si>
  <si>
    <t>Последняя тайна</t>
  </si>
  <si>
    <t>978-5-227-09634-0</t>
  </si>
  <si>
    <t>17627</t>
  </si>
  <si>
    <t>Поляков Влад</t>
  </si>
  <si>
    <t>Посмотри в глаза инферно</t>
  </si>
  <si>
    <t>978-5-227-07692-2</t>
  </si>
  <si>
    <t>18202</t>
  </si>
  <si>
    <t>Магилина И.В</t>
  </si>
  <si>
    <t>Посольство монахов-кармелитов в России. Смуитное время глазами иностранцев. 1604-1612 гг.</t>
  </si>
  <si>
    <t>978-5-227-08145-2</t>
  </si>
  <si>
    <t>18527</t>
  </si>
  <si>
    <t>Шукшина Е., Зигерт Й.</t>
  </si>
  <si>
    <t>Постимся всем миром. Экзотические постные блюда из 70 стран</t>
  </si>
  <si>
    <t>978-5-227-07874-2</t>
  </si>
  <si>
    <t>12033</t>
  </si>
  <si>
    <t>ПРАВ КУЛ</t>
  </si>
  <si>
    <t>Михайлова И.А.</t>
  </si>
  <si>
    <t>Поститесь вкусно! Православный постный стол</t>
  </si>
  <si>
    <t>978-5-227-02106-9</t>
  </si>
  <si>
    <t>10398</t>
  </si>
  <si>
    <t>Постные блюда</t>
  </si>
  <si>
    <t>978-5-9524-3525-4</t>
  </si>
  <si>
    <t>19127</t>
  </si>
  <si>
    <t>Посты и молитвы. Суть многодневных пос­тов, особенные молитвы к каждому, правила поведения</t>
  </si>
  <si>
    <t>978-5-227-08859-8</t>
  </si>
  <si>
    <t>20156</t>
  </si>
  <si>
    <t>Посылка</t>
  </si>
  <si>
    <t>978-5-227-09838-2</t>
  </si>
  <si>
    <t>21560</t>
  </si>
  <si>
    <t>978-5-227-10977-4</t>
  </si>
  <si>
    <t>После изнасилования в гостиничном номере, где останавливалась во время научной конференции, врач­психиатр Эмма Штайн больше не выходит из дома. Она единственная из нескольких жертв маньяка­психопата осталась в живых и боится, что преступник снова настигнет ее, чтобы завершить свое страшное дело. Доведенная до паранойи, в безопасности Эмма чувствует себя только в своем маленьком особняке на окраине Берлина, но лишь до тех пор, пока однажды почтальон не просит ее принять посылку для соседа. Мужчины, чье имя ей незнакомо и которого она никогда не видела, хотя уже много лет живет на этой улице...</t>
  </si>
  <si>
    <t>16857</t>
  </si>
  <si>
    <t>Потерянная</t>
  </si>
  <si>
    <t>978-5-227-06853-8</t>
  </si>
  <si>
    <t>19078</t>
  </si>
  <si>
    <t>Роу Э.Д., Ферлонг С.</t>
  </si>
  <si>
    <t>Потерянный кронпринц Франции. Борьба за власть и тайна наследника Наполеона III</t>
  </si>
  <si>
    <t>978-5-227-08757-7</t>
  </si>
  <si>
    <t>20918</t>
  </si>
  <si>
    <t>Вдовин В.Н.</t>
  </si>
  <si>
    <t>Поток сознания. Афоризмы с харизмой</t>
  </si>
  <si>
    <t>978-5-227-10551-6</t>
  </si>
  <si>
    <t>Валерий Вдовин — оптимистичный, жизнелюбивый человек с большим чувством юмора. Уже много лет подряд он собирает и сочиняет лаконичные, остроумные изречения. Все афоризмы, приведённые в этом сборнике, так или иначе прозвучали в его жизни: многое он изрёк сам, что-то подслушал, додумал и изменил. Бывает, что на авторство одного афоризма претендует несколько человек, но ведь даже знаменитые законы физики приходили одновременно в несколько светлых умов! Так что не исключено, что что-то вам покажется уже знакомым, но всё равно улыбнитесь, смех продлевает жизнь и улучшает самочувствие!_x000D__x000D_
Талантливые, искромётные стихи, навеянные афоризмами Вдовина, специально для этой книги написала подруга автора — Алина Серёгина.</t>
  </si>
  <si>
    <t>20431</t>
  </si>
  <si>
    <t>Фейс Г.</t>
  </si>
  <si>
    <t>Потсдамская конференция. Как решалась послевоенная судьба Германии и других стран Европы</t>
  </si>
  <si>
    <t>978-5-9524-5856-7</t>
  </si>
  <si>
    <t>В своей книге историк Герберт Фейс описывает события победного 1945 года, длительные переговоры, предшествовавшие Потсдамской конференции, и саму конференцию, опираясь на воспоминания ее участников — руководителей государств, военных лидеров и дипломатов, на документальные материалы Государственного и Военного департаментов США и другие источники. Автор знакомит читателя с составом участников конференции и с основными вопросами, поставленными на обсуждение на последней официальной встрече лидеров Большой тройки.</t>
  </si>
  <si>
    <t>12536</t>
  </si>
  <si>
    <t>Халявин В.</t>
  </si>
  <si>
    <t>Похалявим в Интернете? Бесплатно: качай, слушай, смотри...</t>
  </si>
  <si>
    <t>978-5-9524-4951-0</t>
  </si>
  <si>
    <t>12918</t>
  </si>
  <si>
    <t>2955</t>
  </si>
  <si>
    <t>Похитители ослов</t>
  </si>
  <si>
    <t>5-227-01611-9</t>
  </si>
  <si>
    <t>20717</t>
  </si>
  <si>
    <t>Похититель ангелов</t>
  </si>
  <si>
    <t>978-5-227-09161-1</t>
  </si>
  <si>
    <t>В разных местах страны происходят похищения детей. Преступник действует предельно продуманно и хладнокровно. Не колеблясь, он убивает ребёнка, если родители не выполняют его требований о месте и условиях выплаты. Органы правопорядка в провинции не в состоянии противостоять похитителю: преступник уходит, не оставляя следствию ни малейшей зацепки. Продуманная им схема отхода с деньгами ни разу не дала сбоя. Материалы передают в Москву, теперь делом о похищении детей предстоит заниматься группе полковника Реваева.</t>
  </si>
  <si>
    <t>7520</t>
  </si>
  <si>
    <t>Эдвардс</t>
  </si>
  <si>
    <t>Похититель сердец</t>
  </si>
  <si>
    <t>5-9524-2496-1</t>
  </si>
  <si>
    <t>19051</t>
  </si>
  <si>
    <t>Похить мое сердце дважды</t>
  </si>
  <si>
    <t>978-5-227-08918-2</t>
  </si>
  <si>
    <t>7937</t>
  </si>
  <si>
    <t>Полякова С.</t>
  </si>
  <si>
    <t>Похищение душ</t>
  </si>
  <si>
    <t>978-5-9524-2863-8</t>
  </si>
  <si>
    <t>20722</t>
  </si>
  <si>
    <t>Похищенная викингом</t>
  </si>
  <si>
    <t>978-5-227-10202-7</t>
  </si>
  <si>
    <t>Эльфвину, дочь скончавшейся королевы Мерсии, похищает норманн по имени Торбранд, верный воин короля Рагналла. Девушка решает, что отныне ей предстоит быть рабыней мужчины. Он привозит ее в домик, стоящий на отшибе в долине у горячих источников, где лишает ее невинности. После нескольких месяцев тихой жизни, которая ей очень нравится, как и мужчина, с которым она проводит время в любовных утехах, Эльфвина начинает считать дом своим. Но внезапно их обоих призывает король Рагналл. Выясняется, что он намерен использовать Эльфвину в своих целях против ее дяди, короля Уэссекса Эдуарда, но позже, время для действий еще не пришло. Торбранд давно получил от своего короля задание охранять леди саксов, однако следующий его шаг будет сделан не только ради долга, им руководят чувства…</t>
  </si>
  <si>
    <t>20509</t>
  </si>
  <si>
    <t>Похищенная невеста</t>
  </si>
  <si>
    <t>978-5-227-10200-3</t>
  </si>
  <si>
    <t>Королевство Свардия находится в самом сердце Скандинавии. Сразу после коронации принца Александра его младшая сестра Марит стремительно покинула страну, чтобы избежать брака, навязанного ей новым королем. Свардию ожидает грандиозный скандал! И чтобы предотвратить его, король отправляет в погоню за беглянкой бывшего уличного воришку, а теперь респектабельного греческого миллиардера Ликоса Ливаса, одинокого хладнокровного эгоиста, желающего свести счеты со своими конкурентами в бизнесе. Но принцесса оказалась не так проста, как предполагал Ликос.</t>
  </si>
  <si>
    <t>18398</t>
  </si>
  <si>
    <t>Похищенная страсть</t>
  </si>
  <si>
    <t>978-5-227-08356-2</t>
  </si>
  <si>
    <t>18107</t>
  </si>
  <si>
    <t>Хейтер Э.</t>
  </si>
  <si>
    <t>Похищенные</t>
  </si>
  <si>
    <t>978-5-227-08101-8</t>
  </si>
  <si>
    <t>20950</t>
  </si>
  <si>
    <t>Поход на Москву</t>
  </si>
  <si>
    <t>978-5-227-10079-5</t>
  </si>
  <si>
    <t>Книга представляет собой восемнадцатый том серии, посвященной Белому движению в России, и охватывает действия Вооруженных сил на Юге России (ВСЮР) летом и ранней осенью 1919 года, когда белые войска, взяв Харьков, Белгород, Царицын, устремились на север и имели непосредственной целью занятие Москвы. К этому времени численность ВСЮР составляла около 250 тыс. человек._x000D__x000D_
В ходе наступления были взяты Киев, Курск, Воронеж, Орел. На направлениях главных ударов действовали знаменитые именные полки белых — Корниловский, Марковский, Дроздовский, Алексеевский. Однако растянутость линии фронта, а главное — высвобождение большевиками резервов с Западного (против поляков) и Восточного (против Колчака) фронтов привели сначала к приостановке наступления, а затем и к началу отката на юг._x000D__x000D_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</si>
  <si>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18370</t>
  </si>
  <si>
    <t>Поцелуй в лимонной роще</t>
  </si>
  <si>
    <t>978-5-227-08351-7</t>
  </si>
  <si>
    <t>20166</t>
  </si>
  <si>
    <t>Поцелуй ведьмы</t>
  </si>
  <si>
    <t>978-5-227-09627-2</t>
  </si>
  <si>
    <t>13042</t>
  </si>
  <si>
    <t>Мур М.</t>
  </si>
  <si>
    <t>Поцелуй виконта</t>
  </si>
  <si>
    <t>978-5-227-03166-2</t>
  </si>
  <si>
    <t>16753</t>
  </si>
  <si>
    <t>Поцелуй для папарацци</t>
  </si>
  <si>
    <t>978-5-227-06739-5</t>
  </si>
  <si>
    <t>18833</t>
  </si>
  <si>
    <t>Поцелуй желанной интриганки</t>
  </si>
  <si>
    <t>978-5-227-08698-3</t>
  </si>
  <si>
    <t>17655</t>
  </si>
  <si>
    <t>Поцелуй забытой поклонницы</t>
  </si>
  <si>
    <t>978-5-227-07682-3</t>
  </si>
  <si>
    <t>19754</t>
  </si>
  <si>
    <t>Некрасова Д.</t>
  </si>
  <si>
    <t>Поцелуй из пятого измерения</t>
  </si>
  <si>
    <t>978-5-227-09546-6</t>
  </si>
  <si>
    <t>15961</t>
  </si>
  <si>
    <t>Поцелуй кареглазой русалки</t>
  </si>
  <si>
    <t>978-5-227-05931-4</t>
  </si>
  <si>
    <t>15146</t>
  </si>
  <si>
    <t>Поцелуй на закате</t>
  </si>
  <si>
    <t>978-5-227-05016-8</t>
  </si>
  <si>
    <t>18287</t>
  </si>
  <si>
    <t>Поцелуй опасного мужчины</t>
  </si>
  <si>
    <t>978-5-227-08256-5</t>
  </si>
  <si>
    <t>17410</t>
  </si>
  <si>
    <t>Поцелуй под северным сиянием</t>
  </si>
  <si>
    <t>978-5-227-07449-2</t>
  </si>
  <si>
    <t>19057</t>
  </si>
  <si>
    <t>Поцелуй под смоковницей</t>
  </si>
  <si>
    <t>978-5-227-08934-2</t>
  </si>
  <si>
    <t>17022</t>
  </si>
  <si>
    <t>Поцелуй, обещающий рай</t>
  </si>
  <si>
    <t>978-5-227-07046-3</t>
  </si>
  <si>
    <t>6495</t>
  </si>
  <si>
    <t>Почему лекарства лечат</t>
  </si>
  <si>
    <t>5-9524-2216-0</t>
  </si>
  <si>
    <t>7525</t>
  </si>
  <si>
    <t>Почему один Егорка</t>
  </si>
  <si>
    <t>5-9524-1828-7</t>
  </si>
  <si>
    <t>12106</t>
  </si>
  <si>
    <t>СЧАСТЬЕ</t>
  </si>
  <si>
    <t>Почему одних любят, а на других женятся. Секреты успешного замужества. Советы первой свахи России</t>
  </si>
  <si>
    <t>978-5-227-02210-3</t>
  </si>
  <si>
    <t>7399</t>
  </si>
  <si>
    <t>Почему у льва большая грива</t>
  </si>
  <si>
    <t>5-9524-2314-0</t>
  </si>
  <si>
    <t>17805</t>
  </si>
  <si>
    <t>Почти реальные чувства</t>
  </si>
  <si>
    <t>978-5-227-07759-2</t>
  </si>
  <si>
    <t>19131</t>
  </si>
  <si>
    <t>Почти сдалась тебе</t>
  </si>
  <si>
    <t>978-5-227-08962-5</t>
  </si>
  <si>
    <t>18359</t>
  </si>
  <si>
    <t>Почувствуй, что я рядом</t>
  </si>
  <si>
    <t>978-5-227-08334-0</t>
  </si>
  <si>
    <t>21865</t>
  </si>
  <si>
    <t>Бизли Л., Грейси А</t>
  </si>
  <si>
    <t>Правда о «Титанике». Участники драматических событий о величайшей морской катастрофе</t>
  </si>
  <si>
    <t>978-5-9524-6467-4</t>
  </si>
  <si>
    <t>Гибель «Титаника» по-прежнему вызывает острый интерес. Для осмысления этой трагедии невероятно любопытны впечатления ее непосредственных очевидцев. В настоящей книге представлены воспоминания выживших в катастрофе пассажиров судна, рассказанные каждым со своей точки зрения. Что произошло на борту «непотопляемого» корабля, почему он так быстро затонул, в самом ли деле члены экипажа вели себя как герои, почему гибель «Титаника» так потрясла человечество?.. Эти и другие вопросы были подняты в развернувшейся в прессе громкой кампании и впоследствии опубликованы участниками трагедии.</t>
  </si>
  <si>
    <t>10244</t>
  </si>
  <si>
    <t>Правила поведения в церкви</t>
  </si>
  <si>
    <t>978-5-9524-3462-2</t>
  </si>
  <si>
    <t>17270</t>
  </si>
  <si>
    <t>Правила соблазнения</t>
  </si>
  <si>
    <t>978-5-227-07290-0</t>
  </si>
  <si>
    <t>18246</t>
  </si>
  <si>
    <t>Правильно ли мы говорим по русски</t>
  </si>
  <si>
    <t>978-5-227-08266-4</t>
  </si>
  <si>
    <t>16696</t>
  </si>
  <si>
    <t>Правильно ли мы говорим по-русски</t>
  </si>
  <si>
    <t>978-5-227-06433-2</t>
  </si>
  <si>
    <t>15597</t>
  </si>
  <si>
    <t>Гарнье Р.</t>
  </si>
  <si>
    <t>Правильный поцелуй</t>
  </si>
  <si>
    <t>978-5-227-05617-7</t>
  </si>
  <si>
    <t>20714</t>
  </si>
  <si>
    <t>Право на деньги. Кого любят деньги. Можно ли их приручить. Испытания и провокации. Кастовая система</t>
  </si>
  <si>
    <t>978-5-227-10404-5</t>
  </si>
  <si>
    <t>Перед вами восьмая книга серии «Магия в вопросах и ответах», и каждая из них поможет читателю узнать что-то сокровенное.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вопросы…_x000D_
В этой книге мы поговорим на животрепещущую тему — ДЕНЬГИ. Вы узнаете, как понять, есть ли у тебя право на деньги. Почему у одних получается делать деньги как будто из воздуха, а другие всю жизнь считают копейки и не могут вылезти из долгов. Прочтёте о делении человечества на касты и поймёте, что право на деньги дано не каждому и появляется оно только с определённого уровня. Научитесь определять, к какой касте вы относитесь, и сделаете правильные выводы. Что это даст? Те люди, которые понимают свои изначальные кастовые позиции, в короткое время достигают колоссальных финансовых успехов. Потому что верное понимание точки отсчёта помогает составить рабочий алгоритм движения; просчитать шаги к достижению результата, и, зная законы построения векторов целеполагания, достойно подготовиться ко всем стандартным провокациям и с успехом пройти их.</t>
  </si>
  <si>
    <t>19724</t>
  </si>
  <si>
    <t>Кагенек А.</t>
  </si>
  <si>
    <t>Право умирать первыми. Лейтенант 9­й танковой дивизии вермахта о войне на Восточном фронте. 1939—1942</t>
  </si>
  <si>
    <t>978-5-9524-5525-2</t>
  </si>
  <si>
    <t>4186</t>
  </si>
  <si>
    <t>Православные посты и трапезы</t>
  </si>
  <si>
    <t>5-9524-0558-4</t>
  </si>
  <si>
    <t>4778</t>
  </si>
  <si>
    <t>БПС М</t>
  </si>
  <si>
    <t>Малышева А.</t>
  </si>
  <si>
    <t>Православный брак</t>
  </si>
  <si>
    <t>5-9524-0961-X</t>
  </si>
  <si>
    <t>16608</t>
  </si>
  <si>
    <t>Православный календарь. Церковные праздники, именины. Православные тропари и кондаки</t>
  </si>
  <si>
    <t>978-5-227-06453-0</t>
  </si>
  <si>
    <t>19287</t>
  </si>
  <si>
    <t>Православный календарь. Церковные праздники, посты, дни поминовения усопших</t>
  </si>
  <si>
    <t>978-5-227-09186-4</t>
  </si>
  <si>
    <t>19010</t>
  </si>
  <si>
    <t>Праздник былой любви</t>
  </si>
  <si>
    <t>978-5-227-08908-3</t>
  </si>
  <si>
    <t>16399</t>
  </si>
  <si>
    <t>Праздник в городе влюбленных</t>
  </si>
  <si>
    <t>978-5-227-06287-1</t>
  </si>
  <si>
    <t>14828</t>
  </si>
  <si>
    <t>Праздник в сказочной стране</t>
  </si>
  <si>
    <t>978-5-227-04843-1</t>
  </si>
  <si>
    <t>16225</t>
  </si>
  <si>
    <t>Праздник любви</t>
  </si>
  <si>
    <t>978-5-227-06161-4</t>
  </si>
  <si>
    <t>21032</t>
  </si>
  <si>
    <t>Праздник любящих сердец</t>
  </si>
  <si>
    <t>978-5-227-10290-4</t>
  </si>
  <si>
    <t>Одержимый желанием отомстить жестокому отцу, принц Винченцо Моретти поклялся никогда не жениться и не обзаводиться наследниками. Элоиза Сент-Джордж, влюбленная в наследного принца с детства, согласилась поучаствовать в его плане — на время притвориться любовницей. Вскоре после единственной ночи, проведенной с принцем, Элоиза поняла, что беременна. Но как ей признаться в этом Винченцо? Ведь теперь королевская династия Ариосты не прервется…</t>
  </si>
  <si>
    <t>18286</t>
  </si>
  <si>
    <t>Праздник нечаянной любви</t>
  </si>
  <si>
    <t>978-5-227-08257-2</t>
  </si>
  <si>
    <t>20182</t>
  </si>
  <si>
    <t>Праздник чувств</t>
  </si>
  <si>
    <t>978-5-227-09681-4</t>
  </si>
  <si>
    <t>19916</t>
  </si>
  <si>
    <t>Прайм-тайм</t>
  </si>
  <si>
    <t>978-5-227-09630-2</t>
  </si>
  <si>
    <t>18251</t>
  </si>
  <si>
    <t>978-5-227-08214-5</t>
  </si>
  <si>
    <t>13932</t>
  </si>
  <si>
    <t>Райан Хенк Флиппи</t>
  </si>
  <si>
    <t>978-5-227-03969-9</t>
  </si>
  <si>
    <t>21815</t>
  </si>
  <si>
    <t>Пондер К</t>
  </si>
  <si>
    <t>Практика духовного врачевания. Вековые секреты исцеления</t>
  </si>
  <si>
    <t>978-5-9524-6533-6</t>
  </si>
  <si>
    <t>Кэтрин Пондер — одна из самых выдающихся женщин второй половины XX века, автор сенсационной книги «Динамические законы процветания», лауреат многих премий и наград. Автор книги стояла у самых истоков духовного врачевания. Она поможет вам обнаружить причину недомогания, чтобы с помощью силы сознания вызволить неисчерпаемые возможности, скрытые в вашем организме.</t>
  </si>
  <si>
    <t>19314</t>
  </si>
  <si>
    <t>Лернер М.</t>
  </si>
  <si>
    <t>Практическая уфология</t>
  </si>
  <si>
    <t>978-5-227-09173-4</t>
  </si>
  <si>
    <t>21444</t>
  </si>
  <si>
    <t>Бенневиль Д.</t>
  </si>
  <si>
    <t>Предания о самураях</t>
  </si>
  <si>
    <t>978-5-9524-6300-4</t>
  </si>
  <si>
    <t>Захватывающие и выразительные предания о самураях — основанные на фактах хроники невероятных приключений знаменитого наследника правителей дома Огури героического воина Сукэсигэ и его самоотверженной красавицы жены Тэрутэ. Все добродетели истинного воина воплощают в себе Сукэсигэ и его отважные сподвижники. Их верность самурайскому кодексу и способность к милосердию вызывают уважение, а владение боевыми искусствами, благодаря которым они одерживают победу в любом бою, поражает воображение._x000D_
Представляя тексты преданий, известный ученый, писатель и переводчик, специалист по японской литературе Джеймс Бенневиль анализирует особенности быта, обрядов, обычаев и нравственных воззрений народа, сумевшего сохранить и передать их из поколения в поколение на протяжении многих веков._x000D_
Повествование сопровождают иллюстрации, выдержанные в традиционном стиле японского рисунка.</t>
  </si>
  <si>
    <t>21085</t>
  </si>
  <si>
    <t>Преданные России. Hерусские русские — 2. Иноземцы на службе российскому трону</t>
  </si>
  <si>
    <t>978-5-227-09967-9</t>
  </si>
  <si>
    <t>Александр Соколов вновь обращается к теме нерусских русских. В предыдущей работе он рассказал о преданном служении нашему отечеству иноземных представителей семьи Романовых. В этой речь пойдет об иностранцах, которые своим гением и талантами самозабвенно служили России и ее славе. Именно в нашей стране они реализовывались как военачальники, ученые, художники, но не переставали от этого быть немцами, англичанами, французами… Уникальные черты национального менталитета, накладываясь на российскую реальность, зачастую порождали конфликты, но, одновременно, делали эту реальность ярче и богаче. Россия меняла этих людей, но и они меняли Россию тоже. Россия всегда умела учиться и стремилась впитывать все лучшее из других цивилизаций, не теряя своего уникального лица, культуры, духовности. Персонажей для книги автор подбирал, исходя из тем, которые ранее становились предметом его исследований, стремясь вернуть из небытия полузабытые имена, или, наоборот, показать в новом ракурсе фигуры, казалось бы, давно уже известные. Нас ждут рассказы о любимце Одессы Эммануиле де Ришельё, капитан-командоре Витусе Беринге, блестящем скульпторе Карле Растрелли, генерал-фельдмаршале Бурхарде Минихе, друге и сподвижнике российского самодержца Петра I — Франце Лефорте…</t>
  </si>
  <si>
    <t>19841</t>
  </si>
  <si>
    <t>Предатели в русской истории. 1000 лет коварства, ренегатства, хитрости, дезертирства, клятвопреступлений</t>
  </si>
  <si>
    <t>978-5-227-09367-7</t>
  </si>
  <si>
    <t>17388</t>
  </si>
  <si>
    <t>Предательский поцелуй</t>
  </si>
  <si>
    <t>978-5-227-07430-0</t>
  </si>
  <si>
    <t>15795</t>
  </si>
  <si>
    <t>Кофанов А.</t>
  </si>
  <si>
    <t>Предвечный трибунал: убийство Советского Союза</t>
  </si>
  <si>
    <t>978-5-9524-5124-7</t>
  </si>
  <si>
    <t>18551</t>
  </si>
  <si>
    <t>Предвкушая желанный скандал</t>
  </si>
  <si>
    <t>978-5-227-08443-9</t>
  </si>
  <si>
    <t>14376</t>
  </si>
  <si>
    <t>Предел мечтаний</t>
  </si>
  <si>
    <t>978-5-227-04351-1</t>
  </si>
  <si>
    <t>20419</t>
  </si>
  <si>
    <t>Фуллер М.</t>
  </si>
  <si>
    <t>Предложение рыцаря</t>
  </si>
  <si>
    <t>978-5-227-10093-1</t>
  </si>
  <si>
    <t>Овдовевшей леди Сесили и ее близким грозит печальная участь: по законам того времени, если брак остался бездетным, замок и земли переходят брату покойного мужа. Сесили решает притвориться беременной и выдать новорожденного сына своей сестры за наследника покойного лорда. Дерзкий план увенчался бы успехом, если бы не случайная встреча Сесили с Локланом Драмьюром. Несмотря на то что Сесили влечет к рыжеволосому великану, она понимает, что честный рыцарь выдаст ее своему другу, законному наследнику замка. Однако Локлан не спешит разоблачить обман — зеленые глаза леди Сесили покорили его сердце…</t>
  </si>
  <si>
    <t>15713</t>
  </si>
  <si>
    <t>Предоставьте это мне</t>
  </si>
  <si>
    <t>978-5-227-05637-5</t>
  </si>
  <si>
    <t>0181</t>
  </si>
  <si>
    <t>978-5-227-06996-2</t>
  </si>
  <si>
    <t>21694</t>
  </si>
  <si>
    <t>Богуславская З.Б.</t>
  </si>
  <si>
    <t>Предсказание</t>
  </si>
  <si>
    <t>978-5-227-11079-4</t>
  </si>
  <si>
    <t>Зоя Богуславская — прозаик, драматург, автор многих культурных проектов, создатель премии «Триумф», муза поэта Андрея Вознесенского. Она встречалась со многими талантливыми людьми ХХ века, много писала и о своих друзьях-товарищах. Огромную популярность имели ее знаменитые эссе «Барышников и Лайза. Миннелли и Миша», «Время Любимова и Высоцкий», воспоминания о встречах с Марком Шагалом, Брижит Бардо, Аркадием Райкиным и многими другими.</t>
  </si>
  <si>
    <t>18088</t>
  </si>
  <si>
    <t>Предсказание богини</t>
  </si>
  <si>
    <t>978-5-227-08159-9</t>
  </si>
  <si>
    <t>19381</t>
  </si>
  <si>
    <t>Представь нас парой</t>
  </si>
  <si>
    <t>978-5-227-09106-2</t>
  </si>
  <si>
    <t>17733</t>
  </si>
  <si>
    <t>Представь, что мы вместе</t>
  </si>
  <si>
    <t>978-5-227-07729-5</t>
  </si>
  <si>
    <t>18983</t>
  </si>
  <si>
    <t>Блок А.А.</t>
  </si>
  <si>
    <t>Предчувствую тебя…</t>
  </si>
  <si>
    <t>978-5-227-08844-4</t>
  </si>
  <si>
    <t>18070</t>
  </si>
  <si>
    <t>Президент о самом разном</t>
  </si>
  <si>
    <t>978-5-227-07841-4</t>
  </si>
  <si>
    <t>14549</t>
  </si>
  <si>
    <t>Прекрасен и недоступен</t>
  </si>
  <si>
    <t>978-5-227-04514-0</t>
  </si>
  <si>
    <t>15759</t>
  </si>
  <si>
    <t>Прекрасная воровка</t>
  </si>
  <si>
    <t>978-5-227-05679-5</t>
  </si>
  <si>
    <t>19550</t>
  </si>
  <si>
    <t>Прекрасная косметика из дешевых аптечных средств</t>
  </si>
  <si>
    <t>978-5-227-09449-0</t>
  </si>
  <si>
    <t>17695</t>
  </si>
  <si>
    <t>Прекрасная леди</t>
  </si>
  <si>
    <t>978-5-227-07699-1</t>
  </si>
  <si>
    <t>16993</t>
  </si>
  <si>
    <t>Прекрасная мстительница</t>
  </si>
  <si>
    <t>978-5-227-07043-2</t>
  </si>
  <si>
    <t>18163</t>
  </si>
  <si>
    <t>Прекрасная натурщица</t>
  </si>
  <si>
    <t>978-5-227-08131-5</t>
  </si>
  <si>
    <t>20298</t>
  </si>
  <si>
    <t>Лок Н.</t>
  </si>
  <si>
    <t>Прекрасная пленница</t>
  </si>
  <si>
    <t>978-5-227-09854-2</t>
  </si>
  <si>
    <t>15446</t>
  </si>
  <si>
    <t>Прекрасная Юнона</t>
  </si>
  <si>
    <t>978-5-227-05444-9</t>
  </si>
  <si>
    <t>14638</t>
  </si>
  <si>
    <t>Прекрасное место для смерти</t>
  </si>
  <si>
    <t>978-5-227-04651-2</t>
  </si>
  <si>
    <t>20607</t>
  </si>
  <si>
    <t>Керенский А.Ф.</t>
  </si>
  <si>
    <t>Прелюдия к большевизму</t>
  </si>
  <si>
    <t>978-5-9524-5713-3</t>
  </si>
  <si>
    <t>Это фундаментальное исследование А.Ф. Керенского, министра-председателя Временного правительства, созданное на основе расшифровки стенографических записей его показаний о мятеже генерала Лавра Корнилова. После этого события Керенский пошел на соглашение с левыми партиями. Временное правительство оказалось в изоляции, конец был вопросом времени.</t>
  </si>
  <si>
    <t>17185</t>
  </si>
  <si>
    <t>Панкин Б.Д.</t>
  </si>
  <si>
    <t>Пресловутая эпоха в лицах и масках, событиях и казусах</t>
  </si>
  <si>
    <t>978-5-227-06610-7</t>
  </si>
  <si>
    <t>2426</t>
  </si>
  <si>
    <t>Наумов М.</t>
  </si>
  <si>
    <t>Престолонаследник</t>
  </si>
  <si>
    <t>5-227-01190-7</t>
  </si>
  <si>
    <t>17817</t>
  </si>
  <si>
    <t>Преступное влечение</t>
  </si>
  <si>
    <t>978-5-227-07760-8</t>
  </si>
  <si>
    <t>12602</t>
  </si>
  <si>
    <t>Паппано М.</t>
  </si>
  <si>
    <t>Преступный выбор</t>
  </si>
  <si>
    <t>978-5-227-02734-4</t>
  </si>
  <si>
    <t>21743</t>
  </si>
  <si>
    <t>Жильяр П</t>
  </si>
  <si>
    <t>При дворе Николая II. Воспоминания наставника цесаревича Алексея. 1905—1918</t>
  </si>
  <si>
    <t>978-5-9524-6475-9</t>
  </si>
  <si>
    <t>Пьер Жильяр был наставником цесаревича Алексея, сына Николая II. Бесстрашный француз добровольно отправился с опальной царской семьей в Сибирь и старался чем мог скрасить пребывание в заточении царя, царицы и их детей. Жильяр передал потомкам драгоценные сведения о последних днях императорской семьи, оставил яркие психологические портреты Распутина, Вырубовой и многих других известных личностей этой трагической эпохи в жизни России.</t>
  </si>
  <si>
    <t>20356</t>
  </si>
  <si>
    <t>Мосолов А.А.</t>
  </si>
  <si>
    <t>При дворе последнего царя. Воспоминания начальника дворцовой канцелярии. 1900—1916</t>
  </si>
  <si>
    <t>978-5-9524-5807-9</t>
  </si>
  <si>
    <t>Александр Александрович Мосолов, начальник канцелярии Министерства императорского двора, ярко и живо описывает характеры Николая II, императрицы Александры Федоровны, их детей, вдовствующей императрицы, великих князей. Рассказывает о взаимоотношениях членов императорской семьи и высокопоставленных царедворцев. Размышляет о влиянии, которое семья и ближайшее окружение оказывали на императора и тем самым на судьбы миллионов людей.</t>
  </si>
  <si>
    <t>14931</t>
  </si>
  <si>
    <t>Прибыльное разведение рыбы</t>
  </si>
  <si>
    <t>978-5-227-04819-6</t>
  </si>
  <si>
    <t>17262</t>
  </si>
  <si>
    <t>ТП АК</t>
  </si>
  <si>
    <t>Прививка от стресса (аудиокнига)</t>
  </si>
  <si>
    <t>978-5-227-07243-6</t>
  </si>
  <si>
    <t>&lt;АВТОИМП.&gt;</t>
  </si>
  <si>
    <t>20003</t>
  </si>
  <si>
    <t>Прививка от стресса. Как стать хозяином своей жизни</t>
  </si>
  <si>
    <t>978-5-227-09796-5</t>
  </si>
  <si>
    <t>16850</t>
  </si>
  <si>
    <t>Привкус счастья</t>
  </si>
  <si>
    <t>978-5-227-06803-3</t>
  </si>
  <si>
    <t>16146</t>
  </si>
  <si>
    <t>Приворожить врага</t>
  </si>
  <si>
    <t>978-5-227-06116-4</t>
  </si>
  <si>
    <t>18124</t>
  </si>
  <si>
    <t>Маккей Э.</t>
  </si>
  <si>
    <t>Приворожить плейбоя</t>
  </si>
  <si>
    <t>978-5-227-08126-1</t>
  </si>
  <si>
    <t>16018</t>
  </si>
  <si>
    <t>Рингер Р</t>
  </si>
  <si>
    <t>Привычки на миллион. 10 простых шагов к тому, чтобы получить все, о чем вы мечтаете</t>
  </si>
  <si>
    <t>978-5-227-05941-3</t>
  </si>
  <si>
    <t>18216</t>
  </si>
  <si>
    <t>978-5-227-08121-6</t>
  </si>
  <si>
    <t>20663</t>
  </si>
  <si>
    <t>Приглашение в мир чувств</t>
  </si>
  <si>
    <t>978-5-227-10288-1</t>
  </si>
  <si>
    <t>Знаменитый миллиардер Лукас Ротвелл старательно скрывает свой секрет от всего мира. Он намерен жить затворником до тех пор, пока к нему не вернется зрение. В самый неподходящий для него момент в его поместье появляется давняя знакомая Руби Пеннингтон и начинает выдвигать ему странные условия…</t>
  </si>
  <si>
    <t>14533</t>
  </si>
  <si>
    <t>Приглашение на бал</t>
  </si>
  <si>
    <t>978-5-227-04511-9</t>
  </si>
  <si>
    <t>18905</t>
  </si>
  <si>
    <t>Приглашение на собственную свадьбу</t>
  </si>
  <si>
    <t>978-5-227-08770-6</t>
  </si>
  <si>
    <t>18123</t>
  </si>
  <si>
    <t>Приглашенная невеста</t>
  </si>
  <si>
    <t>978-5-227-08125-4</t>
  </si>
  <si>
    <t>18535</t>
  </si>
  <si>
    <t>Жеребьёв В.</t>
  </si>
  <si>
    <t>Приговор некроманту</t>
  </si>
  <si>
    <t>978-5-227-08534-4</t>
  </si>
  <si>
    <t>11104</t>
  </si>
  <si>
    <t>Зорина Н., Зорин Н.</t>
  </si>
  <si>
    <t>Приговор, который нельзя обжаловать</t>
  </si>
  <si>
    <t>978-5-9524-4105-7</t>
  </si>
  <si>
    <t>14502</t>
  </si>
  <si>
    <t>Придворная роза</t>
  </si>
  <si>
    <t>978-5-227-04497-6</t>
  </si>
  <si>
    <t>17612</t>
  </si>
  <si>
    <t>Придуманная помолвка</t>
  </si>
  <si>
    <t>978-5-227-07684-7</t>
  </si>
  <si>
    <t>19267</t>
  </si>
  <si>
    <t>Блейк</t>
  </si>
  <si>
    <t>Придуманный жених</t>
  </si>
  <si>
    <t>978-5-227-09049-2</t>
  </si>
  <si>
    <t>21786</t>
  </si>
  <si>
    <t>Придумано в СССР</t>
  </si>
  <si>
    <t>978-5-227-11144-9</t>
  </si>
  <si>
    <t>Перед вами новая книга Михаила Задорнова. Книга­воспоминание. О том, как мы жили в Советском Союзе… То есть о том, как наши родители жили в Советском Союзе… Или нет — о том, как ваши дедушки и бабушки жили в Советском Союзе. Кто­то вспоминает это время с благоговением, кто­то с ужасом. Михаил Задорнов — с улыбкой. А кто­то, стоя у доски, с напряжением думает, какая же настоящая фамилия Владимира Ильича Ленина… В первую очередь для них, для очень молодых, для тех, у кого ещё так мало воспоминаний, — эта книга. Книга о том, как непросто, но весело, смешно, интересно и задорно жили в Советском Союзе. И ещё… Вчитайтесь! Может быть, какие­то ситуации вам покажутся очень знакомыми, а проблемы — абсолютно современными. Казалось бы, уже другое государство, другой народ, а проблемы — всё те же?</t>
  </si>
  <si>
    <t>18584</t>
  </si>
  <si>
    <t>Признайся в своем желании</t>
  </si>
  <si>
    <t>978-5-227-08507-8</t>
  </si>
  <si>
    <t>7603</t>
  </si>
  <si>
    <t>Гиббс</t>
  </si>
  <si>
    <t>Признание в любви</t>
  </si>
  <si>
    <t>5-9524-2544-5</t>
  </si>
  <si>
    <t>11579</t>
  </si>
  <si>
    <t>Призрак прошлого</t>
  </si>
  <si>
    <t>978-5-9524-4705-9</t>
  </si>
  <si>
    <t>20602</t>
  </si>
  <si>
    <t>Хирн Л.</t>
  </si>
  <si>
    <t>Призраки и чудеса в старинных японских сказаниях</t>
  </si>
  <si>
    <t>978-5-9524-5795-9</t>
  </si>
  <si>
    <t>Япония — удивительная, завораживающая страна с богатейшей историей — бережно сохраняет наследие своих предков. Один из образцов такого наследия — кайданы — диковинные легенды и рассказы о призраках, необычных суевериях, жутких и сверхъестественных событиях. Почти все они заимствованы из старинных японских книг, таких как «Ясо-кидан», «Буккё-хаякка-дзэнсё», «Кокон-тёмонсю», «Тамма-сдарэ», «Хяка-моногатари».</t>
  </si>
  <si>
    <t>18435</t>
  </si>
  <si>
    <t>Шалашов Е.В.</t>
  </si>
  <si>
    <t>Призраки Черного леса</t>
  </si>
  <si>
    <t>978-5-227-08429-3</t>
  </si>
  <si>
    <t>20664</t>
  </si>
  <si>
    <t>Приказано выйти замуж</t>
  </si>
  <si>
    <t>978-5-227-10341-3</t>
  </si>
  <si>
    <t>Мэдди Мосс обязана выйти замуж до того, как ей стукнет тридцать, иначе семья потеряет компанию «ТехМосс». Она сходится с врагом своей семьи, Джеком Дейли, который девять лет назад предал ее брата. Джек просит ее доказать его невиновность. Проводя финансовое расследование, она убеждается в его порядочности и сильнее влюбляется в него.</t>
  </si>
  <si>
    <t>18530</t>
  </si>
  <si>
    <t>Приказано соблазнить</t>
  </si>
  <si>
    <t>978-5-227-08416-3</t>
  </si>
  <si>
    <t>20315</t>
  </si>
  <si>
    <t>Приказываю стать моей</t>
  </si>
  <si>
    <t>978-5-227-09488-9</t>
  </si>
  <si>
    <t>15874</t>
  </si>
  <si>
    <t>Уилсон В</t>
  </si>
  <si>
    <t>Приключение англичанки в Нью-Йорке</t>
  </si>
  <si>
    <t>978-5-227-05831-7</t>
  </si>
  <si>
    <t>16756</t>
  </si>
  <si>
    <t>Приключения англичанки в Милане</t>
  </si>
  <si>
    <t>978-5-227-06749-4</t>
  </si>
  <si>
    <t>15986</t>
  </si>
  <si>
    <t>Прикосновение любви</t>
  </si>
  <si>
    <t>978-5-227-05944-4</t>
  </si>
  <si>
    <t>14687</t>
  </si>
  <si>
    <t>Прилежная ученица</t>
  </si>
  <si>
    <t>978-5-227-04666-6</t>
  </si>
  <si>
    <t>5834</t>
  </si>
  <si>
    <t>Прилетели к нам синицы</t>
  </si>
  <si>
    <t>5-9524-1425-7</t>
  </si>
  <si>
    <t>20338</t>
  </si>
  <si>
    <t>Фоссен Д.</t>
  </si>
  <si>
    <t>Приманка</t>
  </si>
  <si>
    <t>978-5-227-09850-4</t>
  </si>
  <si>
    <t>5737</t>
  </si>
  <si>
    <t>Примулы Сорта выращивание и уход</t>
  </si>
  <si>
    <t>5-9524-1670-5</t>
  </si>
  <si>
    <t>18649</t>
  </si>
  <si>
    <t>Принадлежать лишь ему</t>
  </si>
  <si>
    <t>978-5-227-08551-1</t>
  </si>
  <si>
    <t>20943</t>
  </si>
  <si>
    <t>Принц Вильгельм I Оранский. В борьбе за независимость Нидерландов от Испанской короны</t>
  </si>
  <si>
    <t>978-5-9524-5744-7</t>
  </si>
  <si>
    <t>Вильгельм Оранский (1533—1584) стал истинным отцом нации, создателем Объединенных провинций, будущей Голландской республики. В борьбе за независимость от Испании доблестному Вильгельму удалось объединить представителей разных классов, религий и взглядов, вернуть своим подданным свободу и самоуважение. Книга британского историка С.В. Веджвуд — это не только детальное описание жизни первого штатгальтера Голландии и Зеландии от рождения до гибели от рук испанского наемника, но и достоверный портрет эпохи — периода политического, религиозного и экономического брожения, который кардинально изменил историю Европы Нового времени.</t>
  </si>
  <si>
    <t>16419</t>
  </si>
  <si>
    <t>Принцесса и плохой парень</t>
  </si>
  <si>
    <t>978-5-227-06289-5</t>
  </si>
  <si>
    <t>16051</t>
  </si>
  <si>
    <t>Принцесса с плохой репутацией</t>
  </si>
  <si>
    <t>978-5-227-05978-9</t>
  </si>
  <si>
    <t>21898</t>
  </si>
  <si>
    <t>Клаузевиц К. фон</t>
  </si>
  <si>
    <t>Принципы ведения войны</t>
  </si>
  <si>
    <t>978-5-227-11196-8</t>
  </si>
  <si>
    <t>В своей книге автор всесторонне рассматривает природу войны, подчеркивая решающее значение военного гения в исходе сражения. Четко и ясно излагая важность плана войны, взаимосвязь войны и политики, стратегию и тактику ведения войны, включая организацию боя, виды и способы наступления и обороны, Клаузевиц определяет и поясняет термины профессионального военного языка, что придает его книге характер превосходного справочного руководства. Отводя значительную часть книги оценке моральных факторов ведения войны, он подчеркивает необходимость таких качеств, как  мужество, отвага и самопожертвование, обращает внимание на важность армейского кодекса чести, боевого духа и общественного мнения.</t>
  </si>
  <si>
    <t>17688</t>
  </si>
  <si>
    <t>Природное лекарство жимолость. При гипертонии, псориазе, стенокардии, бессоннице, язве, гастрите…</t>
  </si>
  <si>
    <t>978-5-227-07643-4</t>
  </si>
  <si>
    <t>17631</t>
  </si>
  <si>
    <t>Природный целитель барбарис. При болезнях сердца, почек, печени, туберкулёзе, ревматизме, геморрое, гипертонии, авитаминозе, пневмонии, артрите, радикулите...</t>
  </si>
  <si>
    <t>978-5-227-07522-2</t>
  </si>
  <si>
    <t>20403</t>
  </si>
  <si>
    <t>Присоединение Грузии к России. История сближения полуфеодальной страны и могущественной империи. 1801</t>
  </si>
  <si>
    <t>978-5-227-10152-5</t>
  </si>
  <si>
    <t>«Присоединение Грузии к России» – главный труд выдающегося грузинского историка, дипломата и политического деятеля князя Зураба Давидовича Авалова (Авалишвили). Автор имел целью – обрисовать процесс присоединения Грузии к огромной единоверной империи и его особенности, указать на некоторые условия, вызвавшие необходимость этого шага и на обстановку, в которой совершалось событие. Объединение не было и не могло быть безболезненным, по мнению Авалова, этому событию предшествовал долгий путь, на котором постепенно теряли самостоятельность отдельные грузинские царства и владения. Ученый считал, что Россия не имела ни экономических, ни стратегических интересов в этом акте, в то время как Грузия нуждалась в помощи и поддержке могущественной империи. «Так или иначе, присоединение Грузии к России было для первой большим шагом вперед, для второй – крайне ценным приобретением, повлекшим за собой ряд новых успехов».</t>
  </si>
  <si>
    <t>10569</t>
  </si>
  <si>
    <t>Пристрелите загнанную лошадь</t>
  </si>
  <si>
    <t>978-5-9524-3798-2</t>
  </si>
  <si>
    <t>18382</t>
  </si>
  <si>
    <t>Притворись моей женой</t>
  </si>
  <si>
    <t>978-5-227-08354-8</t>
  </si>
  <si>
    <t>17577</t>
  </si>
  <si>
    <t>Притворись моей на одну ночь</t>
  </si>
  <si>
    <t>978-5-227-07611-3</t>
  </si>
  <si>
    <t>18845</t>
  </si>
  <si>
    <t>Притворись моей невестой</t>
  </si>
  <si>
    <t>978-5-227-08724-9</t>
  </si>
  <si>
    <t>19102</t>
  </si>
  <si>
    <t>Притворись моим парнем</t>
  </si>
  <si>
    <t>978-5-227-08939-7</t>
  </si>
  <si>
    <t>12524</t>
  </si>
  <si>
    <t>Приходит ночь</t>
  </si>
  <si>
    <t>978-5-227-02607-1</t>
  </si>
  <si>
    <t>19002</t>
  </si>
  <si>
    <t>Причуды памяти</t>
  </si>
  <si>
    <t>978-5-227-08860-4</t>
  </si>
  <si>
    <t>21321</t>
  </si>
  <si>
    <t>Приют искушений</t>
  </si>
  <si>
    <t>978-5-227-10681-0</t>
  </si>
  <si>
    <t>Зандер Стэнхоуп — британец с греческими корнями, один из самых влиятельных бизнесменов Лондона, не может забыть красавицу Миа Холлидей, организатора вечеринок, с которой провел страстную ночь. Незадолго до Рождества Миа разыскивает его и ¬сообщает, что беременна. Зандер предлагает заключить брак по расчету, чтобы вместе растить ребенка, но Миа, страстно желая любить и быть любимой, выдвигает требование: все или ничего!..</t>
  </si>
  <si>
    <t>16757</t>
  </si>
  <si>
    <t>Приятная ночь для убийства</t>
  </si>
  <si>
    <t>978-5-227-06727-2</t>
  </si>
  <si>
    <t>7870</t>
  </si>
  <si>
    <t>Поттер</t>
  </si>
  <si>
    <t>Про Питера Кролика</t>
  </si>
  <si>
    <t>978-5-9524-2652-8</t>
  </si>
  <si>
    <t>18607</t>
  </si>
  <si>
    <t>Пробуждение скромницы</t>
  </si>
  <si>
    <t>978-5-227-08526-9</t>
  </si>
  <si>
    <t>20786</t>
  </si>
  <si>
    <t>Пробужденная страстью</t>
  </si>
  <si>
    <t>978-5-227-10364-2</t>
  </si>
  <si>
    <t>Простая парикмахерша из Лондона, дерзкая и острая на язык Лекси Паркер приезжает на престижный греческий курорт, чтобы заработать крупную сумму и помочь сестре. Однажды, в свободное от работы время, она отправляется на дикий пляж, желая побыть наедине со своими мыслями и отвлечься от суеты пафосного отеля, в котором она временно остановилась. Лекси очень удивилась, поняв, что на пляже есть кто-то еще, а именно невероятно красивый, высокий и мускулистый грек. В воде она случайно наступает на морского ежа, и угрюмый и надменный грек почему-то приходит ей на помощь. С первой минуты знакомства стало ясно: они из совершенно разных миров, но обоих сильно влечет друг к другу. После шикарной ночи на пляже Лекси узнает, что ее первый любовник – известный на весь мир миллиардер. Ее смущает разница в их социальном положении, но позже, в Лондоне, они продолжили встречи. Лекси начинает влюбляться, вот только не знает, как рассказать Леону всю правду о своей личности?</t>
  </si>
  <si>
    <t>18030</t>
  </si>
  <si>
    <t>Провалы во внешней политике России. От Венского конгресса до Минских соглашений</t>
  </si>
  <si>
    <t>978-5-227-07814-8</t>
  </si>
  <si>
    <t>16265</t>
  </si>
  <si>
    <t>Лондон С.</t>
  </si>
  <si>
    <t>Прогони мою печаль</t>
  </si>
  <si>
    <t>978-5-227-06173-7</t>
  </si>
  <si>
    <t>15502</t>
  </si>
  <si>
    <t>Прогулка в темноте</t>
  </si>
  <si>
    <t>978-5-227-05484-5</t>
  </si>
  <si>
    <t>21768</t>
  </si>
  <si>
    <t>Беляева Г.И.</t>
  </si>
  <si>
    <t>Прогулки по Старой Коломне. История развития живописного района Северной Венеции</t>
  </si>
  <si>
    <t>978-5-227-11143-2</t>
  </si>
  <si>
    <t>Эта уникальная книга-путеводитель по всем улицам Коломны — итог многолетних поисков и собирания автором печатных и архивных материалов. Она воссоздает живописную картину бывшей петербургской окраины, венецианского уголка между Невой, Фонтанкой и Крюковым каналом. Улицы старой Коломны, на которых располагались Министерство внутренних дел, Императорское Человеколюбивое общество, больница Святого Николая Чудотворца и Морской Николо-Богоявленский кафедральный собор, претерпели множество переименований и стали свидетелями многих перемен._x000D_
Загадочный район площадей, колоколен и каналов постепенно превратился в культурный и промышленный центр. Его история причудливым образом переплелась с биографией известных поэтов, писателей, исторических деятелей, художников и композиторов, архитекторов и актеров разных эпох, чьи имена составляют золотой фонд культуры России. Издание адресовано всем, кто любит Петербург, интересуется его историей.</t>
  </si>
  <si>
    <t>15160</t>
  </si>
  <si>
    <t>Симони М.</t>
  </si>
  <si>
    <t>Продавец проклятых книг</t>
  </si>
  <si>
    <t>978-5-227-05203-2</t>
  </si>
  <si>
    <t>19965</t>
  </si>
  <si>
    <t>Проделки камня желаний</t>
  </si>
  <si>
    <t>978-5-227-09492-6</t>
  </si>
  <si>
    <t>16400</t>
  </si>
  <si>
    <t>Продлить наше счастье</t>
  </si>
  <si>
    <t>978-5-227-06288-8</t>
  </si>
  <si>
    <t>3765</t>
  </si>
  <si>
    <t>Прозревшая Фемида Откровения питерского адвоката</t>
  </si>
  <si>
    <t>5-9524-0264-X</t>
  </si>
  <si>
    <t>21474</t>
  </si>
  <si>
    <t>Ульянов Н.И.</t>
  </si>
  <si>
    <t>Происхождение украинского сепаратизма</t>
  </si>
  <si>
    <t>978-5-227-10770-1</t>
  </si>
  <si>
    <t>Н. Ульянов рассматривает украинский сепаратизм как искусственный и надуманный. Казачество подсказало этому движению аргумент от истории, сочинив самостийническую схему украинского прошлого, построенного сплошь на лжи, подделках, на противоречиях с фактами и документами._x000D_
На основании данного представления автор утверждает, что, кроме этих сомнительных историографических построений, не существует других убедительных причин разделения между собой украинского и российского государств.</t>
  </si>
  <si>
    <t>17034</t>
  </si>
  <si>
    <t>Проклятие иеремитов</t>
  </si>
  <si>
    <t>978-5-227-07107-1</t>
  </si>
  <si>
    <t>19552</t>
  </si>
  <si>
    <t>Проклятие Немезиды</t>
  </si>
  <si>
    <t>978-5-227-09224-3</t>
  </si>
  <si>
    <t>18933</t>
  </si>
  <si>
    <t>Николенко А.Д</t>
  </si>
  <si>
    <t>Пронзая ткань времени</t>
  </si>
  <si>
    <t>978-5-227-08902-1</t>
  </si>
  <si>
    <t>16650</t>
  </si>
  <si>
    <t>Пропавшая</t>
  </si>
  <si>
    <t>978-5-227-06730-2</t>
  </si>
  <si>
    <t>20188</t>
  </si>
  <si>
    <t>Карлден К</t>
  </si>
  <si>
    <t>Пророк смерти</t>
  </si>
  <si>
    <t>978-5-227-09852-8</t>
  </si>
  <si>
    <t>17838</t>
  </si>
  <si>
    <t>978-5-227-07779-0</t>
  </si>
  <si>
    <t>11326</t>
  </si>
  <si>
    <t>Пророчество</t>
  </si>
  <si>
    <t>978-5-9524-4410-2</t>
  </si>
  <si>
    <t>11613</t>
  </si>
  <si>
    <t>978-5-9524-4720-2</t>
  </si>
  <si>
    <t>18089</t>
  </si>
  <si>
    <t>Просветляющая книга</t>
  </si>
  <si>
    <t>978-5-227-08175-9</t>
  </si>
  <si>
    <t>3997</t>
  </si>
  <si>
    <t>Простатит Диагностика профилактика</t>
  </si>
  <si>
    <t>5-9524-0382-4</t>
  </si>
  <si>
    <t>5656</t>
  </si>
  <si>
    <t>14701</t>
  </si>
  <si>
    <t>Прости и не прощайся</t>
  </si>
  <si>
    <t>978-5-227-04668-0</t>
  </si>
  <si>
    <t>17476</t>
  </si>
  <si>
    <t>Просто будь моей</t>
  </si>
  <si>
    <t>978-5-227-07475-1</t>
  </si>
  <si>
    <t>18693</t>
  </si>
  <si>
    <t>Просто будь со мной</t>
  </si>
  <si>
    <t>978-5-227-08573-3</t>
  </si>
  <si>
    <t>19671</t>
  </si>
  <si>
    <t>Просто доверься мне</t>
  </si>
  <si>
    <t>978-5-227-09294-6</t>
  </si>
  <si>
    <t>18194</t>
  </si>
  <si>
    <t>Просто знать, что ты есть</t>
  </si>
  <si>
    <t>978-5-227-08152-0</t>
  </si>
  <si>
    <t>19695</t>
  </si>
  <si>
    <t>Просто поверь в любовь</t>
  </si>
  <si>
    <t>978-5-227-09351-6</t>
  </si>
  <si>
    <t>17640</t>
  </si>
  <si>
    <t>Просто скажи "ДА"</t>
  </si>
  <si>
    <t>978-5-227-07638-0</t>
  </si>
  <si>
    <t>21350</t>
  </si>
  <si>
    <t>Усманова И. А</t>
  </si>
  <si>
    <t>Простой путь к счастливой жизни. Дневник Души на планете Земля</t>
  </si>
  <si>
    <t>978-5-227-10722-0</t>
  </si>
  <si>
    <t>Ирина Усманова — психолог-консультант, тренер, специалист по методике доктора В.В.Синельникова, преподаватель Академии Духовного Целительства. В арсенале её инструментов — психотерапия, НЛП, ПЭАТ, эмоционально-образная терапия, арттерапия, телесно-ориентированная терапия, биоэнерготерапия, расстановки, ролевые игры, психодрама, терапия прошлых жизней, метафорические карты, эзотерические практики и другие современные методы психокоррекции. Более двенадцати лет ведёт авторские семинары, тренинги, консультирует индивидуально. Своими знаниями Ирина Усманова делится на страницах этой книги. Уникальные авторские методики помогли многим людям исцелиться и начать жить в полную силу, достигнуть внутренней гармонии, построить прекрасные отношения с близкими, повысить свой достаток и профессиональный уровень, выйти за пределы обыденного ума и открыть те духовные истины, которые помогают найти себя и свой Путь, обрести умиротворение Души. Здесь каждый найдёт ответы на свои главные вопросы, наполнится Любовью, Мудростью, Уверенностью и Радостью!</t>
  </si>
  <si>
    <t>3588</t>
  </si>
  <si>
    <t>ШР</t>
  </si>
  <si>
    <t>Авдеенко</t>
  </si>
  <si>
    <t>Простые истины история 4</t>
  </si>
  <si>
    <t>5-9524-0061-2</t>
  </si>
  <si>
    <t>3579</t>
  </si>
  <si>
    <t>Простые истины история 6</t>
  </si>
  <si>
    <t>5-9524-0076-0</t>
  </si>
  <si>
    <t>11162</t>
  </si>
  <si>
    <t>Романенко С.</t>
  </si>
  <si>
    <t>Простые методы оздоровления. Неизлечимых болезней нет</t>
  </si>
  <si>
    <t>978-5-9524-4262-7</t>
  </si>
  <si>
    <t>19120</t>
  </si>
  <si>
    <t>Простые удовольствия</t>
  </si>
  <si>
    <t>978-5-227-08960-1</t>
  </si>
  <si>
    <t>14552</t>
  </si>
  <si>
    <t>Протектор севера</t>
  </si>
  <si>
    <t>978-5-227-04615-4</t>
  </si>
  <si>
    <t>20718</t>
  </si>
  <si>
    <t>Против правил</t>
  </si>
  <si>
    <t>978-5-227-10009-2</t>
  </si>
  <si>
    <t>Письма Кайлы, посланные мужу, сержанту Ричарду Страуду, находившемуся на военной службе на другом конце света, полны любви, которой не страшен разлучающий молодую пару океан. Но трагедия слишком рано оставила Кайлу вдовой с новорожденным сыном. Друзья Ричарда сохранили его металлический ящик с наполненными признаниями в любви письмами жены. Тревор Рул, возвращаясь домой с военной службы, забрал с собой письма своего лучшего друга. Читая их, он все больше и больше влюбляется в нежную и страстную женщину, которая написала их, и хочет убедить Кайлу быть счастливой, оставив в прошлом смерть Ричарда. Но Тревор скрывает секрет, который может разрушить так страстно лелеемую им любовь.</t>
  </si>
  <si>
    <t>17495</t>
  </si>
  <si>
    <t>Противница одиночества</t>
  </si>
  <si>
    <t>978-5-227-07300-6</t>
  </si>
  <si>
    <t>18043</t>
  </si>
  <si>
    <t>Мовсесян А.</t>
  </si>
  <si>
    <t>Профилактика возрастзависимых заболеваний. Факторы снижающие риск возникновения рака, болезни Альцгеймера, Паркинсона, возрастных нарушений зрения, сердечно-сосудистой системы, опорно-двигательной системы…</t>
  </si>
  <si>
    <t>978-5-227-08072-1</t>
  </si>
  <si>
    <t>18807</t>
  </si>
  <si>
    <t>Профилактика онкологии народными средствами</t>
  </si>
  <si>
    <t>978-5-227-08750-8</t>
  </si>
  <si>
    <t>17332</t>
  </si>
  <si>
    <t>Процент счастья</t>
  </si>
  <si>
    <t>978-5-227-07313-6</t>
  </si>
  <si>
    <t>18332</t>
  </si>
  <si>
    <t>Прочь от одиночества</t>
  </si>
  <si>
    <t>978-5-227-08325-8</t>
  </si>
  <si>
    <t>16643</t>
  </si>
  <si>
    <t>Прочь от соблазна</t>
  </si>
  <si>
    <t>978-5-227-06537-7</t>
  </si>
  <si>
    <t>10794</t>
  </si>
  <si>
    <t>Прошедший сквозь время</t>
  </si>
  <si>
    <t>978-5-9524-3889-7</t>
  </si>
  <si>
    <t>19259</t>
  </si>
  <si>
    <t>Лазовский Е.</t>
  </si>
  <si>
    <t>Прошлая настоящая жизнь</t>
  </si>
  <si>
    <t>978-5-227-09163-5</t>
  </si>
  <si>
    <t>7972</t>
  </si>
  <si>
    <t>Прошлой осенью в аду</t>
  </si>
  <si>
    <t>978-5-9524-2871-3</t>
  </si>
  <si>
    <t>20370</t>
  </si>
  <si>
    <t>Прошлые грехи</t>
  </si>
  <si>
    <t>978-5-227-09933-4</t>
  </si>
  <si>
    <t>7771</t>
  </si>
  <si>
    <t>Прощай мафия</t>
  </si>
  <si>
    <t>978-5-9524-2690-0</t>
  </si>
  <si>
    <t>4989</t>
  </si>
  <si>
    <t>5-9524-1156-8</t>
  </si>
  <si>
    <t>14829</t>
  </si>
  <si>
    <t>Прощай мечта</t>
  </si>
  <si>
    <t>978-5-227-04844-4</t>
  </si>
  <si>
    <t>18121</t>
  </si>
  <si>
    <t>Прощай, Германия!</t>
  </si>
  <si>
    <t>978-5-227-08188-9</t>
  </si>
  <si>
    <t>21724</t>
  </si>
  <si>
    <t>Уильямсон Х.</t>
  </si>
  <si>
    <t>Прощание с Доном: Гражданская война в России в дневниках британского офицера. 1919—1920</t>
  </si>
  <si>
    <t>978-5-9524-5925-0</t>
  </si>
  <si>
    <t>Роль Англии во внутренних делах России, история так называемой интервенции и трагедия раздираемого Гражданской войной населения — вот основной предмет повествования Хадлстона Уильямсона. Записи велись по горячим следам событий. Автор рисует яркие запоминающиеся портреты Корнилова и Деникина, делает впечатляющие панорамные зарисовки фронтов и эпизодов важнейших сражений, дает характеристику организации и боевого духа Российской армии и отдельных ее представителей.</t>
  </si>
  <si>
    <t>10324</t>
  </si>
  <si>
    <t>ПЯЖ</t>
  </si>
  <si>
    <t>Прыжок в новую жизнь c СD</t>
  </si>
  <si>
    <t>978-5-9524-3420-2</t>
  </si>
  <si>
    <t>11390</t>
  </si>
  <si>
    <t>Прыжок над пропастью</t>
  </si>
  <si>
    <t>978-5-9524-4278-8</t>
  </si>
  <si>
    <t>17138</t>
  </si>
  <si>
    <t>Нагаев С.Э.</t>
  </si>
  <si>
    <t>Прямо сейчас</t>
  </si>
  <si>
    <t>978-5-227-06568-1</t>
  </si>
  <si>
    <t>17026</t>
  </si>
  <si>
    <t>Пряности. Выращивание, заготовка, применение</t>
  </si>
  <si>
    <t>978-5-227-07091-3</t>
  </si>
  <si>
    <t>21675</t>
  </si>
  <si>
    <t>Лайнбарджер П.М.Э.</t>
  </si>
  <si>
    <t>Психологическая война. Теория и практика обработки массового сознания</t>
  </si>
  <si>
    <t>978-5-9524-6429-2</t>
  </si>
  <si>
    <t>Видный американский ученый-политолог и психолог, ведущий специалист по психологической войне, разведчик и писатель Пол Лайнбарджер в своем основополагающем труде обобщает опыт своей работы в качестве гражданского эксперта в пропагандистских учреждениях США, занятых ведением психологических войн. На основе опыта двух мировых войн и войны в Корее автор излагает взгляды на содержание, формы и методы подрывной пропаганды в борьбе с противником наряду с мерами военного, политического и экономического характера.</t>
  </si>
  <si>
    <t>11607</t>
  </si>
  <si>
    <t>Корсун В.Ф. и др.</t>
  </si>
  <si>
    <t>Псориаз. Старинные и современные методы лечения</t>
  </si>
  <si>
    <t>978-5-9524-4728-8</t>
  </si>
  <si>
    <t>19093</t>
  </si>
  <si>
    <t>Псориаз. Старинные и современные методы лечения. Травы жизни</t>
  </si>
  <si>
    <t>978-5-227-08872-7</t>
  </si>
  <si>
    <t>2929</t>
  </si>
  <si>
    <t>Птицы звери и родственники</t>
  </si>
  <si>
    <t>5-227-01569-4</t>
  </si>
  <si>
    <t>5980</t>
  </si>
  <si>
    <t>Птицы разные бывают</t>
  </si>
  <si>
    <t>5-9524-1664-0</t>
  </si>
  <si>
    <t>14352</t>
  </si>
  <si>
    <t>Пугливая герцогиня</t>
  </si>
  <si>
    <t>978-5-227-04429-7</t>
  </si>
  <si>
    <t>16163</t>
  </si>
  <si>
    <t>Пудинги, суфле</t>
  </si>
  <si>
    <t>978-5-227-06007-5</t>
  </si>
  <si>
    <t>11108</t>
  </si>
  <si>
    <t>Пустите меня в Рим</t>
  </si>
  <si>
    <t>978-5-9524-4228-3</t>
  </si>
  <si>
    <t>7768</t>
  </si>
  <si>
    <t>Пустые хлопоты или Привычка наступать на грабли</t>
  </si>
  <si>
    <t>978-5-9524-2614-6</t>
  </si>
  <si>
    <t>17331</t>
  </si>
  <si>
    <t>Адамс Д.</t>
  </si>
  <si>
    <t>Пусть расцветают чувства</t>
  </si>
  <si>
    <t>978-5-227-07316-7</t>
  </si>
  <si>
    <t>18302</t>
  </si>
  <si>
    <t>Пусть ты умрешь</t>
  </si>
  <si>
    <t>978-5-227-08350-0</t>
  </si>
  <si>
    <t>15576</t>
  </si>
  <si>
    <t>978-5-227-05050-2</t>
  </si>
  <si>
    <t>21629</t>
  </si>
  <si>
    <t>Путеводитель по Библии</t>
  </si>
  <si>
    <t>978-5-9524-6394-3</t>
  </si>
  <si>
    <t>Книга Азимова — настоящий путеводитель по древней земле, на которой более двух тысяч лет назад произошло событие, изменившее ход всемирной истории. Вы узнаете о Палестине времен Маккавеев и границах владений Ирода Великого. Пройдете путем Христа и апостолов в их земном служении. Азимов касается исторической географии и этнографии, не оставляя без внимания основные библейские сюжеты, идеи, образы и эпизоды, которые так органично вплелись в существование как отдельной личности, так и всего рода человеческого.</t>
  </si>
  <si>
    <t>21554</t>
  </si>
  <si>
    <t>Путеводитель по Библии. Ветхий Завет</t>
  </si>
  <si>
    <t>978-5-9524-6345-5</t>
  </si>
  <si>
    <t>Книга Азимова — настоящий путеводитель по древнему библейскому миру, которому уже около трех тысяч лет, говорит об обычаях древних племен, прослеживает родословные царей и фараонов. Перед вами в строго хронологическом порядке предстанут Вавилон и Ассирия, Египет, Израиль и Иудея времен пророков, империя Давида и Соломона. В основном автор касается исторической географии и этнографии, но не оставляет без внимания библейские сюжеты, идеи, образы и эпизоды, которые так органично вплелись в существование как отдельной личности, так и всего рода человеческого.</t>
  </si>
  <si>
    <t>21555</t>
  </si>
  <si>
    <t>Путеводитель по Библии. Новый Завет</t>
  </si>
  <si>
    <t>978-5-9524-6344-8</t>
  </si>
  <si>
    <t>Книга Азимова — настоящий путеводитель по древней земле, на которой более двух тысяч лет назад произошло событие, изменившее ход всемирной истории. Вы узнаете о Палестине времен Маккавеев и границах владений Ирода Великого. Пройдете путем Христа и апостолов в их земном служении. Азимов?касается исторической географии и этнографии, не оставляя без внимания основные библейские сюжеты, идеи, образы и эпизоды, которые так органично вплелись в существование как отдельной личности, так и всего рода человеческого.</t>
  </si>
  <si>
    <t>21642</t>
  </si>
  <si>
    <t>Путеводитель по науке. От египетских пирамид до космических станций</t>
  </si>
  <si>
    <t>978-5-9524-6401-8</t>
  </si>
  <si>
    <t>В этой книге знаменитый писатель-фантаст и популяризатор науки рассказывает о великих изобретениях и открытиях ученых. Вы узнаете, как развивалась наука на протяжении всей истории человечества. Как был изобретен маятник и что такое цепная реакция. И как люди, используя накопленные знания, создали магнитную ленту, фотографию, транзистор и, наконец, водородную бомбу.</t>
  </si>
  <si>
    <t>15184</t>
  </si>
  <si>
    <t>Шокарев С.</t>
  </si>
  <si>
    <t>Путеводитель по средневековой Москве</t>
  </si>
  <si>
    <t>978-5-227-05090-8</t>
  </si>
  <si>
    <t>17779</t>
  </si>
  <si>
    <t>Путеводитель по Шекспиру. Английские пьесы</t>
  </si>
  <si>
    <t>978-5-227-07140-8</t>
  </si>
  <si>
    <t>20709</t>
  </si>
  <si>
    <t>Путеводная нить</t>
  </si>
  <si>
    <t>978-5-227-10211-9</t>
  </si>
  <si>
    <t>Хозяйка магазинчика «Путеводная нить» Лидия решает набрать новых учениц на курсы вязания. У всех женщин непростые судьбы. Красавица Бетани переживает сложный развод, Кортни, потерявшая мать, вынуждена покинуть семью и заканчивать выпускной класс, живя у бабушки. Элиза, элегантная дама с железным характером, по злому умыслу аферистов-риелторов осталась на скромной пенсии без дома, о котором мечтала, и накоплений. Да и сама Лидия должна расстаться с любимым, к которому вернулась законная супруга. Как же не поддаться отчаянию и достойно выдержать натиск житейских бурь?</t>
  </si>
  <si>
    <t>20442</t>
  </si>
  <si>
    <t>Путешествие в мир чувств</t>
  </si>
  <si>
    <t>978-5-227-10126-6</t>
  </si>
  <si>
    <t>Владелец сети отелей, Такис Самарас, был шафером на свадьбе сестры Лиссы Бьюкенен. Во время церемонии Лисса не спускала глаз с высокого мускулистого красавца. А он много лет назад поклялся никогда серьезно не увлекаться женщиной, но, судя по всему, очаровательная мисс Бьюкенен заставит его забыть о клятве...</t>
  </si>
  <si>
    <t>4571</t>
  </si>
  <si>
    <t>Горин</t>
  </si>
  <si>
    <t>Путешествие в страну рододендронов</t>
  </si>
  <si>
    <t>5-9524-0809-5</t>
  </si>
  <si>
    <t>16380</t>
  </si>
  <si>
    <t>Путешествие к мечте</t>
  </si>
  <si>
    <t>978-5-227-06256-7</t>
  </si>
  <si>
    <t>16008</t>
  </si>
  <si>
    <t>Путешествие с холостяком</t>
  </si>
  <si>
    <t>978-5-227-05947-5</t>
  </si>
  <si>
    <t>21732</t>
  </si>
  <si>
    <t>Пути советского империализма. Советская экономическая система и основа внешней политики СССР</t>
  </si>
  <si>
    <t>978-5-227-11101-2</t>
  </si>
  <si>
    <t>"Лев Мстиславович Васильев — политолог, ответственный работник торгового сектора, ставший консультантом советского правительства в Иране. Его книга написана в форме живого повествования и является интересным аналитическим и полемическим трудом. Автор имел возможность близко ознакомиться с работой заграничных представительств СССР и советской экономической системой. Васильев предлагает свою интерпретацию и аргументацию, основанную на своем глубоком опыте и исторических событиях. Он предлагает читателям переосмыслить традиционное представление об СССР как о социалистическом государстве, которое противостоит западному миру, и рассмотреть его как империалистическую державу.
Экспансия в Восточной Европе, поддержка коммунистических режимов по всему миру и культурное проникновение, расширение границ, агрессивные военные операции СССР и другие вопросы рассматриваются в книге, которая адресована не только историкам и политологам, но и широкой аудитории, интересующейся мировой политикой."</t>
  </si>
  <si>
    <t>17191</t>
  </si>
  <si>
    <t>Кузнечевский В.Д.</t>
  </si>
  <si>
    <t>Путин. Кадровая политика. Не стреляйте в пианиста: он предлагает вам лучшее из возможного</t>
  </si>
  <si>
    <t>978-5-227-06608-4</t>
  </si>
  <si>
    <t>20353</t>
  </si>
  <si>
    <t>МП АРТ ТЕРАПИЯ</t>
  </si>
  <si>
    <t>Путы материнской любви</t>
  </si>
  <si>
    <t>978-5-227-10103-7</t>
  </si>
  <si>
    <t>Это издание собрано по мотивам легендарной книги автора «Путы материнской любви». Благодаря ей можно изменить себя и повлиять на жизнь своих детей и родителей, изменить отношения с близкими к лучшему, мудро расставить приоритеты и просто стать счастливыми… Если вы ещё не читали «Путы материнской любви», то, возможно, после этого трейлера-цитатника у вас возникнет желание приобрести или скачать полную версию книги. Главная необычность этого альбома в том, что он исполняет сразу две функции. Первая — свойственная любой книге — информационная: кратко познакомить читателя со стилем писателя, изложением авторских мыслей и теорий. А вот вторая… Она лечебная, исцеляющая душу, тело, судьбу. На каждом развороте возле авторской цитаты расположен рисунок-мандала. А медитативное раскрашивание мандал прекрасно сказывается на общем состоянии человека. Успокаивается ход мыслей, уходит напряжение, внутреннее пространство гармонизируется. Это неизбежно проецируется на ваше общее состояние и состояние окружающего пространства и всего живого, его населяющего. Если в доме есть дети, они тоже могут воспользоваться книгой как раскраской, а мама в это время займётся чем-то полезным, отдохнёт или задумается о прочитанном. А может быть, вы вместе с ребенком устроите сеанс «одновременной игры» и займётесь творчеством-раскрашиванием, и это улучшит отношения и укрепит правильную связь взрослых и детей.</t>
  </si>
  <si>
    <t>13160</t>
  </si>
  <si>
    <t>978-5-227-03212-6</t>
  </si>
  <si>
    <t>20112</t>
  </si>
  <si>
    <t>978-5-227-09882-5</t>
  </si>
  <si>
    <t>21837</t>
  </si>
  <si>
    <t>978-5-227-11175-3</t>
  </si>
  <si>
    <t>В этой книге автор рассматривает ту сторону материнской любви, которая приносит много страданий и детям, и родителям, и обществу в целом. Избыточность материнской любви весьма актуальна, ее последствия вы можете встретить практически в каждой семье, ведь такая стратегия воспитания детей передается из поколения в поколение._x000D_
Благодаря этой книге вы сможете изменить себя и повлиять на жизнь своих детей и родителей, изменить отношения с близкими к лучшему, мудро расставить приоритеты и просто стать счастливыми.</t>
  </si>
  <si>
    <t>13432</t>
  </si>
  <si>
    <t>Путь домой</t>
  </si>
  <si>
    <t>978-5-227-03575-2</t>
  </si>
  <si>
    <t>0173</t>
  </si>
  <si>
    <t>Путь к богатству</t>
  </si>
  <si>
    <t>978-5-227-06998-6</t>
  </si>
  <si>
    <t>20009</t>
  </si>
  <si>
    <t>Путь к богатству (голубая)</t>
  </si>
  <si>
    <t>978-5-227-09794-1</t>
  </si>
  <si>
    <t>20005</t>
  </si>
  <si>
    <t>Путь к богатству. Как стать и богатым и счастливым</t>
  </si>
  <si>
    <t>978-5-227-09797-2</t>
  </si>
  <si>
    <t>19992</t>
  </si>
  <si>
    <t>978-5-227-09715-6</t>
  </si>
  <si>
    <t>19688</t>
  </si>
  <si>
    <t>Рокфеллер Д.Д.</t>
  </si>
  <si>
    <t>Путь к богатству. Мемуары первого миллиардера (оф. 1)</t>
  </si>
  <si>
    <t>978-5-227-09514-5</t>
  </si>
  <si>
    <t>19689</t>
  </si>
  <si>
    <t>Путь к богатству. Мемуары первого миллиардера (оф. 2)</t>
  </si>
  <si>
    <t>978-5-227-09517-6</t>
  </si>
  <si>
    <t>16824</t>
  </si>
  <si>
    <t>Эддисон К.</t>
  </si>
  <si>
    <t>Путь к солнцу</t>
  </si>
  <si>
    <t>978-5-227-06795-1</t>
  </si>
  <si>
    <t>18144</t>
  </si>
  <si>
    <t>Эббот Р.</t>
  </si>
  <si>
    <t>Путь обмана</t>
  </si>
  <si>
    <t>978-5-227-08123-0</t>
  </si>
  <si>
    <t>15556</t>
  </si>
  <si>
    <t>978-5-227-05602-3</t>
  </si>
  <si>
    <t>18888</t>
  </si>
  <si>
    <t>Пылкая вечеринка на Багамах</t>
  </si>
  <si>
    <t>978-5-227-08768-3</t>
  </si>
  <si>
    <t>17818</t>
  </si>
  <si>
    <t>Пылкий властелин</t>
  </si>
  <si>
    <t>978-5-227-07762-2</t>
  </si>
  <si>
    <t>19534</t>
  </si>
  <si>
    <t>Пыльная корона</t>
  </si>
  <si>
    <t>978-5-227-09284-7</t>
  </si>
  <si>
    <t>12551</t>
  </si>
  <si>
    <t>Симонова Д.,Стринадкина Е.</t>
  </si>
  <si>
    <t>Пятнадцатый камень</t>
  </si>
  <si>
    <t>978-5-227-02348-3</t>
  </si>
  <si>
    <t>20540</t>
  </si>
  <si>
    <t>Мартынов А.В.</t>
  </si>
  <si>
    <t>Пятый кодекс</t>
  </si>
  <si>
    <t>978-5-227-10259-1</t>
  </si>
  <si>
    <t>Бывший разведчик спецназа, прошедший горячие точки не только как воин-интернационалист, но и как журналист-международник, репортёр-естествоиспытатель и этнограф, Андрей Рогов в очередном опасном путешествии в Мексику пускается на поиски расшифровки одного из древних манускриптов индейцев майя. В горах Чьяпаса он и его коллеги из съёмочной группы попадают в водоворот опасных приключений, вокруг них разворачиваются события, полные тайн и мистических загадок…</t>
  </si>
  <si>
    <t>10682</t>
  </si>
  <si>
    <t>Градова И.</t>
  </si>
  <si>
    <t>Пять причин улыбнуться</t>
  </si>
  <si>
    <t>978-5-9524-3840-8</t>
  </si>
  <si>
    <t>11753</t>
  </si>
  <si>
    <t>978-5-9524-4866-7</t>
  </si>
  <si>
    <t>17810</t>
  </si>
  <si>
    <t>Черняк Е.Б.</t>
  </si>
  <si>
    <t>Пять столетий тайной войны</t>
  </si>
  <si>
    <t>978-5-227-07520-8</t>
  </si>
  <si>
    <t>21686</t>
  </si>
  <si>
    <t>Работа тайной полиции. Спецоперации, методы вербовки, тактика борьбы, проведение оперативно-разыскной работы царской охранки</t>
  </si>
  <si>
    <t>978-5-227-11104-3</t>
  </si>
  <si>
    <t>Павел Павлович Заварзин — российский жандармский офицер, генерал-майор Отдельного корпуса жандармов. Книга сотрудника тайной полиции рассказывает о делах царской охранки, содержит подробные детали о работе профессиональных революционеров. Описаны приемы по внедрению агентов в преступную среду и внешнему наблюдению. Мы узнаем, что тайная полиция — контрреволюционная и контртеррористическая организация и занималась не просто поимкой обычных преступников. Ее задачей было выявление шпионов и врагов режима, на что была направлена задача внедренных агентов и проверка корреспонденции с целью сохранения государственности в России. Повествование насыщенное и яркое, рассказано как об удачных, так и о провальных операциях, методах вербовки, тактике борьбы, проведению оперативно-разыскной работы._x000D_
Заварзин имел колоссальный разыскной опыт, поднялся по карьерной лестнице с адъютанта до начальника управления, но после Февральской революции 1917 года все жандармские отделения решением Временного правительства были срочно ликвидированы, архивы сожжены, а руководство арестовано. Не избежал этой участи и автор. После освобождения он эмигрировал во Францию, где и написал воспоминания о работе в спецслужбе. Информация, приведенная в книге, подлинна и очень интересна для исследователей противоборства отечественной спецслужбы с экстремистскими организациями.</t>
  </si>
  <si>
    <t>20653</t>
  </si>
  <si>
    <t>Ради потехи. Юмористические шалости пера</t>
  </si>
  <si>
    <t>978-5-227-10238-6</t>
  </si>
  <si>
    <t>В очередном сборнике юмористических рассказов Николай Александрович Лейкин удивляет необычными историями из жизни обыкновенных, привычных бытовых предметов: штопора, бутылки шампанского, мелкой купюры, еды и даже рояля. Каждый предмет преломляет происходящее вокруг через свою уникальную призму, пронизывая повествование как символичностью, так и интересными деталями. Не обошел автор вниманием свои излюбленные и хорошо изученные темы, в меньшей степени связанные с предметами: купечество и его образ жизни, странные попутчики в ­дороге, дачники и игроки, бедность и пьянство. Что бы ни происходило вокруг него, он внимательно подмечает и описывает все, на что падает его взор, будь то определение времени дня по занятиям дам или лунное затмение, и получается это весьма остроумно.</t>
  </si>
  <si>
    <t>20148</t>
  </si>
  <si>
    <t>Радость победы</t>
  </si>
  <si>
    <t>978-5-227-09760-6</t>
  </si>
  <si>
    <t>20436</t>
  </si>
  <si>
    <t>ТП ДНЕВНИК</t>
  </si>
  <si>
    <t>Радость самопознания. Дневник для работы над собой.</t>
  </si>
  <si>
    <t>978-5-227-09537-4</t>
  </si>
  <si>
    <t>Дневник — мощное средство саморазвития, самоконтроля, укрепления силы воли. А ведение дневника — это одна из разновидностей работы над собой, прекрасный способ сосредоточить своё внимание и энергию на процессе трансформации. В конце концов — это еще одна новая добрая привычка._x000D_
Ведение дневника — это честный разговор с самим собой, который позволит раскрыть душу, понять себя и найти своё место в этом мире. Человек должен неустанно развиваться и совершенствоваться. Уделяйте своему дневнику, как верному другу, хотя бы 15—20 минут в день, и результаты не заставят себя долго ждать._x000D_
Изменяя свой ум, мы меняем характер, а меняя характер — мы меняем судьбу. И помните, что в зачёт идут только действия. Старайтесь воплотить в своей жизни написанное здесь. Пусть каждый день в вас и вашей судьбе происходят положительные, благотворные перемены._x000D_
Читателей ждёт серия из нескольких тематических дневников, первый откроет вам РАДОСТЬ САМОПОЗНАНИЯ._x000D_
Успехов вам в работе над собой!</t>
  </si>
  <si>
    <t>19736</t>
  </si>
  <si>
    <t>Разбуди огонь в сердце</t>
  </si>
  <si>
    <t>978-5-227-09400-1</t>
  </si>
  <si>
    <t>17766</t>
  </si>
  <si>
    <t>Разбуди этот дикий огонь</t>
  </si>
  <si>
    <t>978-5-227-07731-8</t>
  </si>
  <si>
    <t>21810</t>
  </si>
  <si>
    <t>Ронге М.</t>
  </si>
  <si>
    <t>Разведка и контрразведка. Практика и техника работы разведывательных органов</t>
  </si>
  <si>
    <t>978-5-9524-6521-3</t>
  </si>
  <si>
    <t>"Мемуары Макса Ронге, австрийского офицера, последнего руководителя разведывательного управления Генерального штаба австро-венгерской армии, профессионального разведчика высокого класса, представляют собой уникальный труд по истории международного шпионажа. Используя огромный фактический материал, автор объясняет цели и задачи шпионажа, знакомит с теорией и практикой шпионской диверсионной деятельности разведывательных органов, раскрывает их структуру и технологию повседневной службы. Наряду с описанием и анализом военных и политических событий Ронге представляет наиболее яркие эпизоды работы австрийской контрразведки, такие как разоблачение Велькерлинга, Редля и многие другие.
Карты, схемы и фотоматериалы дополняют и поясняют повествование."</t>
  </si>
  <si>
    <t>18744</t>
  </si>
  <si>
    <t>Разведчики</t>
  </si>
  <si>
    <t>978-5-227-08717-1</t>
  </si>
  <si>
    <t>21714</t>
  </si>
  <si>
    <t>Шелленберг В.</t>
  </si>
  <si>
    <t>Разведывательная служба Третьего рейха. Секретные операции нацистской внешней разведки</t>
  </si>
  <si>
    <t>978-5-9524-6442-1</t>
  </si>
  <si>
    <t>Воспоминания Вальтера Шелленберга, начальника внешней разведки службы безопасности Третьего рейха, – это описание подлинных событий, в которых он принимал личное участие или получал сведения из первых рук. Дело Зорге, заговор с целью убийства Сталина, история операции «Цицерон», рассказ о личной жизни Гитлера, Гиммлера, Геринга и Гейдриха, операция «Цеппелин», «Красная капелла» и многие другие интригующие секреты разведки нацистов вплоть до краха Третьего рейха... Шелленберг описал все это без прикрас, не стремясь к самооправданию, скорее вновь переживая ощущения обладания властью и собственной значимости. По общей оценке британских «охотников на шпионов», проводивших допрос Шелленберга, это был человек без понятий о чести, верности и правилах приличий, хладнокровный, всегда расчетливый реалист, ничего не оставляющий на волю случая.</t>
  </si>
  <si>
    <t>21180</t>
  </si>
  <si>
    <t>Развиваем интеллект. Упражнения для развития внимания, памяти, логики</t>
  </si>
  <si>
    <t>978-5-227-10725-1</t>
  </si>
  <si>
    <t>Интеллект — это уникальное свойство сознания, которое позволяет адаптироваться к окружающему миру, преодолевать сложные проблемы и достигать жизненных целей. Активизация умственной деятельности необходима сегодня всё большему числу людей — прогресс не стоит на месте, и для многих учебных или рабочих процессов требуется высокий уровень интеллекта, ключевую роль в развитии которого играют непрерывное обучение и саморазвитие. Участие в онлайн-курсах, мастер-классах и образовательных семинарах позволяет осваивать новые знания и обновлять старые — развивать нейронные связи. Интеллектуальное развитие — величина непостоянная. Умственные способности можно и нужно развивать, причём в любом возрасте. Известно много случаев, когда даже глубокие старики сохраняли «здравый рассудок», потому что постоянно тренировали свой мозг. Хотите сохранить на долгие годы высокий интеллект, ясный ум и твёрдую память? Читайте книгу, и вы получите массу полезной информации, загадок и упражнений для развития внимания, памяти и логики.</t>
  </si>
  <si>
    <t>17880</t>
  </si>
  <si>
    <t>Развод отменяеться</t>
  </si>
  <si>
    <t>978-5-227-07784-4</t>
  </si>
  <si>
    <t>17457</t>
  </si>
  <si>
    <t>Разгадай мой секрет</t>
  </si>
  <si>
    <t>978-5-227-07456-0</t>
  </si>
  <si>
    <t>17164</t>
  </si>
  <si>
    <t>Разгадать стихию страсти</t>
  </si>
  <si>
    <t>978-5-227-07127-9</t>
  </si>
  <si>
    <t>20240</t>
  </si>
  <si>
    <t>Торвальд Ю.</t>
  </si>
  <si>
    <t>Разгром на востоке. Поражение фашистской Германии. 1944—1945</t>
  </si>
  <si>
    <t>978-5-9524-5778-2</t>
  </si>
  <si>
    <t>21781</t>
  </si>
  <si>
    <t>Разгром турецкого флота в Эгейском море. Архипелагская экспедиция адмирала Д.Н. Сенявина. 1807 г.</t>
  </si>
  <si>
    <t>978-5-227-11085-5</t>
  </si>
  <si>
    <t>Книга доктора исторических наук, профессора исторического факультета МГУ Д.М. Володихина посвящена одному из блестящих эпизодов в истории российского флота — победе эскадры адмирала Дмитрия Николаевича Сенявина над турками в Лемносско-Афонском сражении 1807 года. В этой морской битве в полной мере проявилось не только искусство флотоводца, но и мужество и стойкость русских моряков. Книга основана на широком круге документальных источников, в том числе материалах Российского государственного архива Военно-морского флота (РГА ВМФ), многочисленной мемуарной литературе, среди которых воспоминания самого адмирала Сенявина.</t>
  </si>
  <si>
    <t>17765</t>
  </si>
  <si>
    <t>Разжечь огонь желания</t>
  </si>
  <si>
    <t>978-5-227-07725-7</t>
  </si>
  <si>
    <t>14475</t>
  </si>
  <si>
    <t>Ейтс М.</t>
  </si>
  <si>
    <t>Разлучница</t>
  </si>
  <si>
    <t>978-5-227-04459-4</t>
  </si>
  <si>
    <t>18820</t>
  </si>
  <si>
    <t>Разоблаченное искушение</t>
  </si>
  <si>
    <t>978-5-227-08700-3</t>
  </si>
  <si>
    <t>20296</t>
  </si>
  <si>
    <t>Разреши мечтать о тебе</t>
  </si>
  <si>
    <t>978-5-227-09828-3</t>
  </si>
  <si>
    <t>16379</t>
  </si>
  <si>
    <t>Разреши тебя любить</t>
  </si>
  <si>
    <t>978-5-227-06257-4</t>
  </si>
  <si>
    <t>20282</t>
  </si>
  <si>
    <t>Разыскания о начале Руси. Вместо введения в русскую историю</t>
  </si>
  <si>
    <t>978-5-227-10054-2</t>
  </si>
  <si>
    <t>18064</t>
  </si>
  <si>
    <t>Рай опьяняющих ощущений</t>
  </si>
  <si>
    <t>978-5-227-08095-0</t>
  </si>
  <si>
    <t>4648</t>
  </si>
  <si>
    <t>Росс К.</t>
  </si>
  <si>
    <t>Раненое сердце</t>
  </si>
  <si>
    <t>5-9524-0901-6</t>
  </si>
  <si>
    <t>18658</t>
  </si>
  <si>
    <t>Раненое сердце плейбоя</t>
  </si>
  <si>
    <t>978-5-227-08552-8</t>
  </si>
  <si>
    <t>21150</t>
  </si>
  <si>
    <t>Боттеро Ж.</t>
  </si>
  <si>
    <t>Ранние цивилизации Ближнего востока. История возникновения и развития древнейших государств на земле</t>
  </si>
  <si>
    <t>978-5-9524-6146-8</t>
  </si>
  <si>
    <t>Настоящая книга, написанная выдающимися учеными из Франции и Германии, подробно рассматривает один из ключевых периодов истории человечества, начинающийся с первого появления цивилизации в Египте и Месопотамии. Покрывая период от 10 000 до 1500 года до н. э., авторы освещают предысторию Ближнего Востока, следят за подъемом Шумерского, Аккадского и Вавилонского царств в Месопотамии и за их отношением с соседями, описывают историю Древнего Египта во время Древнего и Среднего царств. Здесь охвачены политические события, социальные и экономические предпосылки развития истории, а также ее интеллектуальные направления.</t>
  </si>
  <si>
    <t>17683</t>
  </si>
  <si>
    <t>Толконюк И. А.</t>
  </si>
  <si>
    <t>Раны заживают медленно. Записки штабного офицера</t>
  </si>
  <si>
    <t>978-5-227-07501-7</t>
  </si>
  <si>
    <t>18182</t>
  </si>
  <si>
    <t>Раскаленное желание</t>
  </si>
  <si>
    <t>978-5-227-08203-9</t>
  </si>
  <si>
    <t>21033</t>
  </si>
  <si>
    <t>Уэбб Д.</t>
  </si>
  <si>
    <t>Раскрытая тайна</t>
  </si>
  <si>
    <t>978-5-227-10252-2</t>
  </si>
  <si>
    <t>С юных лет Одри Андерсон хотела выйти замуж за одноклассника Колта Таннера. Но все планы перечеркнула школьная вечеринка, которую Одри проболела, а Колт, напившись, переспал с роковой красоткой, после чего был вынужден на ней жениться из-за ее беременности. Через несколько лет после рождения сына они развелись, но Одри так и не простила Колта, который стал шерифом…</t>
  </si>
  <si>
    <t>20987</t>
  </si>
  <si>
    <t>ЛаКетт</t>
  </si>
  <si>
    <t>Раскрыться в его объятиях</t>
  </si>
  <si>
    <t>978-5-227-10460-1</t>
  </si>
  <si>
    <t>Джейден Латтимор — беззаботный парень из богатой семьи, завидный холостяк, который совсем не ищет серьезных отношений. Занай Джеймс — детский психиатр с ученой степенью, которая посвящает свою жизнь науке и работе и считает себя лишней в светском обществе. Но одна встреча на бале-маскараде перевернула жизнь обоих...</t>
  </si>
  <si>
    <t>3525</t>
  </si>
  <si>
    <t>Старк Р.</t>
  </si>
  <si>
    <t>Расплата</t>
  </si>
  <si>
    <t>5-9524-0020-5</t>
  </si>
  <si>
    <t>16965</t>
  </si>
  <si>
    <t>Расплата будет жаркой</t>
  </si>
  <si>
    <t>978-5-227-06924-5</t>
  </si>
  <si>
    <t>21129</t>
  </si>
  <si>
    <t>Расплата за любовь</t>
  </si>
  <si>
    <t>978-5-227-10507-3</t>
  </si>
  <si>
    <t>Уинтер, красивая и умная девушка, ведет свой блог в Интернете. Внезапно она становится наследницей крупного состояния. Но ей приходится бороться с матерью, которая сама хочет получить эти деньги и оспаривает завещание. В это тяжелое время Уинтер встречает свою подростковую любовь, Райли Дэвиса, успешного адвоката. Райли избегает длительных отношений с женщинами. Так негативно на него повлиял развод его родителей. Но Уинтер видит под ледяным фасадом ранимого и эмоционального человека. Сможет ли она доказать Райли, что ради настоящей любви иногда стоит рискнуть?</t>
  </si>
  <si>
    <t>18196</t>
  </si>
  <si>
    <t>Расплата за незабываемую ночь</t>
  </si>
  <si>
    <t>978-5-227-08160-5</t>
  </si>
  <si>
    <t>18698</t>
  </si>
  <si>
    <t>Распутница и принц</t>
  </si>
  <si>
    <t>978-5-227-08597-9</t>
  </si>
  <si>
    <t>18837</t>
  </si>
  <si>
    <t>Распутницы</t>
  </si>
  <si>
    <t>978-5-227-08709-6</t>
  </si>
  <si>
    <t>0106</t>
  </si>
  <si>
    <t>Расскажи это птичкам</t>
  </si>
  <si>
    <t>978-5-227-06999-3</t>
  </si>
  <si>
    <t>15565</t>
  </si>
  <si>
    <t>Расставание отменяется</t>
  </si>
  <si>
    <t>978-5-227-05046-5</t>
  </si>
  <si>
    <t>18519</t>
  </si>
  <si>
    <t>Расставание со счастливым финалом</t>
  </si>
  <si>
    <t>978-5-227-08412-5</t>
  </si>
  <si>
    <t>17662</t>
  </si>
  <si>
    <t>Гилтроу Х.</t>
  </si>
  <si>
    <t>Расстояние</t>
  </si>
  <si>
    <t>978-5-227-07623-6</t>
  </si>
  <si>
    <t>15992</t>
  </si>
  <si>
    <t>978-5-227-05934-5</t>
  </si>
  <si>
    <t>16329</t>
  </si>
  <si>
    <t>Растаять в твоих объятиях</t>
  </si>
  <si>
    <t>978-5-227-06197-3</t>
  </si>
  <si>
    <t>17915</t>
  </si>
  <si>
    <t>Раствориться в его объятиях</t>
  </si>
  <si>
    <t>978-5-227-07991-6</t>
  </si>
  <si>
    <t>16705</t>
  </si>
  <si>
    <t>Растопить ледяное сердце</t>
  </si>
  <si>
    <t>978-5-227-06736-4</t>
  </si>
  <si>
    <t>13599</t>
  </si>
  <si>
    <t>Расцвет и падение древних цивилизаций</t>
  </si>
  <si>
    <t>978-5-9524-5000-4</t>
  </si>
  <si>
    <t>21412</t>
  </si>
  <si>
    <t>Расцвет и падение древних цивилизаций. Далекое прошлое человечества</t>
  </si>
  <si>
    <t>978-5-9524-6259-5</t>
  </si>
  <si>
    <t>Крупнейший специалист по древней истории профессор Гордон Чайлд в этой наиболее значительной своей работе предлагает оригинальную концепцию ранней истории человечества. Она основана на европейской точке зрения, согласно которой «главная традиция», оказавшая влияние на эллинистическое Средиземноморье, связана с Египтом и Месопотамией. В соответствии с намерениями и поставленными задачами Чайлд открывает свою книгу периодом каменного века и заканчивает упадком Римской империи. Автор ярко описывает жизнь первобытных народов периода палеолита, мезолита и неолита, прослеживает подъем культур железного века вплоть до достижения кульминации в результате объединения значительной части Европы благодаря деяниям Александра Великого. Завершается рассказ главой, содержащей точку зрения автора на закат и падение Древнего мира.</t>
  </si>
  <si>
    <t>14839</t>
  </si>
  <si>
    <t>Расчетливая вдова</t>
  </si>
  <si>
    <t>978-5-227-04862-2</t>
  </si>
  <si>
    <t>20236</t>
  </si>
  <si>
    <t>Хокинс Дж.</t>
  </si>
  <si>
    <t>Расшифрованный Стоунхендж. Обсерватория каменного века</t>
  </si>
  <si>
    <t>978-5-9524-5704-1</t>
  </si>
  <si>
    <t>18042</t>
  </si>
  <si>
    <t>Ульянов М.А.</t>
  </si>
  <si>
    <t>Реальность и мечта</t>
  </si>
  <si>
    <t>978-5-227-07836-0</t>
  </si>
  <si>
    <t>5494</t>
  </si>
  <si>
    <t>Ребенок</t>
  </si>
  <si>
    <t>5-9524-1491-5</t>
  </si>
  <si>
    <t>6112</t>
  </si>
  <si>
    <t>10391</t>
  </si>
  <si>
    <t>ВАШ Р</t>
  </si>
  <si>
    <t>Митчелл</t>
  </si>
  <si>
    <t>Ребенок и карьера</t>
  </si>
  <si>
    <t>978-5-9524-3578-0</t>
  </si>
  <si>
    <t>10631</t>
  </si>
  <si>
    <t>Ребенок моего мужа</t>
  </si>
  <si>
    <t>978-5-9524-3835-4</t>
  </si>
  <si>
    <t>19097</t>
  </si>
  <si>
    <t>Ревизор 2.0</t>
  </si>
  <si>
    <t>978-5-227-09047-8</t>
  </si>
  <si>
    <t>20567</t>
  </si>
  <si>
    <t>Кантакузина Ю.Ф.</t>
  </si>
  <si>
    <t>Революционные дни. Воспоминания русской княгини, внучки президента США. 1876—1918</t>
  </si>
  <si>
    <t>978-5-9524-5894-9</t>
  </si>
  <si>
    <t>Внучка героя Гражданской войны в США, легендарного генерала Улисса Гранта, дочь генерал-майора Фредерика Гранта, Юлия вышла замуж за потомка знаменитого рода византийских императоров Михаила Кантакузина. Даже самые тяжелые революционные дни и выпавшие на ее долю испытания княгиня встречала с присущей ей деятельной энергией. Внимательный взгляд Юлии зафиксировал важные, но никем ранее не отмеченные черты меняющегося облика страны, которую она успела полюбить. В начале 1918 года после множества приключений княгине с мужем удалось выбраться из России.</t>
  </si>
  <si>
    <t>17552</t>
  </si>
  <si>
    <t>Давид Анин</t>
  </si>
  <si>
    <t>Революция 1917г. Глазами её руководителей</t>
  </si>
  <si>
    <t>978-5-9524-5269-5</t>
  </si>
  <si>
    <t>17752</t>
  </si>
  <si>
    <t>Рябинский К.</t>
  </si>
  <si>
    <t>Революция 1917г. Октябрь. Хроника событий</t>
  </si>
  <si>
    <t>978-5-227-07804-9</t>
  </si>
  <si>
    <t>15079</t>
  </si>
  <si>
    <t>Карелин А.</t>
  </si>
  <si>
    <t>Регистан где-то рядом. Докуметальная проза. Повести и рассказы</t>
  </si>
  <si>
    <t>978-5-227-05157-8</t>
  </si>
  <si>
    <t>20030</t>
  </si>
  <si>
    <t>Редкая птица; Огонь на поражение</t>
  </si>
  <si>
    <t>978-5-227-09717-0</t>
  </si>
  <si>
    <t>18074</t>
  </si>
  <si>
    <t>Рейдер</t>
  </si>
  <si>
    <t>978-5-227-08147-6</t>
  </si>
  <si>
    <t>0101</t>
  </si>
  <si>
    <t>Реквием блондинкам</t>
  </si>
  <si>
    <t>978-5-227-07000-5</t>
  </si>
  <si>
    <t>5762</t>
  </si>
  <si>
    <t>Панфилова А.</t>
  </si>
  <si>
    <t>Реквием для жены моего шефа</t>
  </si>
  <si>
    <t>5-9524-1712-4</t>
  </si>
  <si>
    <t>19553</t>
  </si>
  <si>
    <t>Реквием по соседу</t>
  </si>
  <si>
    <t>978-5-227-09346-2</t>
  </si>
  <si>
    <t>18243</t>
  </si>
  <si>
    <t>Рысь Е.</t>
  </si>
  <si>
    <t>Религия бешеных</t>
  </si>
  <si>
    <t>978-5-227-07860-5</t>
  </si>
  <si>
    <t>20410</t>
  </si>
  <si>
    <t>Видеман А.</t>
  </si>
  <si>
    <t>Религия древних египтян</t>
  </si>
  <si>
    <t>978-5-9524-5776-8</t>
  </si>
  <si>
    <t>В своей книге известный немецкий египтолог Альфред Видеман рассматривает одну из самых загадочных религий в мире. В Египте религия главенствовала над всеми сферами жизни. Каждый предмет обихода египтян был так или иначе связан с поклонением высшим силам. Древние египтяне верили в бессмертие души. Храмы и гробницы расписывали сценами вечной загробной жизни, отсюда их название — «дома вечности». Крест с петлей — анкх — символизировал будущую жизнь с тремя ее атрибутами: мир, блаженство и безмятежность. Из Древнего Египта дошли до нас отголоски различных ритуалов посвящения в тайные знания. Автор подробнейшим образом анализирует их основные составляющие: учение о бессмертии, культ солнца, поклонение животным, а также толкование снов, магия и колдовство.</t>
  </si>
  <si>
    <t>21113</t>
  </si>
  <si>
    <t>Маккалох Джон Арнотт</t>
  </si>
  <si>
    <t>Религия древних кельтов. Магические обряды и языческие культы самого загадочного народа Европы</t>
  </si>
  <si>
    <t>978-5-9524-5989-2</t>
  </si>
  <si>
    <t>Джон Маккалох исследует историю, культуру, общественный строй и военное искусство древних кельтов в аспекте воссоздания внутреннего уклада жизни этого самого таинственного народа Европы. На основе огромного исторического материала, обзора исторических источников, версий и гипотез современных ученых автор ярко и образно рисует единство черт, создающих особенность верований кельтов.</t>
  </si>
  <si>
    <t>2622</t>
  </si>
  <si>
    <t>Репортер Кейд</t>
  </si>
  <si>
    <t>5-227-01320-9</t>
  </si>
  <si>
    <t>14805</t>
  </si>
  <si>
    <t>978-5-227-04736-6</t>
  </si>
  <si>
    <t>0100</t>
  </si>
  <si>
    <t>978-5-227-07001-2</t>
  </si>
  <si>
    <t>17668</t>
  </si>
  <si>
    <t>Рецепт идеального брака</t>
  </si>
  <si>
    <t>978-5-227-07700-4</t>
  </si>
  <si>
    <t>16401</t>
  </si>
  <si>
    <t>Рецепт настоящей любви</t>
  </si>
  <si>
    <t>978-5-227-06268-0</t>
  </si>
  <si>
    <t>19105</t>
  </si>
  <si>
    <t>Рецепты здоровья. Добрая пища для тела и души</t>
  </si>
  <si>
    <t>978-5-227-08995-3</t>
  </si>
  <si>
    <t>19838</t>
  </si>
  <si>
    <t>978-5-227-09645-6</t>
  </si>
  <si>
    <t>10413</t>
  </si>
  <si>
    <t>Рецепты с секретом</t>
  </si>
  <si>
    <t>978-5-9524-3538-4</t>
  </si>
  <si>
    <t>20167</t>
  </si>
  <si>
    <t>Рецепты сладкой мести</t>
  </si>
  <si>
    <t>978-5-227-09666-1</t>
  </si>
  <si>
    <t>19249</t>
  </si>
  <si>
    <t>Рецепты судьбы (голубая). Учебник хозяина жизни-2</t>
  </si>
  <si>
    <t>978-5-227-09188-8</t>
  </si>
  <si>
    <t>20375</t>
  </si>
  <si>
    <t>Рецепты судьбы. Учебник хозяина жизни - 2</t>
  </si>
  <si>
    <t>978-5-227-10057-3</t>
  </si>
  <si>
    <t>Эта книга Валерия Синельникова станет вашим путеводителем по жизни. Откройте ее на любой странице, и вы получите подсказку, которая поможет найти правильное решение. Все земное подлежит разрушению: машина ржавеет, дом ветшает, близкие люди уходят из этого мира, одни идеалы заменяются на другие, знания постоянно меняются. Неизменна и неразрушима остается всегда только сама Истина, Бог. Вот это и следует делать целью в жизни. А все остальное — только средства на этом пути.</t>
  </si>
  <si>
    <t>19759</t>
  </si>
  <si>
    <t>978-5-227-09594-7</t>
  </si>
  <si>
    <t>21255</t>
  </si>
  <si>
    <t>Лиддел-Гарт Б.Г.</t>
  </si>
  <si>
    <t>Решающие войны в истории. Развитие военного искусства от сражений в Древней Греции до Первой мировой войны</t>
  </si>
  <si>
    <t>978-5-9524-6208-3</t>
  </si>
  <si>
    <t>Английский военный историк и теоретик капитан Бэзил Генри Лиддел-Гарт, будучи редактором энциклопедии «Британника» и вынужденно копаясь в различных периодах военной истории, пришел к выводу, что решающие результаты в какой бы то ни было кампании достигались только в том случае, если действия полководцев были противоположны ожиданиям противника, «непрямыми», как он их назвал. Его стратегия «долгого пути вокруг», поиск верной военной доктрины исследуются в настоящей книге на примере войн, кардинально повлиявших на развитие мировой истории.</t>
  </si>
  <si>
    <t>15423</t>
  </si>
  <si>
    <t>Решение</t>
  </si>
  <si>
    <t>978-5-227-05439-5</t>
  </si>
  <si>
    <t>21179</t>
  </si>
  <si>
    <t>Решение об интервенции. Советско-американские отношения, 1918–1920</t>
  </si>
  <si>
    <t>978-5-9524-6131-4</t>
  </si>
  <si>
    <t>В книге американского историка и политолога Джорджа Кеннана всесторонне рассмотрены причины военного вторжения США и их союзников в Советскую Россию и проанализированы последствия рискованных дипломатических маневров, в результате которых усугубилось противостояние двух великих держав. Автор детально воссоздает события 1918—1920 годов: высадку британских морских пехотинцев на Севере России, восстание Чехословацкого корпуса, оккупацию японцами Дальнего Востока и Забайкалья, в результате которых правительством В. Вильсона было принято решение о вмешательстве и отправке войск в Сибирь._x000D_
События, предшествующие иностранной интервенции, описаны в книге Дж. Кеннана «Россия выходит из войны».</t>
  </si>
  <si>
    <t>17543</t>
  </si>
  <si>
    <t>Решил, что я твоя?</t>
  </si>
  <si>
    <t>978-5-227-07581-9</t>
  </si>
  <si>
    <t>21746</t>
  </si>
  <si>
    <t>Мертц Р., Мертц Б.</t>
  </si>
  <si>
    <t>Рим. Две тысячи лет истории</t>
  </si>
  <si>
    <t>978-5-9524-6260-1</t>
  </si>
  <si>
    <t>Книга Ричарда и Барбары Мертц способна удовлетворить любопытство самого взыскательного путешественника и любителя истории. С ее помощью можно разобраться в хитросплетении улиц Рима, познакомиться со всеми основными достопримечательностями, окунуться в мир его культурных традиций и совершить экскурс в удивительное и богатое событиями прошлое нынешней столицы Италии и убедиться в том, что все дороги действительно ведут в этот Вечный город.</t>
  </si>
  <si>
    <t>19559</t>
  </si>
  <si>
    <t>Рискнуть всем ради любви</t>
  </si>
  <si>
    <t>978-5-227-09159-8</t>
  </si>
  <si>
    <t>16845</t>
  </si>
  <si>
    <t>Рискнуть всем ради тебя</t>
  </si>
  <si>
    <t>978-5-227-06789-0</t>
  </si>
  <si>
    <t>20049</t>
  </si>
  <si>
    <t>Рискованное счастье</t>
  </si>
  <si>
    <t>978-5-227-09616-6</t>
  </si>
  <si>
    <t>18792</t>
  </si>
  <si>
    <t>Рискованное турне</t>
  </si>
  <si>
    <t>978-5-227-08711-9</t>
  </si>
  <si>
    <t>19905</t>
  </si>
  <si>
    <t>Рискованные поцелуи</t>
  </si>
  <si>
    <t>978-5-227-09503-9</t>
  </si>
  <si>
    <t>19864</t>
  </si>
  <si>
    <t>Рискованный шаг к любви</t>
  </si>
  <si>
    <t>978-5-227-09420-9</t>
  </si>
  <si>
    <t>19949</t>
  </si>
  <si>
    <t>Рискованный шаг страсти</t>
  </si>
  <si>
    <t>978-5-227-09519-0</t>
  </si>
  <si>
    <t>19594</t>
  </si>
  <si>
    <t>Остапенко С.А</t>
  </si>
  <si>
    <t>Ритуал</t>
  </si>
  <si>
    <t>978-5-227-09414-8</t>
  </si>
  <si>
    <t>4884</t>
  </si>
  <si>
    <t>Робинзон по пятницам</t>
  </si>
  <si>
    <t>5-9524-1066-9</t>
  </si>
  <si>
    <t>21481</t>
  </si>
  <si>
    <t>Род и его сила. Хранители и основатели рода. Строение и сознание рода. Потоки сил. Родовое проклятие</t>
  </si>
  <si>
    <t>978-5-227-10900-2</t>
  </si>
  <si>
    <t>Магия… Невидимая и таинственная… Сегодня мы приподнимем её завесу, чтобы стать мудрее и многое понять. Этой книгой открывается серия «Магия в вопросах и ответах». Каждая затронутая тема поможет читателю узнать что­то сокровенное._x000D_
Книги вас ждут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 на тему рода и его силы. Вопросы крови — самые сложные вопросы в мире, утверждает Меньшикова. Именно с них мы и начинаем. Как принять силу своего рода? Какие бывают потоки сил? Кто такая Регина рода и каковы её возможности? Кто такой основатель рода? Что такое родовое проклятие? Как его распознать у себя? Как устроен род? Как добывать информацию о своём роде? Надо ли прощать умерших предков? Что происходит с правами женщины после развода? Внебрачные и нежеланные дети… Ответы на эти и многие другие вопросы ждут читателя на страницах этой книги.</t>
  </si>
  <si>
    <t>17019</t>
  </si>
  <si>
    <t>Родиола розовая, или Золотой корень</t>
  </si>
  <si>
    <t>978-5-227-07084-5</t>
  </si>
  <si>
    <t>20759</t>
  </si>
  <si>
    <t>Родовая защита</t>
  </si>
  <si>
    <t>978-5-227-09974-7</t>
  </si>
  <si>
    <t>Каждый человек на Земле — частичка своей родовой системы, хочет он того или нет. Успехи и неудачи в текущей жизни заложены не только нашей личной, но и родовой кармой. А значит, чтобы стать здоровым, счастливым и благополучным, необходимо знать, как замолить грехи предков, как избавиться от родового проклятия, как встроиться в родовой канал и как получить благословение ушедших поколений, не перестающих заботиться о своих потомках и на том свете. Помимо иллюстрируемой притчами обширной теории в новой книге Лоры Мелик много практических упражнений и аффирмаций как на принятие родом, так и на приобретение личной силы и уверенности. С таким надежным спутником легко примириться с прошлым и простить согрешивших родственников и не менее легко смотреть в будущее, наполненное поддержкой и принятием.</t>
  </si>
  <si>
    <t>20936</t>
  </si>
  <si>
    <t>Родом из СССР. Собрание сочинений. Том 1.</t>
  </si>
  <si>
    <t>978-5-227-10555-4</t>
  </si>
  <si>
    <t>Михаил Задорнов — всеми горячо любимый писатель-сатирик, драматург и эссеист. Замечательный, остроумный, невероятно образованный и очень увлечённый родной историей человек… Его устное творчество знает вся наша огромная страна и жители зарубежья, его книги мгновенно разлетаются с прилавков, а многие выражения ушли в народ и стали крылатыми._x000D__x000D_
Впервые читателям предоставляется уникальная возможность приобрести собрание сочинений этого удивительного человека. В первый том вошли рассказы, монологи, миниатюры, фельетоны  и пьеса, начиная с самого раннего творчества.</t>
  </si>
  <si>
    <t>16162</t>
  </si>
  <si>
    <t>Родственные души</t>
  </si>
  <si>
    <t>978-5-227-06129-4</t>
  </si>
  <si>
    <t>19975</t>
  </si>
  <si>
    <t>Рождение Древней Руси. Взгляд из XXI века</t>
  </si>
  <si>
    <t>978-5-227-09806-1</t>
  </si>
  <si>
    <t>19266</t>
  </si>
  <si>
    <t>Бармин Е.</t>
  </si>
  <si>
    <t>Рождение клана. Тария-2</t>
  </si>
  <si>
    <t>978-5-227-09165-9</t>
  </si>
  <si>
    <t>5609</t>
  </si>
  <si>
    <t>Рожденный дважды</t>
  </si>
  <si>
    <t>5-9524-1502-4</t>
  </si>
  <si>
    <t>13291</t>
  </si>
  <si>
    <t>М THE BEST</t>
  </si>
  <si>
    <t>Рождественские письма</t>
  </si>
  <si>
    <t>978-5-227-03278-2</t>
  </si>
  <si>
    <t>82x110 1/32</t>
  </si>
  <si>
    <t>21624</t>
  </si>
  <si>
    <t>978-5-227-11041-1</t>
  </si>
  <si>
    <t>Кэтрин О’Коннор, девушка умная и решительная, не могла смириться с тем, как пагубно отражается на воспитании ее племянниц метод доктора Уинна Джеффриса, изложенный в нашумевшей книге «Свободный ребенок», от которой ее сестра Зельда была в совершенном восторге. Кэтрин бурно изложила свою точку зрения автору, случайно встретив его во Французском кафе, где она сочиняла очередное рождественское письмо. Ее «выступление» закончилось скандалом, и мисс О’Коннор, хотя и считала себя правой, сожалела о своей несдержанности, потому что Джеффрис ей очень понравился, а тут еще соседка сообщила, что «видела будущее», в котором Кэтрин и Уинн влюблены друг в друга...</t>
  </si>
  <si>
    <t>21871</t>
  </si>
  <si>
    <t>Рождественский квартал Петербурга</t>
  </si>
  <si>
    <t>978-5-9524-6486-5</t>
  </si>
  <si>
    <t>Вышедшая ранее книга Аркадия Векслера и Тамары Крашенинниковой «Суворовский проспект, Тверская и Таврическая улицы» начала рассказ о территории невского левобережья, ограниченной Смольной и Синопской набережными и четной стороной Старо-Невского проспекта. В ней была изложена история главной магистрали этой территории — Суворовского проспекта и улиц, расположенных к западу и северу от него. Этой книгой авторы завершают историю западной части «Смольнинского мыса» очерками о Кавалергардской улице, Смольной набережной, Смольном проспекте и связанных с ними улицах, переулках, проездах, площадях и садах. Нас ждет повествование об Очаковской, Одесской и Ставропольской улицах, улице Смольного, Калужском переулке и Мариинском проезде, садах Смольного, Саде на Неве и оставшемся только в памяти старожилов «Бобкином» саде. Вас ждут рассказы об истории улиц и зданий, архитекторах их создавших, обитателях домов именитых и не очень...</t>
  </si>
  <si>
    <t>19019</t>
  </si>
  <si>
    <t>Рождество Христово. Истоки и традиции светлого праздника</t>
  </si>
  <si>
    <t>978-5-227-08865-9</t>
  </si>
  <si>
    <t>2901</t>
  </si>
  <si>
    <t>Рози моя родственница</t>
  </si>
  <si>
    <t>5-227-01496-5</t>
  </si>
  <si>
    <t>19606</t>
  </si>
  <si>
    <t>Розовая нежность. V.Plans. Женский планировщик. Новая Я. (Вид 2)</t>
  </si>
  <si>
    <t>978-5-227-09374-5</t>
  </si>
  <si>
    <t>14887</t>
  </si>
  <si>
    <t>Розы для Молли</t>
  </si>
  <si>
    <t>978-5-227-04870-7</t>
  </si>
  <si>
    <t>18828</t>
  </si>
  <si>
    <t>Лобанов А.</t>
  </si>
  <si>
    <t>Рокировка с прошлым</t>
  </si>
  <si>
    <t>978-5-227-08825-3</t>
  </si>
  <si>
    <t>20393</t>
  </si>
  <si>
    <t>Роковая встреча на Манхэттене</t>
  </si>
  <si>
    <t>978-5-227-10071-9</t>
  </si>
  <si>
    <t>Когда папарацци принимают Нину Менендес за супермодель Ориэль Кювье, она решается на отчаянный шаг и прячется в доме своего бывшего парня Рива Уэстона. Ее поступок провоцирует скандал в прессе, которого Рив хочет избежать любой ценой. Поэтому он оставляет Нину у себя, не подозревая, что между ними тут же вспыхнут искры желания.</t>
  </si>
  <si>
    <t>16698</t>
  </si>
  <si>
    <t>Роковая дама с вуалью. С чего начинается женственность (вид 3)</t>
  </si>
  <si>
    <t>978-5-227-06699-2</t>
  </si>
  <si>
    <t>16611</t>
  </si>
  <si>
    <t>Роковая женщина</t>
  </si>
  <si>
    <t>978-5-227-06551-3</t>
  </si>
  <si>
    <t>0182</t>
  </si>
  <si>
    <t>978-5-227-07002-9</t>
  </si>
  <si>
    <t>18014</t>
  </si>
  <si>
    <t>Роковая недотрога</t>
  </si>
  <si>
    <t>978-5-227-08022-6</t>
  </si>
  <si>
    <t>19179</t>
  </si>
  <si>
    <t>Роковая связь</t>
  </si>
  <si>
    <t>978-5-227-09027-0</t>
  </si>
  <si>
    <t>17786</t>
  </si>
  <si>
    <t>Роковое наваждение</t>
  </si>
  <si>
    <t>978-5-227-07732-5</t>
  </si>
  <si>
    <t>15840</t>
  </si>
  <si>
    <t>Роковое очарование</t>
  </si>
  <si>
    <t>978-5-227-05720-4</t>
  </si>
  <si>
    <t>19968</t>
  </si>
  <si>
    <t>Марш Н.</t>
  </si>
  <si>
    <t>Роковое свадебное свидание</t>
  </si>
  <si>
    <t>978-5-227-09521-3</t>
  </si>
  <si>
    <t>18238</t>
  </si>
  <si>
    <t>Роковое свидание</t>
  </si>
  <si>
    <t>978-5-227-08219-0</t>
  </si>
  <si>
    <t>16951</t>
  </si>
  <si>
    <t>Роковой миг наслаждения</t>
  </si>
  <si>
    <t>978-5-227-06923-8</t>
  </si>
  <si>
    <t>19245</t>
  </si>
  <si>
    <t>Роковой поцелуй</t>
  </si>
  <si>
    <t>978-5-227-09040-9</t>
  </si>
  <si>
    <t>18439</t>
  </si>
  <si>
    <t>Роковой соблазн</t>
  </si>
  <si>
    <t>978-5-227-08385-2</t>
  </si>
  <si>
    <t>14600</t>
  </si>
  <si>
    <t>Роковой флирт</t>
  </si>
  <si>
    <t>978-5-227-04629-1</t>
  </si>
  <si>
    <t>21264</t>
  </si>
  <si>
    <t>Мэхэн А.Т.</t>
  </si>
  <si>
    <t>Роль морских сил в мировой истории. Противостояние флотов в XVII—XVIII веках</t>
  </si>
  <si>
    <t>978-5-9524-5956-4</t>
  </si>
  <si>
    <t>Известный историк и морской офицер Альфред Мэхэн подвергает глубокому анализу значительные события эпохи мореплавания, произошедшие с 1660 по 1783 год. В качестве теоретической базы он избрал наиболее успешные морские стратегии прошлого — от Древней Греции и Рима до Франции эпохи Наполеона. Мэхэн обращает пристальное внимание на тактически значимые качества каждого типа судна (галер, брандер, миноносцев), пункты сосредоточения кораблей, их боевой порядок. Перечислены также недостатки в обороне и искусстве управления флотом. В книге цитируются редчайшие документы и карты. Этот классический труд оказал сильнейшее влияние на умы государственных деятелей многих мировых держав.</t>
  </si>
  <si>
    <t>19268</t>
  </si>
  <si>
    <t>Дуглас</t>
  </si>
  <si>
    <t>Роман на ее условиях</t>
  </si>
  <si>
    <t>978-5-227-09050-8</t>
  </si>
  <si>
    <t>19859</t>
  </si>
  <si>
    <t>Роман на озере Тахо</t>
  </si>
  <si>
    <t>978-5-227-09418-6</t>
  </si>
  <si>
    <t>19709</t>
  </si>
  <si>
    <t>Роман на солнечном острове</t>
  </si>
  <si>
    <t>978-5-227-09352-3</t>
  </si>
  <si>
    <t>16672</t>
  </si>
  <si>
    <t>Вильнер В</t>
  </si>
  <si>
    <t>Роман с литографским камнем (Город)</t>
  </si>
  <si>
    <t>978-5-227-06440-0</t>
  </si>
  <si>
    <t>16673</t>
  </si>
  <si>
    <t>Роман с литографским камнем (Канал)</t>
  </si>
  <si>
    <t>978-5-227-06692-3</t>
  </si>
  <si>
    <t>21137</t>
  </si>
  <si>
    <t>Хорватова Е.В.</t>
  </si>
  <si>
    <t>Роман Серебряного века на фоне войн и революций. Князь Евгений Трубецкой и Маргарита Морозова</t>
  </si>
  <si>
    <t>978-5-227-10422-9</t>
  </si>
  <si>
    <t>Маргарита Морозова… Эта женщина, прожив долгую и очень нелегкую жизнь, оказалась причастна к самым знаменательным событиям русской истории и культуры конца ХIХ — начала ХХ века. Но оставалась она для всех прежде всего Прекрасной Дамой, Сказкой, вдохновившей на творчество многих великих людей и жившей ради любви…</t>
  </si>
  <si>
    <t>14357</t>
  </si>
  <si>
    <t>Казаков В.</t>
  </si>
  <si>
    <t>Роман Флобера</t>
  </si>
  <si>
    <t>978-5-227-04424-2</t>
  </si>
  <si>
    <t>18758</t>
  </si>
  <si>
    <t>Романтик с ледяным сердцем</t>
  </si>
  <si>
    <t>978-5-227-08659-4</t>
  </si>
  <si>
    <t>15807</t>
  </si>
  <si>
    <t>Романтика для циников</t>
  </si>
  <si>
    <t>978-5-227-05697-9</t>
  </si>
  <si>
    <t>19880</t>
  </si>
  <si>
    <t>Романтика первого лета</t>
  </si>
  <si>
    <t>978-5-227-09440-7</t>
  </si>
  <si>
    <t>20108</t>
  </si>
  <si>
    <t>Романтика по­итальянски</t>
  </si>
  <si>
    <t>978-5-227-09611-1</t>
  </si>
  <si>
    <t>17044</t>
  </si>
  <si>
    <t>Романтика с риском для жизни</t>
  </si>
  <si>
    <t>978-5-227-07106-4</t>
  </si>
  <si>
    <t>18928</t>
  </si>
  <si>
    <t>Романтическая авантюра</t>
  </si>
  <si>
    <t>978-5-227-08788-1</t>
  </si>
  <si>
    <t>16699</t>
  </si>
  <si>
    <t>Романтическая девушка - Весна. С чего начинается Женственность (вид 4)</t>
  </si>
  <si>
    <t>978-5-227-06700-5</t>
  </si>
  <si>
    <t>19192</t>
  </si>
  <si>
    <t>Романтическая неделя с шафером</t>
  </si>
  <si>
    <t>978-5-227-09031-7</t>
  </si>
  <si>
    <t>17302</t>
  </si>
  <si>
    <t>Романтический ланч для двоих</t>
  </si>
  <si>
    <t>978-5-227-07223-8</t>
  </si>
  <si>
    <t>19152</t>
  </si>
  <si>
    <t>Романтический поединок</t>
  </si>
  <si>
    <t>978-5-227-08965-6</t>
  </si>
  <si>
    <t>20501</t>
  </si>
  <si>
    <t>Романтический ультиматум</t>
  </si>
  <si>
    <t>978-5-227-10144-0</t>
  </si>
  <si>
    <t>В юном возрасте Росс де Кортни решает, что не хочет детей, и делает операцию. Когда мимолетная влюбленность заканчивается новостью о том, что он скоро станет папой, Росс решает, что его обманывают ради денег. Все перевернется в самый неподходящий момент — когда Росс решит спасти свою сестру от неудачного брака… Сможет ли Росс стать достойным отцом своему трехлетнему сыну?</t>
  </si>
  <si>
    <t>19035</t>
  </si>
  <si>
    <t>Романтическое испытание</t>
  </si>
  <si>
    <t>978-5-227-08911-3</t>
  </si>
  <si>
    <t>14478</t>
  </si>
  <si>
    <t>Ромашка, календула. Природные лекарства</t>
  </si>
  <si>
    <t>978-5-227-04402-0</t>
  </si>
  <si>
    <t>20772</t>
  </si>
  <si>
    <t>Незелоф П.</t>
  </si>
  <si>
    <t>Роскошная и трагическая жизнь Марии-Антуанетты. Из королевских покоев на эшафот</t>
  </si>
  <si>
    <t>978-5-9524-5995-3</t>
  </si>
  <si>
    <t>Мария-Антуанетта вошла в историю как самая беспечная королева Франции, чьи очарование и изящество были столь же неоспоримы и примечательны, сколь ее расточительность и безрассудство. Из этой книги вы узнаете, как проходили дни и ночи юной дофины, а затем и королевы, — влюбчивой и азартной, неутомимой на выдумки в устроении праздников и увеселений, полной страсти и жаждущей любви, — жизнь которой оборвалась на эшафоте под оскорбительные выкрики кровожадной толпы. Пьер Незелоф повествует о недолгой, но столь увлекательной жизни австрийской эрцгерцогини с рождения до последних минут с искренним восхищением ее великодушием и мужеством, проявленным перед лицом смерти.</t>
  </si>
  <si>
    <t>21138</t>
  </si>
  <si>
    <t>Российские самодержцы. От основателя династии Романовых царя Михаила до хранителя самодержавных ценностей Николая I</t>
  </si>
  <si>
    <t>978-5-227-10671-1</t>
  </si>
  <si>
    <t>Исторические очерки выдающегося русского ученого А.Е. Преснякова посвящены самодержавным правителям Русской земли — царям Михаилу Феодоровичу, Алексею Михайловичу, Александру I, Николаю I. Пресняков представляет правдивую картину существовавшей действительности и — главное — ее созидателей. Очерки автора отличает объективный анализ описываемых эпох, осмысление подлинной роли личности в истории, ее силу и слабости. С.Ф. Платонов, учитель А.Е. Преснякова, писал о нем как о замечательном исследователе, который «пытливо всматривался в явления окружающей жизни, благожелательно шел навстречу всему тому, в чем видел зерно грядущего развития и силы».</t>
  </si>
  <si>
    <t>21908</t>
  </si>
  <si>
    <t>Российско-японское противостояние на море. Дуэль флотов и разведок. 1875—1922</t>
  </si>
  <si>
    <t>978-5-227-11197-5</t>
  </si>
  <si>
    <t>Книга кандидата исторических наук А.Г. Зорихина посвящена истории становления и развития военно-морских флотов России и Японии, процессам оперативного планирования и разведывательного обеспечения их боевой деятельности, событиям Русско-японской войны на море и иностранной интервенции на российский Дальний Восток. Документальную канву книги составили ранее неизвестные читателям материалы из архивов МИД, Министерства обороны и Национального архива Японии, а также двух российских архивов. Почему погибла 2-я Тихоокеанская эскадра, какую роль в этом сыграла Великобритания, мог ли российский флот предотвратить японскую интервенцию — на эти и другие вопросы найдут ответы как историки-профессионалы, так и любители._x000D_
Книга снабжена богатым иллюстративным материалом.</t>
  </si>
  <si>
    <t>14972</t>
  </si>
  <si>
    <t>Яров С.</t>
  </si>
  <si>
    <t>Россия в 1917 - 2000 гг. Книга для всех, интересующихся отечественных историей.</t>
  </si>
  <si>
    <t>978-5-227-04807-3</t>
  </si>
  <si>
    <t>20095</t>
  </si>
  <si>
    <t>Россия в поворотный момент истории</t>
  </si>
  <si>
    <t>978-5-9524-5652-5</t>
  </si>
  <si>
    <t>21056</t>
  </si>
  <si>
    <t>Беккер С.</t>
  </si>
  <si>
    <t>Россия в Центральной Азии. Бухарский эмират и Хивинское ханство при власти императоров и большевиков. 1865–1924</t>
  </si>
  <si>
    <t>978-5-9524-5951-9</t>
  </si>
  <si>
    <t>Сеймур Беккер, американский историк, специализировавшийся на истории Российской империи конца XIX — начала XX в., в своем труде описывает поход на древние узбекские ханства — Бухару и Хиву и последующие отношения между Россией и двумя этими протекторатами. Автор показывает, как царское правительство смогло сохранить фактически анклавам России определенную политическую автономию. Но бурное развитие торговли и рост русских поселений положили конец изоляции ханств, а когда во время Первой мировой войны в Хиве разразилась гражданская война, Россия отказалась от политики невмешательства. Настоящая книга представляет собой также увлекательное исследование дворцовых интриг, этнического соперничества и экономической напряженности, описание обычаев и характера этой самобытной области, перекрестка древнего пути Восток—Запад…</t>
  </si>
  <si>
    <t>21154</t>
  </si>
  <si>
    <t>Россия выходит из войны. Советско-американские отношения, 1917–1918</t>
  </si>
  <si>
    <t>978-5-9524-6126-0</t>
  </si>
  <si>
    <t>Книга американского дипломата Джорджа Кеннана посвящена взаимоотношениям двух великих держав и установлению дипломатических связей в первые годы советской власти. Автор детально воссоздает события 1917–1918 гг. с точки зрения иностранца, опираясь на дневники, личную и деловую переписку представителей дипкорпуса, работников посольств Великобритании и США, а также частных лиц, оказавшихся в охваченном революцией Петрограде. Рассматривая обстоятельства выхода России из Первой мировой войны, Кеннан рассказывает о дипломатических играх, направленных на затягивание военных действий, а также отражает реакцию Запада на смену политического строя в России и утверждение правительства большевиков._x000D_
Дальнейшее развитие событий описано в книге Дж. Кеннана «Решение об интервенции».</t>
  </si>
  <si>
    <t>20873</t>
  </si>
  <si>
    <t>Сватиков С.Г.</t>
  </si>
  <si>
    <t>Россия и Дон. История донского казачества 1549—1917. Исследование по истории государственного и административного права и политических движений на Дону</t>
  </si>
  <si>
    <t>978-5-227-09122-2</t>
  </si>
  <si>
    <t>Предлагаем вашему вниманию адаптированную на современный язык уникальную монографию российского историка Сергея Григорьевича Сватикова. Книга посвящена донскому казачеству и является интересным исследованием гражданской и социально-политической истории Дона._x000D__x000D_
Сватиков изучил и проработал колоссальное количество монографий, общих трудов, статей и различных материалов, касающихся заявленной темы. История казачества представляет громадный интерес как ценный опыт разрешения самим народом вековых задач построения жизни на началах свободы и равенства. Книга обстоятельна, глубока и будет интересна не только профессиональным историкам.</t>
  </si>
  <si>
    <t>21450</t>
  </si>
  <si>
    <t>978-5-227-10892-0</t>
  </si>
  <si>
    <t>16259</t>
  </si>
  <si>
    <t>Елькин Д.</t>
  </si>
  <si>
    <t>Россия переворачивает страницу. Исторические зарисовки конца постсоветского периода. 2007-2014</t>
  </si>
  <si>
    <t>978-5-227-05965-9</t>
  </si>
  <si>
    <t>18025</t>
  </si>
  <si>
    <t>Россия, устремленная в будущее. Веское слово президента</t>
  </si>
  <si>
    <t>978-5-227-07831-5</t>
  </si>
  <si>
    <t>16570</t>
  </si>
  <si>
    <t>Россия. Надежды и тревоги</t>
  </si>
  <si>
    <t>978-5-227-05799-0</t>
  </si>
  <si>
    <t>21571</t>
  </si>
  <si>
    <t>Ростов-папа. История воровской столицы России. Конец XVIII — начало XX в.</t>
  </si>
  <si>
    <t>978-5-227-10980-4</t>
  </si>
  <si>
    <t>В книге в доступной форме изложена история зарождения, формирования и созревания криминального феномена под названием «Ростов-папа» — воровской столицы юга России. В книге впервые в отечественной историографии показана история преступности не с точки зрения борцов с ней, а, что называется, «с другой стороны баррикад». Проанализированы причины, исторические истоки и пути создания одного из крупнейших российских криминальных сообществ. Представлены основные уголовные специализации «столицы» и их виднейшие представители. Показан путь, который прошло преступное сообщество юга России от мелких разбойничьих шаек конца XVIII века до образования «воровского закона» и устойчивых организованных преступных группировок 30­х годов ХХ века.</t>
  </si>
  <si>
    <t>21533</t>
  </si>
  <si>
    <t>Мортон Ф.</t>
  </si>
  <si>
    <t>Ротшильды. История династии могущественных финансистов</t>
  </si>
  <si>
    <t>978-5-9524-6362-2</t>
  </si>
  <si>
    <t>Книга Фредерика Мортона - это увлекательная история клана могущественных финансистов. Их фамилия давно стала символом богатства, успеха и процветания. Члены этого семейства внесли огромный вклад в культуру и прославили свои имена на ниве благотворительности. В книге присутствует множество забавных, трагических и поучительных историй, в которых участвуют колоритнейшие персонажи: особы королевской крови, государственные мужи, поэты, художники.</t>
  </si>
  <si>
    <t>10097</t>
  </si>
  <si>
    <t>Рублевский Казанова</t>
  </si>
  <si>
    <t>978-5-9524-3261-1</t>
  </si>
  <si>
    <t>21734</t>
  </si>
  <si>
    <t>Кавана Д.</t>
  </si>
  <si>
    <t>Рудольф Нуреев. Жизнь</t>
  </si>
  <si>
    <t>978-5-9524-6457-5</t>
  </si>
  <si>
    <t>Балерина в прошлом, а в дальнейшем журналист и балетный критик, Джули Кавана написала великолепную, исчерпывающую биографию Рудольфа Нуреева на основе огромного фактографического, архивного и эпистолярного материала. Она правдиво и одновременно с огромным чувством такта отобразила душу гения на фоне сложнейших поворотов его жизни и борьбы за свое уникальное место в искусстве.</t>
  </si>
  <si>
    <t>0105</t>
  </si>
  <si>
    <t>Рука в кувшине</t>
  </si>
  <si>
    <t>978-5-227-07003-6</t>
  </si>
  <si>
    <t>17593</t>
  </si>
  <si>
    <t>Рука в руке. Кинестетическая коррекционная хирология. Знания, которые помогут изменить судьбу</t>
  </si>
  <si>
    <t>978-5-227-07370-9</t>
  </si>
  <si>
    <t>5645</t>
  </si>
  <si>
    <t>Благинина</t>
  </si>
  <si>
    <t>Рукавичка</t>
  </si>
  <si>
    <t>5-9524-1532-6</t>
  </si>
  <si>
    <t>15186</t>
  </si>
  <si>
    <t>Руководство к помолвке</t>
  </si>
  <si>
    <t>978-5-227-05215-5</t>
  </si>
  <si>
    <t>19286</t>
  </si>
  <si>
    <t>Герлинг П., Муфий Б.</t>
  </si>
  <si>
    <t>Руководство по выбору мужей/Руководство по выбору жен (книга-перевертыш)</t>
  </si>
  <si>
    <t>978-5-227-07827-8</t>
  </si>
  <si>
    <t>21628</t>
  </si>
  <si>
    <t>ОТМ</t>
  </si>
  <si>
    <t>Руны — оружие воина (цветная). Уникальный магический инструмент для выхода на новый уровень</t>
  </si>
  <si>
    <t>978-5-227-10999-6</t>
  </si>
  <si>
    <t>Руны — уникальный магический инструмент, через который можно постичь суть северной магии. Руны могут многое — и исправить, и навредить, это зависит от того, в чьих руках они находятся. Поэтому древние делили людей на касты и следили за тем, чтобы магические инструменты не попали в руки недостойных. Только тот, кто честен, способен слышать шёпот рун. Таковы воины, и руны их оружие. Воин — не профессия, а состояние сознания. С ним либо рождаются, либо воспитывают в себе в течение жизни, становясь тем, кто не способен на ложь, потому что она нарушает законы мира. Предлагаем всем, кто готов встать на путь воина — добровольный путь трансформации и личностного роста, вместе с книгой поработать над собой, догрузить в себя недостающие алгоритмы умений и возможностей, раскрыть скрытое и получить недоступное.</t>
  </si>
  <si>
    <t>21827</t>
  </si>
  <si>
    <t>Руны — оружие воина. Уникальный магический инструмент для выхода на новый уровень</t>
  </si>
  <si>
    <t>978-5-227-11177-7</t>
  </si>
  <si>
    <t>"Руны — уникальный магический инструмент, через который можно постичь суть северной магии. Древние маги и волхвы, познавая руны, чувствуя через них все грани мироздания, учились изменять эти грани в соответствии с правилами этого мира. Не нарушая его, но исправляя его.
Руны могут многое — и исправить, и навредить, это зависит от того, в чьих руках они находятся. Поэтому древние делили людей на касты и следили за тем, чтобы магические знания и инструменты не попали в руки недостойных. Только тот, кто способен быть честным, способен держать в руках руны и слышать их шёпот. 
Нижние касты — купцы и земледельцы — не способны почувствовать этот мир, как единый организм, но это может человек уровня воина, ведь в его сознании есть жёсткая установка, что ложь — постыдное занятие. Руны — оружие воинов, они не приемлют лжи и лукавства. Руны требуют полной самоотдачи и готовности пройти любые трансформации, которые превратят простого человека в воина. Воин — это не профессия, это состояние сознания, не зависящее от пола, возраста и происхождения. С ним либо рождаются, либо воспитывают в себе в течение жизни, становясь тем, кто не способен на ложь физически, потому что ложь нарушает законы мира.
Предлагаем всем, кто готов встать на путь воина — добровольный путь трансформации и колоссального личностного роста, вместе с этой книгой поработать над собой, догрузить в себя недостающие алгоритмы умений и возможностей, раскрыть скрытое и получить недоступное. В реальной жизни на это уходят годы, руны же могут вывести вас на путь ускорения процессов развития разума, но взамен возьмут концентрированно эмоциями, временем и трудом…"</t>
  </si>
  <si>
    <t>21377</t>
  </si>
  <si>
    <t>Руны и боги. Древние сакральные знания о рунах, богах и мирах, о северной магии и её тайнах</t>
  </si>
  <si>
    <t>978-5-227-10835-7</t>
  </si>
  <si>
    <t>Изучать руническую магию можно по-разному. Обычно люди, которые впервые применяют руны, делают это для решения бытовых задач: себя подлечить, близким помочь, денег притянуть, любовь приманить – словом, всё, что близко сердцу и потребно телу. Никто не говорит, что это мелко или неправильно – мы всем этим занимаемся и заниматься будем, в том числе и на страницах этой книги. Но в первую очередь изучающего руническую магию интересуют не столько бытовые эффекты, сколько собственная трансформация. Обычному колдовству можно научиться где угодно и достичь в этом деле ощутимых результатов; и хоть к магии это имеет косвенное отношение, но тоже вполне имеет право быть. Моих учеников в большей степени интересует магия и личное магическое преображение, а это значит, что нам придётся изучать вопрос и глубже, и шире. Нам нужна дополнительная сила и дополнительные знания, чтобы понимать не только как работает магическая формула или намерение, но и почему._x000D_
В этой книге будут изложены основные и обязательные к исполнению законы. Мы подробно разберём силы, пронизывающие этот мир через соединение с пантеоном северных богов. Научимся писать рунические формулы и грамотно использовать их. Изучим те ставы, которые приносят реальный и вполне ощутимый результат; попробуем понять, как именно они работают.</t>
  </si>
  <si>
    <t>21486</t>
  </si>
  <si>
    <t>Руны и магия. Правила вхождения в руны. Совмещение магии и религии. Переход из христианства в язычество. Выход из-под эгрегориальной зависимости</t>
  </si>
  <si>
    <t>978-5-227-10987-3</t>
  </si>
  <si>
    <t>Перед вами седьмая книга серии «Магия в вопросах и ответах», и каждая из них поможет читателю узнать что-то сокровенное.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вопросы…_x000D_
В этой книге мы немного поговорим о рунах и узнаем, что руны — это многоуровневая, многослойная система познания, трансформации, управления, это порталы, это каналы, это ключи и связи… Изучим правила вхождения в руны. Узнаем, возможно ли совмещение магии и религии. Получим информацию о том, можно ли смешивать в одной магической формуле несколько традиций. Прочитаем, как правильно закрыть долги при переходе из христианства в язычество и как определить, велика ли эта задолженность. А также поймём, в чём выражается эгрегориальная зависимость и как от неё избавиться.</t>
  </si>
  <si>
    <t>21866</t>
  </si>
  <si>
    <t>Руны раскрывают тайны Мира. Древние знания в магических символах</t>
  </si>
  <si>
    <t>978-5-227-11161-6</t>
  </si>
  <si>
    <t>Руны — это магические символы, которыми пользовались люди в дохристианскую эпоху. Люди, которые прикасаются к рунам, перестают быть обычными людьми. Методика, на которой построена эта книга, дает возможность использовать руны для изменения, прежде всего, своего внутреннего мира — расширения сознания до уровня полного понимания событий и управления ими. Этот уровень магии дает колоссальные возможности._x000D_
Эта книга — живая. Она построена на реальных переживаниях реальных людей, которые изучали руны. Эти люди изменили себя, переписали свою судьбу, изменили судьбу своих детей, и на страницах книги они рассказывают об этом._x000D_
Следуйте изложенной методике — и вы научитесь мастерству, откроете для себя возможности и мощь древнего магического инструмента._x000D_
ИМЯ ЕМУ — РУНЫ.</t>
  </si>
  <si>
    <t>19468</t>
  </si>
  <si>
    <t>Русалки. Творческая раскраска</t>
  </si>
  <si>
    <t>978-5-9524-5485-9</t>
  </si>
  <si>
    <t>20890</t>
  </si>
  <si>
    <t>Русская Армия в изгнании</t>
  </si>
  <si>
    <t>978-5-227-10019-1</t>
  </si>
  <si>
    <t>Книга представляет собой тринадцатый том серии, посвященной Белому движению в России и истории Русской Армии генерала П.Н. Врангеля после 1921 года, когда было принято решение о ее перебазировании в Болгарию и Югославию. Показано, как постепенно чины армии стали рассеиваться по всей Европе и другим континентам, как в 1924 году был создан Русский общевоинский союз (РОВС), крупнейшая военная организация русской эмиграции. В нескольких мемуарах рассказывается об участии, в ряде случаев выдающемся, русских воинских подразделений в событиях внутренней жизни в Албании, Болгарии, Иране, Парагвае. _x000D__x000D_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</si>
  <si>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20891</t>
  </si>
  <si>
    <t>Русская Армия генерала Врангеля. Бои на Кубани и в Северной Таврии</t>
  </si>
  <si>
    <t>978-5-227-10075-7</t>
  </si>
  <si>
    <t>Книга представляет собой четырнадцатый том серии, посвященной Белому движению в России, и охватывает события первых месяцев истории Русской Армии после эвакуации из Новороссийска и Одессы в Крым части Вооруженных сил на Юге России (март — август 1920 г.)._x000D__x000D_
В книге детально представлен сложный процесс передачи командования ВСЮР от генерала А.И. Деникина к генералу П.Н. Врангелю. Подробно описаны действия нового командования по воссозданию боеспособной армии и ее духа, переходу в контрнаступление и проведению военных операций в Северной Таврии и на Кубани. Эти и последующие акции позволили белому воинству достойно завершить 3-летнюю Гражданскую войну и уйти в изгнание с гордо поднятой головой. «Слава побежденным!» — такими словами заканчивается один из фрагментов этой книги._x000D__x000D_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</si>
  <si>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20839</t>
  </si>
  <si>
    <t>Русская армия на чужбине. Галлиполийская эпопея</t>
  </si>
  <si>
    <t>978-5-227-10018-4</t>
  </si>
  <si>
    <t>Книга представляет собой двенадцатый том серии, посвященной истории Белого движения в России и пребыванию Русской Армии генерала П.Н. Врангеля в лагерях в Галлиполи и других местах в течение первого года после ее эвакуации из Крыма в конце 1920 г._x000D_
Показан трагизм положения русских воинов, когда приходилось бороться с голодом, холодом, жарой, болезнями, недоброжелательством бывших союзников. Тем не менее, Врангель и его окружение (в первую очередь, Кутепов, Кусонский, Шатилов), прилагая неимоверные усилия, сумели сохранить наиболее надежные и подготовленные кадры своей армии и подготовили ее к перебазированию в Болгарию и Югославию._x000D_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</si>
  <si>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19852</t>
  </si>
  <si>
    <t>Русская баня — целитель</t>
  </si>
  <si>
    <t>978-5-227-09544-2</t>
  </si>
  <si>
    <t>21567</t>
  </si>
  <si>
    <t>Голубинцев А.В.</t>
  </si>
  <si>
    <t>Русская Вандея. Очерки Гражданской войны на Дону. 1917—1920 гг.</t>
  </si>
  <si>
    <t>978-5-227-10865-4</t>
  </si>
  <si>
    <t>Александр Васильевич Голубинцев — генерал-майор донских частей Белой армии. С 1902 года служил в 3-м Донском Ермака Тимофеевича полку. В 1917 году он был командиром родного полка. В начале 1918 года Голубинцев вывел свой полк с фронта на Дон и… распустил казаков по домам. Не все его поняли — он с полным смирением принял новую власть, что казалось удивительным… Но от смирения Голубинцев был далек. 25 апреля 1918 года казачий съезд Усть-Хоперской станицы решил: «Не подчиняться существующей советской власти…» Голубинцев занял пост начальника гарнизона станицы Усть-Хоперской и командира казачьего отряда. Логика развития событий привела А.В. Голубинцева в Белую армию, где он командовал крупными казачьими соединениями, дивизиями и бригадами из нескольких дивизий… С ноября 1919 года А.В. Голубинцев — генерал-майор…_x000D_
После эвакуации белых из Крыма Голубинцев оказался в Болгарии. Он преподавал на офицерских курсах РОВС и работал над воспоминаниями о Гражданской войне. Завершил книгу А.В. Голубинцев в 1925 году… но первое издание появилось только в 1959 году. За это время с генералом произошли удивительные метаморфозы… «В эмиграцию мы привезли с собою горсть родной земли и смертельную ненависть к большевикам», — писал он в финале. Эта ненависть привела А.В. Голубинцева к сотрудничеству с фашистами, что оттолкнуло от него многих единомышленников. В конце Второй мировой войны он попал в американский лагерь для военнопленных, благодаря чему избежал казни как предатель родины. В 1955 году Голубинцев перебрался в США, где и скончался через восемь лет. На родине он был забыт. Между тем его рассказ представляет интерес. Генерал Голубинцев был лично причастен к важным событиям, оставившим след в истории донского казачества.</t>
  </si>
  <si>
    <t>18276</t>
  </si>
  <si>
    <t>Миддельдорф Э.</t>
  </si>
  <si>
    <t>Русская военная кампания. Опыт Второй мировой войны. 1941—1945</t>
  </si>
  <si>
    <t>978-5-9524-5322-7</t>
  </si>
  <si>
    <t>16252</t>
  </si>
  <si>
    <t>Поликарпов В.В.</t>
  </si>
  <si>
    <t>Русская военно-промышленная политика</t>
  </si>
  <si>
    <t>978-5-227-06136-2</t>
  </si>
  <si>
    <t>17193</t>
  </si>
  <si>
    <t>Русская земля. Между язычеством и христианством. От князя Игоря до сына Святослава</t>
  </si>
  <si>
    <t>978-5-227-07134-7</t>
  </si>
  <si>
    <t>20564</t>
  </si>
  <si>
    <t>Русская историография. Развитие исторической науки в России в XVIII—XX вв.</t>
  </si>
  <si>
    <t>978-5-9524-5898-7</t>
  </si>
  <si>
    <t>Автор настоящего исследования Г.В. Вернадский — историк-евразиец, специалист по истории России, профессор русской истории Йельского университета в США, один из основателей американской школы русской историографии, доктор гуманитарных наук. В своей книге он уделяет внимание развитию историографии в России от XVIII до начала XX века. В ней говорится об идеях, оказавших влияние на русскую историческую науку, об изучении всеобщей истории, археологии и искусства, даны сведения и характеристики творчества ведущих российских историков Н. Костомарова, Н. Карамзина, В. Ключевского, С. Соловьева, И. Грабаря и др.</t>
  </si>
  <si>
    <t>21359</t>
  </si>
  <si>
    <t>Любавский М.К.</t>
  </si>
  <si>
    <t>Русская история с древних времен до конца  XVIII века</t>
  </si>
  <si>
    <t>978-5-227-10845-6</t>
  </si>
  <si>
    <t>В настоящем издании собраны сочинения выдающегося российского ученого, автора целого ряда трудов по истории славян Матвея Кузьмича Любавского. В течение многих лет академик Любавский преподавал русскую историю в Московском университете. Его блистательные лекции легли в основу этого всеобъемлющего труда. Привлекая различные документальные источники, автор исследует происхождение славянских племен, становление и развитие русской государственности, культуру, быт, традиции народов, населяющих территории Руси, дает яркие портреты ключевых фигур, действующих в русской истории, сопровождая повествование объективным и подробным изложением основных исторических фактов.</t>
  </si>
  <si>
    <t>21887</t>
  </si>
  <si>
    <t>Сергеев С.М.</t>
  </si>
  <si>
    <t>Русская нация, или Рассказ об истории ее отсутствия</t>
  </si>
  <si>
    <t>978-5-227-11178-4</t>
  </si>
  <si>
    <t>Предлагаемая книга, ставшая завершением многолетних исследований автора, не является очередной историей России. Это именно история русской нации. Поэтому читателю, думающему почерпнуть здесь элементарные сведения об отечественном прошлом, лучше обратиться к другим работам, благо их множество. Судя по электронному каталогу Российской государственной библиотеки, на русском языке не существует ни одной книги с названием «История русской нации». На первый взгляд это кажется досадной нелепостью, очередной грустной иллюстрацией к пушкинскому: «Мы ленивы и нелюбопытны». На самом же деле за этим фактом стоит сама логика русской истории. Ибо вовсе не случайно отечественная историография предпочитает описывать историю государства Российского, а не историю русского народа.</t>
  </si>
  <si>
    <t>17635</t>
  </si>
  <si>
    <t>Русская нация. Национализм и его враги</t>
  </si>
  <si>
    <t>978-5-227-07513-0</t>
  </si>
  <si>
    <t>21791</t>
  </si>
  <si>
    <t>Русская революция. 1917</t>
  </si>
  <si>
    <t>978-5-9524-5714-0</t>
  </si>
  <si>
    <t>А.Ф. Керенский (1881—1970), министр-председатель Временного правительства, воссоздает события Февральской и Октябрьской революций, изменившие судьбу России и всего мира. Он предлагает свое видение сложившейся в 1917 году политической ситуации, объясняет необходимость принятия тех или иных решений, говорит о роли большевиков и мятеже генерала Корнилова.</t>
  </si>
  <si>
    <t>20168</t>
  </si>
  <si>
    <t>Русская рулетка</t>
  </si>
  <si>
    <t>978-5-227-09757-6</t>
  </si>
  <si>
    <t>18970</t>
  </si>
  <si>
    <t>Русская сила графа Соколова</t>
  </si>
  <si>
    <t>978-5-227-07908-4</t>
  </si>
  <si>
    <t>21200</t>
  </si>
  <si>
    <t>Русская эмиграция в борьбе с большевизмом</t>
  </si>
  <si>
    <t>978-5-227-10138-9</t>
  </si>
  <si>
    <t>Книга представляет собой 26-й том из серии, посвященной Белому движению в России, и знакомит с борьбой русской военной эмиграции против советского режима в 20—30-х годах, то есть после завершения боевых действий на территории исторической России._x000D_
В 1924 г. Русская армия на чужбине была преобразована в Русский Обще-Воинский Союз (РОВС), и в практике антисоветской борьбы на первое место выдвинулась засылка в?СССР небольших боевых групп. До 2-й мировой войны лозунг «Кубанский поход продолжается!» владел умами большинства офицеров-эмигрантов, и большевистская разведка считала борьбу с русской военной эмиграцией главным направлением своей деятельности._x000D_
Значительное место в книге уделено описанию известной операции «Трест», но со стороны белых, и истории Боевой Организации генерала А.П. Кутепова. Особый интерес представляет и описание дела Б. Коверды, убившего на перроне Варшавского вокзала советского дипломата Войкова. Войков был убит не как посланник, а как «член коминтерна и за Россию», — говорил на процессе Коверда._x000D_
Книга снабжена обширными и впервые публикуемыми комментариями, содержащими несколько сот неизвестных биографических справок об авторах и героях очерков.</t>
  </si>
  <si>
    <t>21545</t>
  </si>
  <si>
    <t>Русские анархисты. 1905—1922</t>
  </si>
  <si>
    <t>978-5-9524-5831-4</t>
  </si>
  <si>
    <t>В книге рассказывается о том, как в начале XX века промышленная революция и социальный хаос вызвали к жизни вооруженное движение анархистов. Традиции русских анархистов представляли собой смесь западных и доморощенных элементов. Пропущенные через призму учений Бакунина, Кропоткина и наивного популизма, они бурно развивались в ходе революций 1905 и 1917 годов. Анархизм в России активизировался и шел на спад вместе с развитием революционного движения в целом. В водовороте восстаний, террористических актов и Гражданской войны анархисты пытались реализовать свою программу, но потерпели поражение, вытесненные с политической арены большевиками.</t>
  </si>
  <si>
    <t>4204</t>
  </si>
  <si>
    <t>Русские граверы и литографы</t>
  </si>
  <si>
    <t>5-9524-0475-8</t>
  </si>
  <si>
    <t>5670</t>
  </si>
  <si>
    <t>Верещагин</t>
  </si>
  <si>
    <t>Русские иллюстрированные издания XVIII и XIX</t>
  </si>
  <si>
    <t>5-9524-1474-5</t>
  </si>
  <si>
    <t>19866</t>
  </si>
  <si>
    <t>РИ НОВ</t>
  </si>
  <si>
    <t>Березин Н.И.</t>
  </si>
  <si>
    <t>Русские книжные редкости. Опыт библиографического описания редких книг с указанием их ценности</t>
  </si>
  <si>
    <t>978-5-227-09680-7</t>
  </si>
  <si>
    <t>16083</t>
  </si>
  <si>
    <t>Русские предприниматели. Двигатели прогресса</t>
  </si>
  <si>
    <t>978-5-227-05982-6</t>
  </si>
  <si>
    <t>18057</t>
  </si>
  <si>
    <t>Буткевич Т.</t>
  </si>
  <si>
    <t>Русские секты и их толки</t>
  </si>
  <si>
    <t>978-5-227-07820-9</t>
  </si>
  <si>
    <t>20216</t>
  </si>
  <si>
    <t>Унбегаун Б.</t>
  </si>
  <si>
    <t>Русские фамилии. История происхождения, значение и национальные черты наследственных родовых имен</t>
  </si>
  <si>
    <t>978-5-9524-5545-0</t>
  </si>
  <si>
    <t>21550</t>
  </si>
  <si>
    <t>Хохоф К.</t>
  </si>
  <si>
    <t>Русский дневник солдата вермахта. От Вислы до Волги. 1941—1943</t>
  </si>
  <si>
    <t>978-5-9524-6225-0</t>
  </si>
  <si>
    <t>За годы Второй мировой войны Курт Хохоф, служа в вооруженных силах Германии, прошел путь от рядового солдата до офицера. Он принимал участие в действиях гитлеровской армии на территориях Польши, Франции и Советского Союза. В обязанности связного Курта Хохофа входило ведение журнала боевых действий его полка, что помогло ему восстановить события, участником и свидетелем которых он являлся. Обладая несомненным литературным талантом, хорошо образованный немец подробно описывает жестокие бои на Днепре, на подступах к Дону и под Сталинградом, упорное сопротивление Красной армии. И о том, как он размышлял о будущем Германии, как наступило отрезвление и понимание надвигающейся катастрофы.</t>
  </si>
  <si>
    <t>18005</t>
  </si>
  <si>
    <t>Русский Лондон</t>
  </si>
  <si>
    <t>978-5-227-07830-8</t>
  </si>
  <si>
    <t>18233</t>
  </si>
  <si>
    <t>Томчин А.</t>
  </si>
  <si>
    <t>Русский менталитет. Рашен - безбашен? За что русским можно простить любые недостатки</t>
  </si>
  <si>
    <t>978-5-227-07863-6</t>
  </si>
  <si>
    <t>17800</t>
  </si>
  <si>
    <t>Ковалевский П</t>
  </si>
  <si>
    <t>Русский национализм</t>
  </si>
  <si>
    <t>978-5-227-07517-8</t>
  </si>
  <si>
    <t>21611</t>
  </si>
  <si>
    <t>Ганин А.В</t>
  </si>
  <si>
    <t>Русский офицерский корпус в годы Гражданской войны. Противостояние командных кадров. 1917–1922 гг.</t>
  </si>
  <si>
    <t>978-5-227-11036-7</t>
  </si>
  <si>
    <t>В период Гражданской войны в России 1917—1922 гг. вопрос управления вооруженными силами стал особенно актуальным. Старая Россия ушла в небытие, а на ее руинах возникло множество государственных образований, которые стали формировать собственные армии и нуждались в офицерах. Основным источником комплектования этих армий командным составом оказались офицеры старой русской армии. В монографии известного специалиста по истории Г ражданской войны в России и русскому офицерскому корпусу первой четверти ХХ в. доктора исторических наук А.В. Ганина впервые на основе документов российских и зарубежных архивов проанализирована роль офицерства в создании противоборствующих армий Гражданской войны. Книга предназначена для всех интересующихся военно-политической историей России и сопредельных государств в революционную эпоху.</t>
  </si>
  <si>
    <t>16113</t>
  </si>
  <si>
    <t>Русско-итальянский суперразговорник и словарь</t>
  </si>
  <si>
    <t>978-5-227-06089-1</t>
  </si>
  <si>
    <t>18419</t>
  </si>
  <si>
    <t>Темушев В. Н.</t>
  </si>
  <si>
    <t>Русско-литовское пограничье. Гомельская земля в конце XV — первой половине XVI в.</t>
  </si>
  <si>
    <t>978-5-227-08422-4</t>
  </si>
  <si>
    <t>21847</t>
  </si>
  <si>
    <t>Русско­японская война. 1904—1905</t>
  </si>
  <si>
    <t>978-5-9524-6539-8</t>
  </si>
  <si>
    <t>В книге подробно и ярко описывается ход военных действий между Россией и Японией в 1904–1905 годах. Автор исследует предпосылки вооруженного конфликта двух мощных держав, анализирует причины поражения русских войск, а также описывает важнейшие, имеющие поворотное значение в Русско-японской войне, сражения – осаду и капитуляцию Порт-Артура, бои на Желтом и Японском морях.</t>
  </si>
  <si>
    <t>21219</t>
  </si>
  <si>
    <t>Пыпин А.Н.</t>
  </si>
  <si>
    <t>Русское масонство. Символы, принципы и ритуалы тайного общества в эпоху Екатерины II и Александра I</t>
  </si>
  <si>
    <t>978-5-9524-6157-4</t>
  </si>
  <si>
    <t>Профессор А.Н. Пыпин в своем исследовании прослеживает историю русского масонства от учреждения первых лож в начале ХVIII в. до полного запрета на деятельность тайных обществ в 1829 г. В книге, вышедшей в 1916 г. под редакцией историка Г.В. Вернадского и не потерявшей актуальности по сей день, собраны и систематизированы бесценные материалы по истории духовных братств и орденов Российской империи. В очерках, составляющих данный труд, изложено сказание о Гираме, легендарном строителе Храма царя Соломона, описан ритуал принятия в масонскую ложу, рассмотрены особенности устава вольных каменщиков, розенкрейцеров и тамплиеров, а также прослеживается эволюция взглядов верховной власти на деятельность лож.</t>
  </si>
  <si>
    <t>5998</t>
  </si>
  <si>
    <t>Рыба меч</t>
  </si>
  <si>
    <t>5-9524-1559-8</t>
  </si>
  <si>
    <t>16620</t>
  </si>
  <si>
    <t>Рыбные блюда в мультиварке</t>
  </si>
  <si>
    <t>978-5-227-06346-5</t>
  </si>
  <si>
    <t>17680</t>
  </si>
  <si>
    <t>Рыжеволосая чаровница</t>
  </si>
  <si>
    <t>978-5-227-07703-5</t>
  </si>
  <si>
    <t>18338</t>
  </si>
  <si>
    <t>Рыжий дьявол</t>
  </si>
  <si>
    <t>978-5-227-07862-9</t>
  </si>
  <si>
    <t>3241</t>
  </si>
  <si>
    <t>Н МОД</t>
  </si>
  <si>
    <t>Грубер Ф.</t>
  </si>
  <si>
    <t>Рынок для убийства</t>
  </si>
  <si>
    <t>5-227-01785-9</t>
  </si>
  <si>
    <t>21367</t>
  </si>
  <si>
    <t>Половцов Л.В.</t>
  </si>
  <si>
    <t>Рыцари тернового венца: Зарождение Белого движения, становление Добровольческой армии и Первый Кубанский (Ледяной) поход 1918 года</t>
  </si>
  <si>
    <t>978-5-227-10439-7</t>
  </si>
  <si>
    <t>Гражданская война, поистине братоубийственная, остается одной из самых страшных и горьких страниц истории России. Основная борьба шла между большевиками и их сторонниками (красными) и не принявшими советскую власть антибольшевистскими силами (белыми), хотя в сложный клубок боевых действий вмешались и другие вооруженные формирования различных политических сил. Безумная конфронтация разных лагерей, сформировавшихся в некогда едином российском обществе, привела к большой крови и обоюдной жестокости. Гражданская война – сложная тема, и свидетельства очевидцев и участников боевых действий дают много пищи для размышлений. Книга воспоминаний «Рыцари тернового венца» была написана в эмиграции Львом Викторовичем Половцовым – человеком, стоявшим у истоков Белого движения и формирования Добровольческой армии, принимавшим непосредственное участие в Первом Кубанском (Ледяном) походе. Член Государственной думы Л.В. Половцов не принял революционные преобразования 1917 года и новую власть. Он оказался на Дону — Область войска Донского не поддержала большевиков и объявила о своей автономии. На Дон начали стекаться беженцы из Центральной России, офицеры, политики, предприниматели… Л.В. Половцов, не задумываясь, примкнул к добровольцам формирующейся армии и прошел с ними боевой путь, названный позже Ледяным походом…</t>
  </si>
  <si>
    <t>19884</t>
  </si>
  <si>
    <t>Райли-Смит Д.</t>
  </si>
  <si>
    <t>Рыцари­госпитальеры в Иерусалиме и на Кипре. Становление и развитие могущественного военно-религиозного ордена</t>
  </si>
  <si>
    <t>978-5-9524-5601-3</t>
  </si>
  <si>
    <t>21311</t>
  </si>
  <si>
    <t>Рыцарские доспехи Европы. Универсальный обзор музейных коллекций</t>
  </si>
  <si>
    <t>978-5-9524-6228-1</t>
  </si>
  <si>
    <t>"Книга посвящена истории защитного вооружения средневековой Европы. Автор приводит обзор развития защитного воинского облачения с 1066 года, когда только начиналась эпоха кольчуги, по 1700 год, когда рыцарские доспехи обрели декоративный характер.
Автор подробно прослеживает эволюцию кольчуги, шлема, лат, рукавиц, наплечников и других элементов рыцарского снаряжения, объясняет значение терминов, употребляемых коллекционерами, дает представление о стилях и школах итальянских, германских и французских оружейников. Текст сопровождается многочисленными фотографиями и рисунками образцов защитного вооружения, хранящихся в?крупнейших музеях мира."</t>
  </si>
  <si>
    <t>21860</t>
  </si>
  <si>
    <t>Клифан К.</t>
  </si>
  <si>
    <t>Рыцарский турнир. Турнирный этикет, доспехи и вооружение</t>
  </si>
  <si>
    <t>978-5-9524-6549-7</t>
  </si>
  <si>
    <t>Клифан Колтман в своей уникальной книге «Рыцарский турнир» рассказывает о тонкостях проведения ристалищных сражений во Франции, Германии, Англии, Италии. Предмет исследования рассматривается с различных точек зрения, привлекается огромное количество информации из германских источников. Автор передает подлинную атмосферу Средневековья, в ярких красках демонстрирует самые знаменитые поединки тех времен, детально касается всех особенностей латного облачения и вооружения рыцарей.</t>
  </si>
  <si>
    <t>10752</t>
  </si>
  <si>
    <t>Рыцарь для дамы с ребенком</t>
  </si>
  <si>
    <t>978-5-9524-3836-1</t>
  </si>
  <si>
    <t>14368</t>
  </si>
  <si>
    <t>Арджент Р.</t>
  </si>
  <si>
    <t>Рыцарь зимы</t>
  </si>
  <si>
    <t>978-5-227-04436-5</t>
  </si>
  <si>
    <t>21682</t>
  </si>
  <si>
    <t>Рыцарь и его доспехи. Латное облачение и вооружение</t>
  </si>
  <si>
    <t>978-5-9524-6434-6</t>
  </si>
  <si>
    <t>Окшотт, известный историк и знаток Средневековья, рассказывает о вооружении и доспехах рыцаря — визитной карточке воина, демонстри­рующей его место в обществе, степень богатства и опыт в военном деле. Автор рассказывает о производстве латного облачения, перечисляет все известные типы мечей, кинжалов и многие другие виды оружия для средневековых поединков.</t>
  </si>
  <si>
    <t>21742</t>
  </si>
  <si>
    <t>Рыцарь и его замок. Средневековые крепости и осадные сооружения</t>
  </si>
  <si>
    <t>978-5-9524-6471-1</t>
  </si>
  <si>
    <t>Окшотт, известный историк и знаток Средневековья, рассказывает о разновидностях средневековых поместий, представляющих собой сложную систему крепостных укреплений и осадных сооружений. Замок рыцаря — его личная вселенная, и Окшотт детально воссоздает эпоху феодализма, показывая, как менялось время, а вместе с ним менялось отношение человека к жилищу и всему, что его окружает.</t>
  </si>
  <si>
    <t>20222</t>
  </si>
  <si>
    <t>Оливер Мелисса</t>
  </si>
  <si>
    <t>Рыцарь леди Элеоноры</t>
  </si>
  <si>
    <t>978-5-227-09834-4</t>
  </si>
  <si>
    <t>10927</t>
  </si>
  <si>
    <t>Аркес Неус</t>
  </si>
  <si>
    <t>Рыцарь на час, оплата по fakту</t>
  </si>
  <si>
    <t>978-5-9524-4073-9</t>
  </si>
  <si>
    <t>16837</t>
  </si>
  <si>
    <t>Рыцарь пяти королей. История Ульмана Маршала, прославленного героя Средневековья</t>
  </si>
  <si>
    <t>978-5-227-06777-7</t>
  </si>
  <si>
    <t>16838</t>
  </si>
  <si>
    <t>978-5-227-06778-4</t>
  </si>
  <si>
    <t>18081</t>
  </si>
  <si>
    <t>Д’Эст С., Малышев А.</t>
  </si>
  <si>
    <t>Рыцарь Смерти</t>
  </si>
  <si>
    <t>978-5-227-08205-3</t>
  </si>
  <si>
    <t>16917</t>
  </si>
  <si>
    <t>С места наезда скрылся</t>
  </si>
  <si>
    <t>978-5-227-06797-5</t>
  </si>
  <si>
    <t>18736</t>
  </si>
  <si>
    <t>С тобой готова на все</t>
  </si>
  <si>
    <t>978-5-227-08579-5</t>
  </si>
  <si>
    <t>19737</t>
  </si>
  <si>
    <t>С тобой мое сердце</t>
  </si>
  <si>
    <t>978-5-227-09405-6</t>
  </si>
  <si>
    <t>18225</t>
  </si>
  <si>
    <t>С тобой, словно в раю</t>
  </si>
  <si>
    <t>978-5-227-08216-9</t>
  </si>
  <si>
    <t>21584</t>
  </si>
  <si>
    <t>Воейков В.Н.</t>
  </si>
  <si>
    <t>С царем и без царя. Воспоминания последнего дворцового коменданта императора Николая II</t>
  </si>
  <si>
    <t>978-5-227-11030-5</t>
  </si>
  <si>
    <t>В мемуарах генерал-майора В.Н. Воейкова (1868—1947) описаны последние пять лет правления Николая II — мирные годы до вступления России в Первую мировую войну и драматические события революционного лихолетья. В книгу включены записи бесед и выдержки из личной переписки с августейшей четой, видными государственными и политическими деятелями. С необычайной теплотой автор вспоминает истории, связанные с великими княжнами и цесаревичем Алексеем, а также яркие эпизоды из жизни при дворе — костюмированный бал 1913 года, елки, парады, высочайшие визиты и выезды. Особый интерес представляют записи В.Н. Воейкова об участии российских атлетов в летних играх 1912 года в Стокгольме и развитии Олимпийского движения в Российской империи. Книга воспоминаний наполнена светлой грустью об ушедшей эпохе и надеждой на скорое возрождение России.</t>
  </si>
  <si>
    <t>16727</t>
  </si>
  <si>
    <t>Сад и огород без затрат и хлопот</t>
  </si>
  <si>
    <t>978-5-227-06693-0</t>
  </si>
  <si>
    <t>12044</t>
  </si>
  <si>
    <t>Садово-огородные хитрости. Постройки и инвентарь</t>
  </si>
  <si>
    <t>978-5-227-02215-8</t>
  </si>
  <si>
    <t>16676</t>
  </si>
  <si>
    <t>978-5-227-06667-1</t>
  </si>
  <si>
    <t>21267</t>
  </si>
  <si>
    <t>Брук К.</t>
  </si>
  <si>
    <t>Саксонские и нормандские короли. 450—1154</t>
  </si>
  <si>
    <t>978-5-9524-6165-9</t>
  </si>
  <si>
    <t>Кристофер Брук, историк, профессор Лондонского университета, посвятил свою книгу истории королевской власти в Англии. Наблюдая за сменой королей на престоле, автор сообщает не только даты их правления и сражений, он дает представление о том, какими они были: их вкусы, интересы и достижения. Почему король Этельстан был таким знатоком «реликвий», был ли Вильгельм II атеистом, участвовал ли Генрих I в убийстве Вильгельма II? Отвечая на эти вопросы, Брук изучает природу монархической власти, стараясь освободиться от современных предрассудков и мнений тех историков, которые видели в королевской власти лишь источник тирании._x000D_
Книга снабжена иллюстрациями, генеалогическими таблицами и картами.</t>
  </si>
  <si>
    <t>19284</t>
  </si>
  <si>
    <t>Саладин. Всемогущий султан и победитель крестоносцев</t>
  </si>
  <si>
    <t>978-5-227-09164-2</t>
  </si>
  <si>
    <t>10537</t>
  </si>
  <si>
    <t>Салаты из овощей, фруктов и прочих продуктов</t>
  </si>
  <si>
    <t>978-5-9524-3741-8</t>
  </si>
  <si>
    <t>17437</t>
  </si>
  <si>
    <t>Самая великолепная ночь</t>
  </si>
  <si>
    <t>978-5-227-07458-4</t>
  </si>
  <si>
    <t>20420</t>
  </si>
  <si>
    <t>Самая желанная</t>
  </si>
  <si>
    <t>978-5-227-10094-8</t>
  </si>
  <si>
    <t>Хестер Мосс работает помощницей принцессы островного государства Трискари, которая учится в университете. Брат принцессы, принц Алек, ждет коронации, но по законам государства может быть коронован, только если женится. А жениться он не имеет ни малейшего желания… Ворвавшись в апартаменты своей сестры, Алек встречает Хестер, и у него неожиданно возникает план — заключить с этой «серой мышкой» фиктивный брак. Он сможет короноваться, а Хестер через год получит развод и станет богатой. Но… «Серая мышка», переодетая в красивые одежды и с макияжем, оказывается не просто красавицей — богиней, в которую принц влюбляется и не желает отпускать ее от себя ни через год, никогда…</t>
  </si>
  <si>
    <t>17132</t>
  </si>
  <si>
    <t>Самая короткая помолвка</t>
  </si>
  <si>
    <t>978-5-227-07104-0</t>
  </si>
  <si>
    <t>16907</t>
  </si>
  <si>
    <t>Самая лучшая из невест</t>
  </si>
  <si>
    <t>978-5-227-06844-6</t>
  </si>
  <si>
    <t>16629</t>
  </si>
  <si>
    <t>Самая лучшая свадьба</t>
  </si>
  <si>
    <t>978-5-227-06531-5</t>
  </si>
  <si>
    <t>21323</t>
  </si>
  <si>
    <t>Самая невероятная встреча</t>
  </si>
  <si>
    <t>978-5-227-10785-5</t>
  </si>
  <si>
    <t>Рослин приехала на горнолыжный курорт, надеясь найти Диллона Диаса. Несколько месяцев назад этот замечательный мужчина помог ей пережить горькую обиду, нанесенную бывшим женихом. Здесь в горах она провела с Диллоном волшебные два дня и две ночи, а потом сбежала, не сообщив ему своего настоящего имени, просто боялась, что ее снова отвергнут. Она и не догадывалась, что Диллон влюбился в нее без памяти и теперь отчаянно пытается разыскать. Встреча двух влюбленных была неминуема, но впереди их ждали грозные препятствия, которые придется преодолеть…</t>
  </si>
  <si>
    <t>17883</t>
  </si>
  <si>
    <t>Самая неслучайная встреча</t>
  </si>
  <si>
    <t>978-5-227-07787-5</t>
  </si>
  <si>
    <t>16530</t>
  </si>
  <si>
    <t>Самая роскошная и настойчивая</t>
  </si>
  <si>
    <t>978-5-227-06403-5</t>
  </si>
  <si>
    <t>20001</t>
  </si>
  <si>
    <t>Самая секретная свадьба</t>
  </si>
  <si>
    <t>978-5-227-09563-3</t>
  </si>
  <si>
    <t>15785</t>
  </si>
  <si>
    <t>Самая сексуальная журналистка</t>
  </si>
  <si>
    <t>978-5-227-05696-2</t>
  </si>
  <si>
    <t>18001</t>
  </si>
  <si>
    <t>Самая смелая фантазия</t>
  </si>
  <si>
    <t>978-5-227-08026-4</t>
  </si>
  <si>
    <t>16619</t>
  </si>
  <si>
    <t>Самая соблазнительная скромница</t>
  </si>
  <si>
    <t>978-5-227-06500-1</t>
  </si>
  <si>
    <t>20762</t>
  </si>
  <si>
    <t>Самая страстная Золушка</t>
  </si>
  <si>
    <t>978-5-227-10362-8</t>
  </si>
  <si>
    <t>На балу, устроенном в одном из отелей семейной компании, Алессандро Росси знакомится с Эллой Эш. Они приятно проводят время, однако в полночь девушка убегает, не объяснив причины. Алессандро спешит за ней и на крыльце отеля встречает Лиан Бланшар, сводную сестру Эллы. Лиан не обладает яркой красотой сестры, однако ее интеллект, изящество и безупречные манеры покоряют убежденного холостяка Алессандро…</t>
  </si>
  <si>
    <t>16052</t>
  </si>
  <si>
    <t>Само искушение</t>
  </si>
  <si>
    <t>978-5-227-06063-1</t>
  </si>
  <si>
    <t>20930</t>
  </si>
  <si>
    <t>Самодиагностика. Контроль за состоянием своего здоровья. Самостоятельно читаем сигналы организма</t>
  </si>
  <si>
    <t>978-5-227-10490-8</t>
  </si>
  <si>
    <t>Каждый из нас хочет быть здоровым. А для этого не нужно запускать болезни, необходимо ловить их в зачаточном состоянии и сразу принимать соответствующие меры… Легко сказать, но трудно сделать, ведь иногда мы не обращаем внимания на признаки нездоровья, которые транслирует наш организм, и обращаемся к врачу, когда драгоценное время упущено. Пожалуйста! Будьте внимательны к малейшим изменениям своего состояния, знайте, что многие недуги можно распознать по незначительным признакам, нужно только уметь читать тихие сигналы SOS, посылаемые телом задолго до беды. Мы расскажем, как по состоянию ногтей узнать о неполадках в здоровье; какие знаки подают волосы, ведь проблемы с ними не просто косметический недостаток. О чём расскажет запах тела? Попахивает ацетоном? Срочно меряйте сахар! Вы регулярно моетесь, а кожа пахнет мочой? Проверьте почки! Многое может рассказать ваш язык, и не в прямом смысле — наболтать, а своим внешним видом: тёмно-красный налёт — интоксикация, синюшный цвет — проблемы с лёгкими и сердцем, бледный — истощение, серый налёт — ищите паразитов… Просто кладезем информации о вашем здоровье станет цвет белков глаз, количество и запах пота, чистота и частота дыхания и много, много других посылов тела. Отдельно расскажем, как прочитать свои анализы, каковы нормы показателей крови, мочи, гормонов, и дадим ещё кучу полезной информации, которая поможет вам быть здоровым.</t>
  </si>
  <si>
    <t>20013</t>
  </si>
  <si>
    <t>Самое страстное перемирие</t>
  </si>
  <si>
    <t>978-5-227-09614-2</t>
  </si>
  <si>
    <t>11480</t>
  </si>
  <si>
    <t>Белов А.И.</t>
  </si>
  <si>
    <t>Самооздоровление организма по Караваеву. Перед чем болезни бессильны</t>
  </si>
  <si>
    <t>978-5-9524-4534-5</t>
  </si>
  <si>
    <t>11694</t>
  </si>
  <si>
    <t>21104</t>
  </si>
  <si>
    <t>Самые верные заговоры и обряды на богатство. Правила проведения. На кошелек и банковскую карту. Увеличить, приумножить и сохранить достаток. От нищеты и разорения. Снятие заговоров</t>
  </si>
  <si>
    <t>978-5-9524-6067-6</t>
  </si>
  <si>
    <t>Деньги и удача — это то, чем хочется обладать любому человеку. Но многие из нас неоднократно сталкивались с финансовыми трудностями и сложными периодами в жизни, когда Фортуна с насмешкой проходила мимо и отворачивалась. Для повышения финансового состояния существует огромное множество заговоров и обрядов. Вам необходимо только выбрать понравившийся, правильно совершить ритуал и поверить в силу произнесенного заклинания._x000D_
Денежная магия — одна из самых востребованных, и она довольно сильна. Питают ее древние знания, которые копили и использовали жрецы и колдуны разных народов и времен._x000D_
Заговор — средство, связывающее человека с высшими силами, способными исполнить задуманное. Чтобы заговор сработал, важно иметь чистые помыслы и светлые намерения, и тогда все получится!</t>
  </si>
  <si>
    <t>21181</t>
  </si>
  <si>
    <t>Самые известные призраки и привидения. В замках, склепах, дворцах, усадьбах, отелях, музеях. Фамильные призраки, московские привидения, полтергейст и не только…</t>
  </si>
  <si>
    <t>978-5-9524-6069-0</t>
  </si>
  <si>
    <t>С детства мы слышим пугающие истории о привидениях — душах, которые по каким-то причинам не попали в загробный мир и продолжают сосуществовать рядом с живыми. Некоторые из них ведут себя мирно и даже дружелюбно, а другие, напротив, всеми силами стремятся отомстить людям за грехи прошлого… Они бродят, завывая, по кладбищам и усадьбам, пугают постояльцев отелей и посетителей библиотек. Многие легендарные замки и дворцы имеют своё собственное привидение, и оно становится неотъемлемой частью их популярности._x000D_
Читайте книгу, вас ждут рассказы о шумных духах, мстительных призраках, рыдающих баньши и невинноубиенных детях — майлингарах. А также легенды о всемирно известной леди в белом и чёрном монахе из Понтефракта, всаднике без головы и гуляющей по Зимнему дворцу императрице. Отдельная глава посвящена московским призракам: хохочущий дух, живущий в сталинской высотке, Булгаковский дом на Большой Садовой и фантом машины Лаврентия Берии на Малой Никитской ждут вас на страницах.</t>
  </si>
  <si>
    <t>10019</t>
  </si>
  <si>
    <t>Тарасов</t>
  </si>
  <si>
    <t>Самые интимные комплексы с CD</t>
  </si>
  <si>
    <t>978-5-9524-3159-1</t>
  </si>
  <si>
    <t>8682</t>
  </si>
  <si>
    <t>Самые очаровательные кошки</t>
  </si>
  <si>
    <t>978-5-9524-1787-6</t>
  </si>
  <si>
    <t>8724</t>
  </si>
  <si>
    <t>Самые очаровательные собаки</t>
  </si>
  <si>
    <t>978-5-9524-2992-5</t>
  </si>
  <si>
    <t>19476</t>
  </si>
  <si>
    <t>Самые популярные изобретения из прошлых веков, актуальные сегодня, или Кто придумал первого робота</t>
  </si>
  <si>
    <t>978-5-227-09329-5</t>
  </si>
  <si>
    <t>16709</t>
  </si>
  <si>
    <t>Самые счастливые времена</t>
  </si>
  <si>
    <t>978-5-227-06716-6</t>
  </si>
  <si>
    <t>16111</t>
  </si>
  <si>
    <t>Самый большой секрет</t>
  </si>
  <si>
    <t>978-5-227-06106-5</t>
  </si>
  <si>
    <t>21206</t>
  </si>
  <si>
    <t>Белгадо П.</t>
  </si>
  <si>
    <t>Самый достойный герцог</t>
  </si>
  <si>
    <t>978-5-227-10630-8</t>
  </si>
  <si>
    <t>Артур Мейсон, отец Кейт Мейсон, магнат из Нью-Йорка, привозит дочь в Англию, чтобы та нашла там мужа-аристократа, который помог бы ему выйти на стремительно развивающийся рынок железных дорог Великобритании. Кейт выросла рядом с дедом, который был инженером-самоучкой и передал внучке инженерные знания. Девушка мечтала, что однажды сама возглавит завод и начнет производство собственных локомотивов. Поэтому перспектива стать замужней дамой, пусть и знатной, не радовала ее. На своем первом балу в Лондоне Кейт встречает мужчину, который привлекает ее внимание. Каково же было ее удивление, когда он оказывается хозяином поместья, куда они приезжают погостить и получить протекцию вдовствующей герцогини Мабери, его матери. Из редких разговоров с герцогом Кейт узнает, что тот не собирается жениться, пережитая трагедия удерживает его и от продолжения рода. Однако, увидев, что Кейт приняла ухаживания соседа герцога Сигрейва, герцог Мабери понимает, что не сможет отказаться от возможности быть рядом с Кейт...</t>
  </si>
  <si>
    <t>17497</t>
  </si>
  <si>
    <t>Самый желанный любовник Лондона</t>
  </si>
  <si>
    <t>978-5-227-07564-2</t>
  </si>
  <si>
    <t>17784</t>
  </si>
  <si>
    <t>Самый желанный мужчина</t>
  </si>
  <si>
    <t>978-5-227-07726-4</t>
  </si>
  <si>
    <t>19644</t>
  </si>
  <si>
    <t>Самый нежный поцелуй</t>
  </si>
  <si>
    <t>978-5-227-09290-8</t>
  </si>
  <si>
    <t>18451</t>
  </si>
  <si>
    <t>Самый счастливый развод</t>
  </si>
  <si>
    <t>978-5-227-08386-9</t>
  </si>
  <si>
    <t>20735</t>
  </si>
  <si>
    <t>Самый чувственный год</t>
  </si>
  <si>
    <t>978-5-227-10345-1</t>
  </si>
  <si>
    <t>У Саммер Эванс было трудное детство: мать рано бросила ее и девочка успела сменить несколько приемных семей. При этом ее всегда считали «трудным ребенком». Но однажды она попадает в шотландский замок в семью пожилой леди Кэтрин и ее внука Эдварда… Саммер выросла, превратилась в прекрасную женщину, много путешествовала по миру, в то время как Эдвард стал миллионером. Они редко встречались, но помнили, как нравилось обоим когда-то их общение. И вот судьба вновь сводит их: перед смертью Кэтрин оставляет завещание, по которому Саммер вместе с Эдвардом должна владеть замком. Согласится ли Саммер на такие условия и сможет ли наконец обрести свой дом, о котором мечтала всю жизнь?</t>
  </si>
  <si>
    <t>11507</t>
  </si>
  <si>
    <t>Мэй У.</t>
  </si>
  <si>
    <t>Сандаловая луна</t>
  </si>
  <si>
    <t>978-5-9524-4696-0</t>
  </si>
  <si>
    <t>20845</t>
  </si>
  <si>
    <t>Сатир и нимфа, или Похождения Трифона Ивановича и Акулины Степановны</t>
  </si>
  <si>
    <t>978-5-227-10397-0</t>
  </si>
  <si>
    <t>Бытописец России конца XIX — начала XX века, сатирик Николай Александрович Лейкин как всегда точно ухватывает подсмотренные им в жизни образы соотечественников самых разных сословий и характеров. В этом, в чем-то смешном, а в чем-то грустном романе остроумно обыграны самые разные типы персонажей. Одинокий пожилой купец Трифон Иванович Заколов проникается теплыми чувствами к своей кухарке Акулине. Скромная и тихая женщина по-настоящему преображается под влиянием своего нового статуса в доме, и динамика между «сатиром» и «нимфой» кардинально меняется. Подруга-горничная дает Акулине полезные, с ее точки зрения, советы, а родственник из деревни просится на хлебное место, и далеко не сразу ясно, к чему приведет цепь событий, начавшаяся с простой симпатии.</t>
  </si>
  <si>
    <t>5777</t>
  </si>
  <si>
    <t>Сентялов</t>
  </si>
  <si>
    <t>Сахарный диабет Профилактика и методы лечения</t>
  </si>
  <si>
    <t>5-9524-1723-X</t>
  </si>
  <si>
    <t>19443</t>
  </si>
  <si>
    <t>Сахасрара. Венечная чакра. Освобождение. Обретение целостности и совершенства</t>
  </si>
  <si>
    <t>978-5-227-09313-4</t>
  </si>
  <si>
    <t>17730</t>
  </si>
  <si>
    <t>Сашка</t>
  </si>
  <si>
    <t>978-5-227-07763-9</t>
  </si>
  <si>
    <t>17797</t>
  </si>
  <si>
    <t>Сбежавшая невеста</t>
  </si>
  <si>
    <t>978-5-227-07758-5</t>
  </si>
  <si>
    <t>19918</t>
  </si>
  <si>
    <t>Сбиться с пути</t>
  </si>
  <si>
    <t>978-5-227-09677-7</t>
  </si>
  <si>
    <t>13240</t>
  </si>
  <si>
    <t>CRIME</t>
  </si>
  <si>
    <t>Фет М.</t>
  </si>
  <si>
    <t>Сборщик клубники</t>
  </si>
  <si>
    <t>978-5-227-03103-7</t>
  </si>
  <si>
    <t>"Натаниел Табан знал, что роковое влечение вновь толкнет его на убийство. Он приехал в провинциальный городок на севере Германии и нанялся сезонным рабочим, сборщиком клубники, чтобы убежать от кошмара, в который повергает его собственное извращенное сознание. Но справиться с собой выше его сил. Юная, прекрасная и невинная — только такой должна быть его избранница, предмет патологического обожания. Его персональная фея. И если она обманет его надежды, он накажет ее.Когда их подругу Каро убили, Ютта и Мерли решили сами отыскать преступника. В разгар поисков Ютта познакомилась с мужчиной, ради которого готова была изменить жизнь, но любовь принесла с собой смертельный страх…"</t>
  </si>
  <si>
    <t>18836</t>
  </si>
  <si>
    <t>Сбывшийся сон</t>
  </si>
  <si>
    <t>978-5-227-08739-3</t>
  </si>
  <si>
    <t>20736</t>
  </si>
  <si>
    <t>Свадебная ночь в Париже</t>
  </si>
  <si>
    <t>978-5-227-10360-4</t>
  </si>
  <si>
    <t>Чтобы сохранить свой бизнес, Иден Беллами должна выйти замуж по расчету. Ее свадьба неожиданно срывается, она убегает подальше от гостей и журналистов с шафером своего жениха, Реми Сильвеном. Наедине с Реми она понимает, что вспыхнувшую между ними страсть не остановить…</t>
  </si>
  <si>
    <t>16283</t>
  </si>
  <si>
    <t>Свадебный завтрак для холостяка</t>
  </si>
  <si>
    <t>978-5-227-06205-5</t>
  </si>
  <si>
    <t>20110</t>
  </si>
  <si>
    <t>Свадебный подарок плейбою</t>
  </si>
  <si>
    <t>978-5-227-09809-2</t>
  </si>
  <si>
    <t>19921</t>
  </si>
  <si>
    <t>Свадхистана. Крестцовый центр</t>
  </si>
  <si>
    <t>978-5-227-09704-0</t>
  </si>
  <si>
    <t>10625</t>
  </si>
  <si>
    <t>Торнео</t>
  </si>
  <si>
    <t>Свадьба без проколов и испорченного настроения</t>
  </si>
  <si>
    <t>978-5-9524-3784-5</t>
  </si>
  <si>
    <t>19384</t>
  </si>
  <si>
    <t>Свадьба без согласия невесты</t>
  </si>
  <si>
    <t>978-5-227-09118-5</t>
  </si>
  <si>
    <t>13741</t>
  </si>
  <si>
    <t>Риверс Н.</t>
  </si>
  <si>
    <t>Свадьба в Венеции</t>
  </si>
  <si>
    <t>978-5-227-03835-7</t>
  </si>
  <si>
    <t>17466</t>
  </si>
  <si>
    <t>Свадьба в замке Кингсмид</t>
  </si>
  <si>
    <t>978-5-227-07463-8</t>
  </si>
  <si>
    <t>21320</t>
  </si>
  <si>
    <t>Свадьба вместо скандала</t>
  </si>
  <si>
    <t>978-5-227-10565-3</t>
  </si>
  <si>
    <t>Организатор свадеб Райли Медоуз не может позволить Патрику Макартуру, который срывает свадьбы знаменитостей, помешать ей в работе. Чтобы избежать потенциального скандала, она встречается с Патриком и заключает с ним сделку, которая выгодна им обоим.</t>
  </si>
  <si>
    <t>18047</t>
  </si>
  <si>
    <t>Свадьба года</t>
  </si>
  <si>
    <t>978-5-227-08088-2</t>
  </si>
  <si>
    <t>20543</t>
  </si>
  <si>
    <t>Свадьба до знакомства</t>
  </si>
  <si>
    <t>978-5-227-10242-3</t>
  </si>
  <si>
    <t>Проснувшись после бурной вечеринки, Тоби обнаружил, что женат на незнакомке. К тому же он странным образом унаследовал огромное состояние. Теперь ему предстоит узнать свою супругу и понять, что делать дальше со своей жизнью…</t>
  </si>
  <si>
    <t>19422</t>
  </si>
  <si>
    <t>Тру К.</t>
  </si>
  <si>
    <t>Свадьба или скандал?</t>
  </si>
  <si>
    <t>978-5-227-09110-9</t>
  </si>
  <si>
    <t>10029</t>
  </si>
  <si>
    <t>Свадьба Как организовать торжество</t>
  </si>
  <si>
    <t>978-5-9524-3255-0</t>
  </si>
  <si>
    <t>20763</t>
  </si>
  <si>
    <t>Свадьба любой ценой</t>
  </si>
  <si>
    <t>978-5-227-10346-8</t>
  </si>
  <si>
    <t>Когда Амелия Линдор решила сообщить своему любовнику Хантеру Уэверли, что родила от него, выяснилось, что он собирается жениться на другой. Отец Амелии срывает свадьбу и устраивает грандиозный скандал. Но оказалось, Хантер совсем не против такого развития событий…</t>
  </si>
  <si>
    <t>17341</t>
  </si>
  <si>
    <t>Свадьба на Рождество</t>
  </si>
  <si>
    <t>978-5-227-07297-9</t>
  </si>
  <si>
    <t>12292</t>
  </si>
  <si>
    <t>Свадьба навсегда!</t>
  </si>
  <si>
    <t>978-5-227-02444-2</t>
  </si>
  <si>
    <t>17116</t>
  </si>
  <si>
    <t>Свадьба напоказ</t>
  </si>
  <si>
    <t>978-5-227-07116-3</t>
  </si>
  <si>
    <t>19336</t>
  </si>
  <si>
    <t>Свадьба по ее правилам</t>
  </si>
  <si>
    <t>978-5-227-09077-5</t>
  </si>
  <si>
    <t>19445</t>
  </si>
  <si>
    <t>Свадьба с гарантией</t>
  </si>
  <si>
    <t>978-5-227-09149-9</t>
  </si>
  <si>
    <t>21845</t>
  </si>
  <si>
    <t>Сваты</t>
  </si>
  <si>
    <t>978-5-227-11140-1</t>
  </si>
  <si>
    <t>Взрослея, человек теряет способность очаровываться окружающими... После смерти мужа Дори в одиночку воспитывает сына, а разуверившийся в женщинах Гевин — успешный бизнесмен и в прошлом знаменитый футболист — дочь... Возможно, в их жизни не произошло бы никаких изменений, но дети решают сделать все возможное, чтобы их родители были вместе. В ход идут невинные интриги, наигранные капризы, замысловатые уловки... Удастся ли юным хитрецам осуществить свой план?</t>
  </si>
  <si>
    <t>17366</t>
  </si>
  <si>
    <t>Свежая пресса</t>
  </si>
  <si>
    <t>978-5-227-06638-1</t>
  </si>
  <si>
    <t>18080</t>
  </si>
  <si>
    <t>Аникиенко О.</t>
  </si>
  <si>
    <t>Свергнутые боги</t>
  </si>
  <si>
    <t>978-5-227-08180-3</t>
  </si>
  <si>
    <t>7394</t>
  </si>
  <si>
    <t>Свет луны на воде</t>
  </si>
  <si>
    <t>5-9524-2418-X</t>
  </si>
  <si>
    <t>16628</t>
  </si>
  <si>
    <t>Свет твоей любви</t>
  </si>
  <si>
    <t>978-5-227-06530-8</t>
  </si>
  <si>
    <t>20776</t>
  </si>
  <si>
    <t>Эбон М.</t>
  </si>
  <si>
    <t>Светлана, дочь Сталина. Судьба Светланы Аллилуевой, скрытая за сенсационными газетными заголовками</t>
  </si>
  <si>
    <t>978-5-9524-5994-6</t>
  </si>
  <si>
    <t>Немецко-американский журналист, писатель Мартин Эбон, рассказывает о драматических событиях жизни дочери Иосифа Сталина, Светланы Аллилуевой. Одинокое детство в Кремле, потеря матери, совершившей самоубийство, смерть отца, три распавшихся брака, бегство за границу в надежде обрести там покой и счастье и неудачная попытка снова жить на родине. Автор не только описывает территориальные, политические и религиозные метания Аллилуевой, переполох, который она произвела в СССР, в Индии и в Европе, но и предлагает разные точки зрения на ее взгляды и поступки.</t>
  </si>
  <si>
    <t>19177</t>
  </si>
  <si>
    <t>Светлая Пасха. Суть праздника. Пасхальные молитвы. Рецепты праздничных блюд</t>
  </si>
  <si>
    <t>978-5-227-08628-0</t>
  </si>
  <si>
    <t>2437</t>
  </si>
  <si>
    <t>Светлое время ночи</t>
  </si>
  <si>
    <t>5-227-01219-9</t>
  </si>
  <si>
    <t>5899</t>
  </si>
  <si>
    <t>Светлый берег радости</t>
  </si>
  <si>
    <t>5-9524-1804-X</t>
  </si>
  <si>
    <t>19598</t>
  </si>
  <si>
    <t>Свидание в Венеции</t>
  </si>
  <si>
    <t>978-5-227-09207-6</t>
  </si>
  <si>
    <t>20109</t>
  </si>
  <si>
    <t>Свидание в Сингапуре</t>
  </si>
  <si>
    <t>978-5-227-09612-8</t>
  </si>
  <si>
    <t>20575</t>
  </si>
  <si>
    <t>Свидание в Скалистых горах</t>
  </si>
  <si>
    <t>978-5-227-10283-6</t>
  </si>
  <si>
    <t>Пять лет назад Дрейк заставил Флер разорвать помолвку с его братом. И вот теперь она снова появилась в их городе. Прежняя взаимная вражда вспыхнула с новой силой и привела их… в постель. Если от любви до ненависти один шаг, справедливо ли обратное утверждение?</t>
  </si>
  <si>
    <t>17547</t>
  </si>
  <si>
    <t>Свидание в храме Афродиты</t>
  </si>
  <si>
    <t>978-5-227-07565-9</t>
  </si>
  <si>
    <t>17656</t>
  </si>
  <si>
    <t>Свидание напоказ</t>
  </si>
  <si>
    <t>978-5-227-07683-0</t>
  </si>
  <si>
    <t>15968</t>
  </si>
  <si>
    <t>Свидание с ангелом</t>
  </si>
  <si>
    <t>978-5-227-05922-2</t>
  </si>
  <si>
    <t>15914</t>
  </si>
  <si>
    <t>Свидание с боссом</t>
  </si>
  <si>
    <t>978-5-227-05837-9</t>
  </si>
  <si>
    <t>15364</t>
  </si>
  <si>
    <t>Свидание с мечтой</t>
  </si>
  <si>
    <t>978-5-227-05309-1</t>
  </si>
  <si>
    <t>17659</t>
  </si>
  <si>
    <t>Свидание с настоящим мужчиной</t>
  </si>
  <si>
    <t>978-5-227-07691-5</t>
  </si>
  <si>
    <t>17201</t>
  </si>
  <si>
    <t>Армстронг Л.</t>
  </si>
  <si>
    <t>Свидание с прошлым</t>
  </si>
  <si>
    <t>978-5-227-07205-4</t>
  </si>
  <si>
    <t>18909</t>
  </si>
  <si>
    <t>Свидание у озера Мичиган</t>
  </si>
  <si>
    <t>978-5-227-08777-5</t>
  </si>
  <si>
    <t>18965</t>
  </si>
  <si>
    <t>Свидания с детективом</t>
  </si>
  <si>
    <t>978-5-227-08895-6</t>
  </si>
  <si>
    <t>4409</t>
  </si>
  <si>
    <t>Пратер Р.</t>
  </si>
  <si>
    <t>Свидетелей не оставлять</t>
  </si>
  <si>
    <t>5-9524-0473-1</t>
  </si>
  <si>
    <t>21262</t>
  </si>
  <si>
    <t>Свидетель</t>
  </si>
  <si>
    <t>978-5-227-10791-6</t>
  </si>
  <si>
    <t>Ненастным осенним вечером Кэти Уивер сбила на мокром шоссе мужчину. На следующий день была зверски зарезана Сара, лучшая подруга Кэти. С тех пор жизнь женщины сделала крутой поворот. Тот, кого она оставила в больнице полуживым, заявился к ней домой и утверждает, что после Сары и ей самой грозит смерть. В подтверждение его слов квартиру женщины обстреляли. Теперь Кэти Уивер и Виктору Холланду предстоит борьба не на жизнь, а на смерть. Ведь Виктор — единственный свидетель страшных научных экспериментов, грозящих человечеству ужасными последствиями...</t>
  </si>
  <si>
    <t>10488</t>
  </si>
  <si>
    <t>Симонова Н.</t>
  </si>
  <si>
    <t>Свингующие</t>
  </si>
  <si>
    <t>978-5-9524-3703-6</t>
  </si>
  <si>
    <t>15430</t>
  </si>
  <si>
    <t>Свободная и счастливая</t>
  </si>
  <si>
    <t>978-5-227-05427-2</t>
  </si>
  <si>
    <t>18031</t>
  </si>
  <si>
    <t>Сводка новостей. Путин - отец, Макрон - сын, Собчак - дочь</t>
  </si>
  <si>
    <t>978-5-227-07834-6</t>
  </si>
  <si>
    <t>16933</t>
  </si>
  <si>
    <t>Своенравная невеста</t>
  </si>
  <si>
    <t>978-5-227-06854-5</t>
  </si>
  <si>
    <t>19049</t>
  </si>
  <si>
    <t>Связанные ночной клятвой</t>
  </si>
  <si>
    <t>978-5-227-08913-7</t>
  </si>
  <si>
    <t>20739</t>
  </si>
  <si>
    <t>Связанный честью</t>
  </si>
  <si>
    <t>978-5-227-10453-3</t>
  </si>
  <si>
    <t>Едва войдя в свою комфортабельную квартиру, Эйслин Едва войдя в свою комфортабельную квартиру, Эйслин Эндрюс почувствовала угрозу, а в следующее мгновение уже знала, от кого она исходит. Лукас Грейвольф, сбежавший из федеральной тюрьмы преступник, вторгся в ее жилище в поисках пищи и убежища. С этого момента жизнь красивой, образованной, не знающей проблем и потихоньку изнывающей от скуки девушки из богатой семьи полетела кувырком. Но, попав в заложницы и помогая Грейвольфу скрываться от полиции, Эйслин ощутила вкус к жизни и с удивлением обнаружила, что ее похититель не только умен, хорош собой и сексуален — за навязчивой грубостью Лукаса скрывается тонкая, благородная, ранимая душа. И мисс Эндрюс начала сомневаться в его виновности.</t>
  </si>
  <si>
    <t>17002</t>
  </si>
  <si>
    <t>Святой преподобный Сергий Радонежский</t>
  </si>
  <si>
    <t>978-5-227-06882-8</t>
  </si>
  <si>
    <t>17253</t>
  </si>
  <si>
    <t>Гнатюк В.С., Гнатюк Ю.В.</t>
  </si>
  <si>
    <t>Святослав. Болгария</t>
  </si>
  <si>
    <t>978-5-227-07251-1</t>
  </si>
  <si>
    <t>20468</t>
  </si>
  <si>
    <t>Шмаков В.А.</t>
  </si>
  <si>
    <t>Священная книга Тота (цветная). Великие Арканы Таро. Абсолютные начала синтетической философии эзотеризма (Оф.2)</t>
  </si>
  <si>
    <t>978-5-227-10116-7</t>
  </si>
  <si>
    <t>Представленная вашему вниманию книга — настоящий кладезь тайного эзотерического знания, сплав самых мощных философских течений и рассчитана не на то, чтобы дать толкование раскладу Таро, а на постижение самых глубочайших идей, стоящих не только за каждым Арканом отдельно, но и за всеми старшими Арканами в целом. Владимир Шмаков — наш умудренный многими познаниями соотечественник, корифей русского оккультизма, обладавший реальной возможностью создать собственное течение, гораздо более углубленное по сравнению с западным миропониманием. К сожалению, революция пресекла развитие русского оккультизма, унеся эту волну в иммиграцию вслед за носителями идей, но труды Шмакова остались, и с их помощью можно хоть немного прикоснуться к божественным смыслам._x000D_
Существует версия, что к этой книге были иллюстрации, найти которые в доступном для печати качестве, к сожалению, невозможно. Тем не менее художник приложил максимальные усилия для того, чтобы восстановить изображение этих Арканов по данным автором описаниям.</t>
  </si>
  <si>
    <t>20467</t>
  </si>
  <si>
    <t>Священная книга Тота. Великие Арканы Таро. Абсолютные начала синтетической философии эзотеризма (Оф. 1)</t>
  </si>
  <si>
    <t>978-5-227-10114-3</t>
  </si>
  <si>
    <t>20840</t>
  </si>
  <si>
    <t>Священная Римская империя. История союза европейских государств от зарождения до распада</t>
  </si>
  <si>
    <t>978-5-9524-5982-3</t>
  </si>
  <si>
    <t>Выдающийся австрийский писатель и публицист Фридрих Хеер прослеживает тысячелетнюю историю Священной Римской империи, начиная с коронации Карла Великого в 800 г. и заканчивая упразднением империи Францем II Габсбургом в ходе Наполеоновских войн. Автор прослеживает, как сменялись правящие династии, перемещались центры силы и с ними границы многонационального государства, описывает многовековое противостояние с Ватиканом, странами Запада и Востока, а также указывает на высокую степень политической и религиозной терпимости и неизменное стремление ее правителей к созданию объединенной Европы.</t>
  </si>
  <si>
    <t>16663</t>
  </si>
  <si>
    <t>Слифкин Н</t>
  </si>
  <si>
    <t>Священные чудовища. Загадочные и мифические существа из Писания, Талмуда и мидрашей</t>
  </si>
  <si>
    <t>978-5-227-06722-7</t>
  </si>
  <si>
    <t>0175</t>
  </si>
  <si>
    <t>Сделай одолжение-сдохни!</t>
  </si>
  <si>
    <t>978-5-227-07026-5</t>
  </si>
  <si>
    <t>19427</t>
  </si>
  <si>
    <t>Сделай первый шаг</t>
  </si>
  <si>
    <t>978-5-227-09113-0</t>
  </si>
  <si>
    <t>15953</t>
  </si>
  <si>
    <t>Сделка перед алтарем</t>
  </si>
  <si>
    <t>978-5-227-05858-4</t>
  </si>
  <si>
    <t>15913</t>
  </si>
  <si>
    <t>Сделка с врагом</t>
  </si>
  <si>
    <t>978-5-227-05836-2</t>
  </si>
  <si>
    <t>19144</t>
  </si>
  <si>
    <t>Левшов Г.</t>
  </si>
  <si>
    <t>Сделка с демиургом</t>
  </si>
  <si>
    <t>978-5-227-09072-0</t>
  </si>
  <si>
    <t>16765</t>
  </si>
  <si>
    <t>Северная война</t>
  </si>
  <si>
    <t>978-5-227-06808-8</t>
  </si>
  <si>
    <t>21574</t>
  </si>
  <si>
    <t>Северная магическая система. Построение реальности</t>
  </si>
  <si>
    <t>978-5-227-11002-2</t>
  </si>
  <si>
    <t>Этой книгой автор открывает новую серию на удивительную, пугающую и загадочную тему — «Общая Теория Магии». Её задача — сделать понятным неведомое и научить разум не бояться самого себя. Нет ничего печальнее, чем страх перед знанием, нет ничего ущербнее, чем отказ от знаний по причине страха… Здесь будут изложены знания о магии и колдовстве. Такие, какие они есть — без религиозного налёта, нуменозного экстаза, страха и поклонения._x000D_
Первая книга посвящена Северному пантеону,  и постигать магию этой системы мы будем, глубинно погружаясь в мифологию и легенды. Понять смысл и суть северной магии — это понять её мифы. Миф — это отражение реальности, а реальность — отражение мифа. _x000D_
Часть книги посвящена изучению победных алгоритмов северного проекта — рун и того, как через руны и мифы пробудить в себе или сформировать сызнова структуру сознания воина, наполнить её информационно, убрать лишние и низводящие до состояния раба конструкции и программы, защитить сознание и укрепить результат._x000D_
Руны — уникальный магический инструмент и древняя сила. Гораздо древнее человека современного. Они переданы людям богами, и об этом рассказано в легендах и мифах, которые нужно изучать так же глубоко, как и сами руны.</t>
  </si>
  <si>
    <t>21909</t>
  </si>
  <si>
    <t>Северная магическая система. Построение реальности (цветная)</t>
  </si>
  <si>
    <t>978-5-227-11020-6</t>
  </si>
  <si>
    <t>"Открываем новую серию на удивительную и загадочную тему — «Общая Теория Магии». Её задача — сделать понятным неведомое и научить разум не бояться самого себя. Нет ничего печальнее, чем страх перед знанием, нет ничего ущербнее, чем отказ от знаний по причине страха… Здесь будут изложены знания о магии и колдовстве. Такие, какие они есть, — без религиозного налёта, страха и поклонения.
Первая книга серии посвящена Северному пантеону, и постигать магию этой системы мы будем, погружаясь в мифологию и легенды. Часть книги посвящена изучению победных алгоритмов северного проекта — рун и того, как через руны и мифы пробудить в себе или сформировать сызнова структуру сознания воина, наполнить её информационно, убрать низводящие до состояния раба конструкции, защитить сознание и укрепить результат. Руны — уникальный магический инструмент. Они переданы людям богами, и об этом рассказано в легендах и мифах, которые нужно изучать так же глубоко, как и сами руны."</t>
  </si>
  <si>
    <t>20328</t>
  </si>
  <si>
    <t>Черкасова М.С.</t>
  </si>
  <si>
    <t>Северная Русь: история сурового края ХIII—ХVII вв.</t>
  </si>
  <si>
    <t>978-5-227-09939-6</t>
  </si>
  <si>
    <t>Вниманию широкого читателя предлагается научно-популярная книга о средневековой истории Северной Руси — от Древней Руси через удельный период к Московской Руси. Территориально исследование охватывает Белозерскую, Вологодскую и Устюжскую земли. История этой отдалённой окраины Древней Руси проанализирована на основе разнообразных письменных источников и с учётом новейших археологических данных. Показаны пути интеграции Севера с метрополией, формы административно-территориального устроения обширного края в ХV—XVII вв. и наследие ордынского ига. Автор делает акцент на характерном для данного региона процессе «взаимного уподобления» гражданских и церковных форм и структур в экономическом и социально-политическом освоении пространства. В работе на примере городов Вологда и Устюг рассмотрены вопросы исторической демографии. В качестве опыта микроистории предложены очерки об институте семьи и брака у городских и сельских жителей Севера, о первом и последнем вологодском удельном князе Андрее Васильевиче Меньшом, об истории крестьянской семьи Рычковых из усть-вымской архиерейской вотчины в 1650—1670­х гг. и особенно — о богатейшем вологодском госте Г.М. Фетиеве. В работе раскрывается и социокультурный аспект истории средневекового русского Севера: индивидуальные и коллективные практики милосердия, пиров и братчин, а также устное и письменное, городское и сельское начала в повседневном функционировании книжной культуры и грамотности.</t>
  </si>
  <si>
    <t>19651</t>
  </si>
  <si>
    <t>Льюис А.Р.</t>
  </si>
  <si>
    <t>Северные моря в истории средневековой Европы. Эра викингов и эпоха Оттонов. 300–1100 годы</t>
  </si>
  <si>
    <t>978-5-9524-5536-8</t>
  </si>
  <si>
    <t>18979</t>
  </si>
  <si>
    <t>Тарасов Г.В</t>
  </si>
  <si>
    <t>Седьмой принцип</t>
  </si>
  <si>
    <t>978-5-227-08928-1</t>
  </si>
  <si>
    <t>16807</t>
  </si>
  <si>
    <t>Сейчас и навсегда</t>
  </si>
  <si>
    <t>978-5-227-06785-2</t>
  </si>
  <si>
    <t>16572</t>
  </si>
  <si>
    <t>Секрет для двоих</t>
  </si>
  <si>
    <t>978-5-227-06488-2</t>
  </si>
  <si>
    <t>16177</t>
  </si>
  <si>
    <t>Секрет его возлюбленной</t>
  </si>
  <si>
    <t>978-5-227-06149-2</t>
  </si>
  <si>
    <t>16222</t>
  </si>
  <si>
    <t>Секрет его улыбки</t>
  </si>
  <si>
    <t>978-5-227-06238-3</t>
  </si>
  <si>
    <t>19710</t>
  </si>
  <si>
    <t>Секрет запретных ночей</t>
  </si>
  <si>
    <t>978-5-227-09353-0</t>
  </si>
  <si>
    <t>21538</t>
  </si>
  <si>
    <t>Секрет обаяния</t>
  </si>
  <si>
    <t>978-5-227-10807-4</t>
  </si>
  <si>
    <t>Отчаявшаяся мать готова на все, чтобы спасти тяжелобольного сына. Когда на лечение потребовались средства, Арден Джентри согласилась на чудовищное предложение мужа, врача-акушера, — за большие деньги стать суррогатной матерью для обеспеченной бесплодной пары. Но все оказалось напрасно — сын умер. И, порвав с ненавистным мужем, она стала цепляться за спасительную мысль — увидеть ребенка, которого родила от неизвестного мужчины. Им оказался знаменитый теннисист, жена которого погибла, и он растит мальчика один. Они встретились и полюбили друг друга. Но Арден не смогла вовремя открыть свою тайну, и теперь их счастье в руках шантажиста.</t>
  </si>
  <si>
    <t>20304</t>
  </si>
  <si>
    <t>Скорцени О.</t>
  </si>
  <si>
    <t>Секретная команда. Воспоминания руководителя спецподразделения немецкой разведки. 1939—1945</t>
  </si>
  <si>
    <t>978-5-9524-5781-2</t>
  </si>
  <si>
    <t>16908</t>
  </si>
  <si>
    <t>Секретное досье на любимого</t>
  </si>
  <si>
    <t>978-5-227-06938-2</t>
  </si>
  <si>
    <t>19193</t>
  </si>
  <si>
    <t>Секретное оружие обольстителя</t>
  </si>
  <si>
    <t>978-5-227-09032-4</t>
  </si>
  <si>
    <t>20982</t>
  </si>
  <si>
    <t>Райле О.</t>
  </si>
  <si>
    <t>Секретные операции абвера. Тайная война немецкой разведки на Востоке и Западе. 1921—1945</t>
  </si>
  <si>
    <t>978-5-9524-5999-1</t>
  </si>
  <si>
    <t>Книга Оскара Райле, личного помощника адмирала Канариса, — наиболее полное издание о том, как создавался, набирал силу и потерпел крушение абвер — знаменитая германская служба военной разведки. Автор приводит малоизвестные подробности операций против Советского Союза, стран Восточной и Западной Европы, Соединенных Штатов Америки и Великобритании. В книге дан объективный анализ успехов и неудач военной разведслужбы Германии и конкурирующих разведок.</t>
  </si>
  <si>
    <t>18953</t>
  </si>
  <si>
    <t>Секретный агент S-25, или Обреченная любовь</t>
  </si>
  <si>
    <t>978-5-227-07910-7</t>
  </si>
  <si>
    <t>20322</t>
  </si>
  <si>
    <t>Хеттль В.</t>
  </si>
  <si>
    <t>Секретный фронт. Воспоминания сотрудника политической разведки Третьего рейха. 1938—1945</t>
  </si>
  <si>
    <t>978-5-9524-5823-9</t>
  </si>
  <si>
    <t>Вильгельм Хёттль — разведчик-аналитик, организатор и участник многих специальных операций, раскрывает историю создания могущественного управления имперской безопасности Третьего рейха, дает яркие психологические портреты Гиммлера, Гейдриха, Шелленберга, Мюллера, Эйхмана и других. В книге собраны уникальные материалы о методах работы германских секретных служб на территории Центральной, Юго-Восточной и Южной Европы, полностью публикуются уникальные записки Муссолини, сделанные им на островах Понца и Маддалена в августе 1943 года.</t>
  </si>
  <si>
    <t>15856</t>
  </si>
  <si>
    <t>Секреты джентельмена по вызову</t>
  </si>
  <si>
    <t>978-5-227-05699-3</t>
  </si>
  <si>
    <t>16834</t>
  </si>
  <si>
    <t>Секреты домашних маринадов</t>
  </si>
  <si>
    <t>978-5-227-06903-0</t>
  </si>
  <si>
    <t>10784</t>
  </si>
  <si>
    <t>Келлер</t>
  </si>
  <si>
    <t>Секреты исцеления водой</t>
  </si>
  <si>
    <t>978-5-9524-3913-9</t>
  </si>
  <si>
    <t>2589</t>
  </si>
  <si>
    <t>Бар</t>
  </si>
  <si>
    <t>Секреты красоты и здоровья кожи</t>
  </si>
  <si>
    <t>5-227-01243-1</t>
  </si>
  <si>
    <t>12402</t>
  </si>
  <si>
    <t>59 Д</t>
  </si>
  <si>
    <t>Камерон Е.</t>
  </si>
  <si>
    <t>Секреты превосходной диеты. Как сделать из пышки изящную фигурку</t>
  </si>
  <si>
    <t>978-5-227-02025-3</t>
  </si>
  <si>
    <t>Как научиться всегда быть в форме, радоваться жизни и постоянно совершенствоваться? Эта книга способна вдохновить и поддержать вас в решимости вылепить свою фигуру, скорректировать внешний вид и самое главное — помочь изменить образ мыслей. Попробуйте жизнь в новом качестве!</t>
  </si>
  <si>
    <t>20369</t>
  </si>
  <si>
    <t>Секреты фальшивого жениха</t>
  </si>
  <si>
    <t>978-5-227-10026-9</t>
  </si>
  <si>
    <t>10827</t>
  </si>
  <si>
    <t>Секреты целительной силы алоэ</t>
  </si>
  <si>
    <t>978-5-9524-3915-3</t>
  </si>
  <si>
    <t>11229</t>
  </si>
  <si>
    <t>978-5-9524-4364-8</t>
  </si>
  <si>
    <t>10018</t>
  </si>
  <si>
    <t>СП</t>
  </si>
  <si>
    <t>Ходосова</t>
  </si>
  <si>
    <t>Секс - туризм</t>
  </si>
  <si>
    <t>978-5-9524-3196-6</t>
  </si>
  <si>
    <t>20493</t>
  </si>
  <si>
    <t>Кифер О.</t>
  </si>
  <si>
    <t>Сексуальная жизнь в Древнем Риме</t>
  </si>
  <si>
    <t>978-5-9524-5901-4</t>
  </si>
  <si>
    <t>В книге исследуется национальный характер древних римлян, на основании анализа взаимоотношения полов в Римской империи во времена правлений Цезаря, Августа, Калигулы, Нерона. Автор приводит интересные сведения о положении женщин в государстве, о брачных ритуалах и традициях истории костюма и украшений, косметики и красок. Также даны литературные портреты наиболее знаменитых римлян, раскрываются причины упадка древней цивилизации.</t>
  </si>
  <si>
    <t>12969</t>
  </si>
  <si>
    <t>Семейная жизнь. Инструкция по применению</t>
  </si>
  <si>
    <t>978-5-227-02911-9</t>
  </si>
  <si>
    <t>16188</t>
  </si>
  <si>
    <t>Семена чиа. Уникальное природное лекарство</t>
  </si>
  <si>
    <t>978-5-227-06045-7</t>
  </si>
  <si>
    <t>21683</t>
  </si>
  <si>
    <t>Москати С.</t>
  </si>
  <si>
    <t>Семитские народы Древнего Востока: вавилоняне, ассирийцы, хананеи, евреи, арамеи, арабы, эфиопы</t>
  </si>
  <si>
    <t>978-5-9524-6439-1</t>
  </si>
  <si>
    <t>Итальянский археолог и лингвист, профессор семитской филологии Римского университета Сабатино Москати в своей книге описывает основные формы и отличительные черты древних семитских цивилизаций (вавилоняне, ассирийцы, хананеи), концентрируя внимание читателя на наиболее интересных фактах и характерных особенностях жизни и мышления людей. Это попытка реконструировать политическую, экономическую и религиозную сферы жизни этого общества, по жизненным обстоятельствам разведенного по разным землям.</t>
  </si>
  <si>
    <t>18024</t>
  </si>
  <si>
    <t>Семь дней</t>
  </si>
  <si>
    <t>978-5-227-08081-3</t>
  </si>
  <si>
    <t>0165</t>
  </si>
  <si>
    <t>Семь раз отмерь</t>
  </si>
  <si>
    <t>978-5-227-07004-3</t>
  </si>
  <si>
    <t>14982</t>
  </si>
  <si>
    <t>Серафима прекрасная</t>
  </si>
  <si>
    <t>978-5-227-04545-4</t>
  </si>
  <si>
    <t>15422</t>
  </si>
  <si>
    <t>11045</t>
  </si>
  <si>
    <t>Зигель</t>
  </si>
  <si>
    <t>Сервис напитков. Основы международной практики для профессионалов</t>
  </si>
  <si>
    <t>978-5-9524-4107-1</t>
  </si>
  <si>
    <t>20721</t>
  </si>
  <si>
    <t>Сердце во власти шейха</t>
  </si>
  <si>
    <t>978-5-227-09621-0</t>
  </si>
  <si>
    <t>Принцесса Ханна Латимер — красавица и светская львица, неожиданно оказывается в плену. И теперь спасти ее может только могущественный и высокомерный принц Камель, которому срочно нужно жениться: так он избежит войны с соседним королевством. Камель с трудом терпит капризную принцессу. Но постепенно понимает, что за ее красотой и кажущейся взбалмошностью скрывается трепетная и ранимая душа…</t>
  </si>
  <si>
    <t>16919</t>
  </si>
  <si>
    <t>Сердце к твоим ногам</t>
  </si>
  <si>
    <t>978-5-227-06848-4</t>
  </si>
  <si>
    <t>20925</t>
  </si>
  <si>
    <t>Сердце лучше знает</t>
  </si>
  <si>
    <t>978-5-227-10447-2</t>
  </si>
  <si>
    <t>Джошуа Пирсон, владелец сети отелей, отправляется в Вермонт, чтобы подготовить семейный коттедж к Рождеству и долгожданной встрече с повзрослевшими детьми. В один из холодных ноябрьских дней Джошуа знакомится с Ребеккой Нельсон — очаровательной женщиной, поселившейся в соседнем коттедже на время отпуска. Ребекка — балерина в недавнем прошлом — не привыкла сидеть сложа руки и предлагает Джошуа помощь в обновлении его жилища…</t>
  </si>
  <si>
    <t>16172</t>
  </si>
  <si>
    <t>Сердце на замке</t>
  </si>
  <si>
    <t>978-5-227-06148-5</t>
  </si>
  <si>
    <t>17658</t>
  </si>
  <si>
    <t>Сердце открытое любви</t>
  </si>
  <si>
    <t>978-5-227-07324-2</t>
  </si>
  <si>
    <t>18480</t>
  </si>
  <si>
    <t>Сердце под прицелом</t>
  </si>
  <si>
    <t>978-5-227-08391-3</t>
  </si>
  <si>
    <t>19730</t>
  </si>
  <si>
    <t>Сердце помнит все</t>
  </si>
  <si>
    <t>978-5-227-09355-4</t>
  </si>
  <si>
    <t>19596</t>
  </si>
  <si>
    <t>Сердце рвется к тебе</t>
  </si>
  <si>
    <t>978-5-227-09272-4</t>
  </si>
  <si>
    <t>14614</t>
  </si>
  <si>
    <t>Гиллинов М, Ниссен С</t>
  </si>
  <si>
    <t>Сердце.Справочник кардиопациента</t>
  </si>
  <si>
    <t>978-5-227-04640-6</t>
  </si>
  <si>
    <t>16811</t>
  </si>
  <si>
    <t>978-5-227-06845-3</t>
  </si>
  <si>
    <t>18409</t>
  </si>
  <si>
    <t>Сердцеедка без опыта</t>
  </si>
  <si>
    <t>978-5-227-08357-9</t>
  </si>
  <si>
    <t>19036</t>
  </si>
  <si>
    <t>Сердцеедка на миллион долларов</t>
  </si>
  <si>
    <t>978-5-227-08912-0</t>
  </si>
  <si>
    <t>18993</t>
  </si>
  <si>
    <t>Сердцеедка с острова соблазнов</t>
  </si>
  <si>
    <t>978-5-227-08841-3</t>
  </si>
  <si>
    <t>17622</t>
  </si>
  <si>
    <t>Сердцеедка со стажем</t>
  </si>
  <si>
    <t>978-5-227-07685-4</t>
  </si>
  <si>
    <t>17067</t>
  </si>
  <si>
    <t>Арбитман Р.</t>
  </si>
  <si>
    <t>Серийные любимцы. 105 современных сериалов, на которые не жаль потратить время</t>
  </si>
  <si>
    <t>978-5-227-06591-9</t>
  </si>
  <si>
    <t>15881</t>
  </si>
  <si>
    <t>Норд Н.</t>
  </si>
  <si>
    <t>Серый кот по имени Степан. Трогательная история дружбы кота и человека.</t>
  </si>
  <si>
    <t>978-5-227-05889-8</t>
  </si>
  <si>
    <t>10455</t>
  </si>
  <si>
    <t>Сестра милосердия</t>
  </si>
  <si>
    <t>978-5-9524-3619-0</t>
  </si>
  <si>
    <t>10626</t>
  </si>
  <si>
    <t>Сестра моя - смерть</t>
  </si>
  <si>
    <t>978-5-9524-3829-3</t>
  </si>
  <si>
    <t>14080</t>
  </si>
  <si>
    <t>Бажова Ю.</t>
  </si>
  <si>
    <t>Сети. Храм сердца</t>
  </si>
  <si>
    <t>978-5-227-04132-6</t>
  </si>
  <si>
    <t>21451</t>
  </si>
  <si>
    <t>Гинс Г. К.</t>
  </si>
  <si>
    <t>Сибирь, союзники и Колчак. Поворотный момент русской истории. 1918—1920 гг. Впечатления и мысли члена Омского правительства</t>
  </si>
  <si>
    <t>978-5-227-10862-3</t>
  </si>
  <si>
    <t>Белое движение в Сибири — огромный пласт фактов, личностей, событий, порой забытых, но при этом тесно связанных с историей России. Несколько правительств, действовавших в Сибири почти одновременно; роль Комуча (Комитета членов Учредительного собрания, разогнанного большевиками); сепаратистское движение, названное областничеством (Сибирская область), выступавшее за отделение Сибири от России или, по крайней мере, полную автономию; Чехословацкий корпус – откуда он взялся и почему играл в Сибири такую большую роль; кабинет генерала Хорвата, начальника КВЖД, объявившего себя Верховным правителем Дальнего Востока; интервенция иностранных держав и их политические декларации; маньчжурское и уссурийское казачество и дела атаманов казачьих войск… И наконец, личность, правление и трагический финал жизни адмирала А.В. Колчака._x000D_
Книга Г.К. Гинса отвечает на многие вопросы. Факты, которые остаются за рамками учебников истории, щедро рассыпаны на страницах его воспоминаний. Свидетельство человека, причастного к событиям, всегда представляет большой интерес, тем более автор старался соблюдать объективность и беспристрастность.</t>
  </si>
  <si>
    <t>20327</t>
  </si>
  <si>
    <t>Локкарт Р.Б. , Бобадилья Пепита</t>
  </si>
  <si>
    <t>Сидней Рейли: шпион-легенда XX века. Исто­рические факты, воспоминания соратников и близких</t>
  </si>
  <si>
    <t>978-5-9524-5826-0</t>
  </si>
  <si>
    <t>Книга Р.Б. Локкарта — жизнеописание самого виртуозного суперагента XX века — дополнена уникальными, впервые опубликованными материалами архивов ФСБ России и Пепиты Бобадилья, последней жены супершпиона._x000D_
Биография Рейли полна белых пятен. Он был агентом почти всех крупных разведок мира, манипулировал информацией и людьми, на чем сколотил изрядное состояние. Для него не составляло труда добыть план оборонных укреплений Порт-Артура, предотвратить тотальную подводную войну против Англии или очаровать понравившуюся женщину. Он любил Россию и ненавидел большевиков. Именно в России он начал карьеру шпиона, здесь и погиб, попав в ловушку чекистов (известная операция «Трест»)._x000D_
Документы из архивов ФСБ о последних днях и часах Рейли ставят все точки над и в версиях о его гибели, а дневники и воспоминания Сиднея Рейли приподнимают завесу тайны личности шпиона-легенды XX века.</t>
  </si>
  <si>
    <t>17071</t>
  </si>
  <si>
    <t>Сидячий грустный вислоух Дневничок</t>
  </si>
  <si>
    <t>17931</t>
  </si>
  <si>
    <t>Сидячий грустный вислоух. Дневничок</t>
  </si>
  <si>
    <t>978-5-227-08044-8</t>
  </si>
  <si>
    <t>12570</t>
  </si>
  <si>
    <t>Сила ведлов</t>
  </si>
  <si>
    <t>978-5-227-02730-6</t>
  </si>
  <si>
    <t>20528</t>
  </si>
  <si>
    <t>Сила его любви</t>
  </si>
  <si>
    <t>978-5-227-10201-0</t>
  </si>
  <si>
    <t>Младший принц маленькой островной страны Дмитрий — убежденный холостяк. Но все меняется, когда он узнает, что кто-то шпионит за их королевской семьей. Подозрения падают на ближайшую подругу семьи Дженну. Все осложняется тем, что Дмитрию Дженна давно нравится, и ему кажется, что это взаимно. Неужели она предательница?</t>
  </si>
  <si>
    <t>19769</t>
  </si>
  <si>
    <t>Сила намерения (голубая)</t>
  </si>
  <si>
    <t>978-5-227-09593-0</t>
  </si>
  <si>
    <t>19935</t>
  </si>
  <si>
    <t>Сила намерения. Как реализовать свои мечты и желания</t>
  </si>
  <si>
    <t>978-5-227-09712-5</t>
  </si>
  <si>
    <t>19920</t>
  </si>
  <si>
    <t>978-5-227-09713-2</t>
  </si>
  <si>
    <t>17959</t>
  </si>
  <si>
    <t>Сила притяжения</t>
  </si>
  <si>
    <t>978-5-227-08024-0</t>
  </si>
  <si>
    <t>21293</t>
  </si>
  <si>
    <t>Сила рода - тайна женщины. Сакральные знания для счастливой судьбы</t>
  </si>
  <si>
    <t>978-5-227-10825-8</t>
  </si>
  <si>
    <t>Ксения Меньшикова раскрывает родовые тайны, которые веками находились под семью печатями... Сделала она это для того, чтобы живущие вспомнили, кто они такие, и никогда не забывали об этом, чтобы были счастливы их дети и последующие поколения. Автор кричит своим читателям: опомнитесь, мы в ответе не только за свою жизнь! Нет людей без прошлого и без родословной. За каждым из нас стоят сотни предков. Их поступки повлияли на нашу жизнь. Мы продолжаем эту цепочку и закладываем судьбу потомков, будьте бережны к ней… Ведь вы хотите, чтобы они вспоминали вас с благодарностью? _x000D_
Женщины, на вас лежит особая ответственность. Вы — созидательницы и хранительницы, в ваших руках благополучие рода! А род наделяет человека здоровьем, выносливостью и силой выжить при любых обстоятельствах._x000D_
Прочтите книгу, примените полученные знания — и тогда не будет в семейной жизни предательства и разводов, брошенных детей и стариков, ввергнутых в нищету. Не будет сомнений о своем месте в этом мире. Не будет пустых попыток соединиться с тем, с кем по закону и судьбе соединяться противопоказано. Не будет разочарования собой и своей жизнью, страха за своих детей и близких…</t>
  </si>
  <si>
    <t>21482</t>
  </si>
  <si>
    <t>Солодовникова О.В.</t>
  </si>
  <si>
    <t>Сила рода во мне. Как понять и познать свою связь с родом. Руководство для новичков</t>
  </si>
  <si>
    <t>978-5-227-10899-9</t>
  </si>
  <si>
    <t>Перед вами третья книга Оксаны Солодовниковой, посвященная Силе рода и применению расстановок. Именно в этой книге автор обобщила все вопросы, заданные читателями, участниками тренингов и коучинга в течение последних трех лет._x000D_
Автор предлагает практики, которые помогут разрешить многие ситуации в жизни. Именно эти практики откроют вам невидимый мир взаимосвязей с вашим родом. Они раскроют, откуда идут проблемы со здоровьем, в отношениях или с деньгами. Более того, с их помощью вы сможете проработать истории, в которые уходит ваша жизненная энергия, избавиться от повторения шаблонов поведения, идущих из семейно-родовой системы и мешающих идти к своим целям, создавать отношения, наполненные взаимопониманием и любовью. Первые шаги с книгой помогут вам получить поддержку, силу и даже помощь от своего рода, наполниться новыми силами для своей жизни, деятельности, открыть новые возможности и наслаждаться жизнью здесь и сейчас._x000D_
Несмотря ни на что, жизнь продолжается дальше. И эта книга — первые шаги к тому, чтобы раскрасить ее в новые цвета и помочь сделать то же своим детям или другим людям.</t>
  </si>
  <si>
    <t>21463</t>
  </si>
  <si>
    <t>Сила рода. Уникальные практики: исцеление отношений, укрепление здоровья, самореализация</t>
  </si>
  <si>
    <t>978-5-227-10886-9</t>
  </si>
  <si>
    <t>В жизни каждого случаются неурядицы. Неприятные, травмирующие события происходят даже с самыми хорошими людьми. Конечно, самый лучший выход из такой ситуации - решить проблему, найти причину и устранить ее. Но немногие осознают, что беды - разводы, болезни, несчастные случаи, конфликты - преследуют их уже не одно поколение. Зачастую проблема кроется именно в этом, и наиболее эффективно помочь себе, своей семье и близким можно, только заглянув в историю рода и увидев, что именно в ней сокрыто. Корни происходящего с нами именно там, в жизни наших родителей, бабушек, дедушек. Оксана Солодовникова - специалист с многолетним опытом, и она помогла многим людям обрести здоровье и счастье, открыв для них их родовую программу и проработав ее с ними, в том числе с помощью расстановок. Этот сборник, состоящий из трех ее книг, будет вашим верным спутником в путешествии в прошлое, помогая понять родовую программу, и в будущее, помогая найти наилучший выход из сложившейся ситуации, будь то психологическая травма или болезнь. Вы сможете получить поддержку, силу и помощь от своего рода, открыть новые возможности и наслаждаться жизнью здесь и сейчас.</t>
  </si>
  <si>
    <t>21542</t>
  </si>
  <si>
    <t>Сила Стихий. Раскрытие и познание</t>
  </si>
  <si>
    <t>978-5-227-10994-1</t>
  </si>
  <si>
    <t>С понятием стихий мы знакомы с детства. Земля, по которой ходим, огонь, что согревает, вода, которую пьём, и воздух, которым дышим, так же естественны для восприятия, как и то, что всё перечисленное есть основание для жизни. К естественному быстро привыкаешь и перестаёшь замечать удивительные вещи, которые делают человека живым, а ощущение жизни реальным… Однако цель этой книги совсем не в том, чтобы убедить вас в очевидности состояния «жизнь» или необходимости беречь природу. Цель в том, чтобы рассказать вам о стихийных силах в оккультном, магическом смысле, раскрыть их истинную суть.  Каждый может прийти в мир с набором прав, но может и бесправным. Единственное, что у каждого человека есть как базис, как основа формирования любых прав, — это Сила Стихий. Даже совершенно бесправный человек может поднять себя до невероятных высот, если научится работать со стихийными силами. Познание стихийных сил — это познание своей настоящей природы. Это познание природы мира, в котором живёт человек, природы истинной, изначальной. Познание ведёт к пониманию, а понимание даёт контроль. Контроль над своей природой — это первый шаг к постижению великого искусства магии. _x000D_
Пусть эта книга станет путеводной нитью, которая поможет научиться ходить — ходить по магическим тропам постижения себя и сотворённой вами реальности.</t>
  </si>
  <si>
    <t>21459</t>
  </si>
  <si>
    <t>Сила чисел, или Задорная нумерология</t>
  </si>
  <si>
    <t>978-5-227-10883-8</t>
  </si>
  <si>
    <t>Автор книги Михаил Задорнов – горячо любимый жителями России и зарубежья писатель-сатирик, драматург, юморист – в рекламе не нуждается! И хотя его без преувеличения знает вся наша большая страна, далеко не всем известно, что Михаил Николаевич по специальности инженер и любовь к числам для него не случайна._x000D_
Рады представить Вам великолепную книгу по нумерологии, в которой автор в свойственной ему манере легко, непринужденно, с блестящим юмором и захватывающе интересно рассказывает читателям о том, какую силу над нашей судьбой имеют числа._x000D_
После прочтения книги Вы узнаете, что числа могут помочь каждому из нас найти себя, что у каждого числа есть свои преимущества и свои недостатки, свои светлые и тёмные стороны, что тот, кто овладеет умением дружить с числами, станет настоящим волшебником!_x000D_
Готовы к волшебству? Читайте!</t>
  </si>
  <si>
    <t>20107</t>
  </si>
  <si>
    <t>Сильная женщина, или Обопрись о мое плечо</t>
  </si>
  <si>
    <t>978-5-227-09768-2</t>
  </si>
  <si>
    <t>21484</t>
  </si>
  <si>
    <t>Сильная Женщина, или Обопрись о моё плечо</t>
  </si>
  <si>
    <t>978-5-227-10984-2</t>
  </si>
  <si>
    <t>В твоих руках долгожданное произведение Мастера, которое поможет тебе стать счастливой. Анатолий Александрович поставил перед собой непростую задачу — написать книгу, после прочтения и осмысления которой всколыхнётся в каждой читательнице спящая женственность и родится из сильной, воинствующей амазонки прекрасная Афродита: мягкая, нежная и счастливая!_x000D_
Вперёд, не откладывай, читай! И спадут шоры внутреннего контроля, начнут один за другим отваливаться корочки заживших страхов и предустановок. Ты по-новому почувствуешь вкус пищи, воздуха, воды, услышишь голоса людей и звуки города... Будь счастлива, а чем счастливее родители, тем гармоничнее их дети, ведь они лакмусовая бумажка, верно отражающая количество Счастья в семье._x000D_
Ощутив себя в безопасности, в мягкости принятия своей женственности, ты удивишься, что не выносишь самой мысли о том, чтобы драться зубами и когтями на мужском поле, лошадью тащить непомерный воз обязанностей и гордыни. Ты увидишь, что истинная Сила — в пластичности принятия, в гибкости и в истинной кротости с достоинством, в любви и радости…</t>
  </si>
  <si>
    <t>18738</t>
  </si>
  <si>
    <t>Сильнее желать невозможно</t>
  </si>
  <si>
    <t>978-5-227-08584-9</t>
  </si>
  <si>
    <t>18550</t>
  </si>
  <si>
    <t>Сильней любить невозможно</t>
  </si>
  <si>
    <t>978-5-227-08437-8</t>
  </si>
  <si>
    <t>14101</t>
  </si>
  <si>
    <t>Сильные духом</t>
  </si>
  <si>
    <t>978-5-227-04150-0</t>
  </si>
  <si>
    <t>18140</t>
  </si>
  <si>
    <t>Симфония давней страсти</t>
  </si>
  <si>
    <t>978-5-227-08134-6</t>
  </si>
  <si>
    <t>18737</t>
  </si>
  <si>
    <t>Сицилийская Золушка для мачо</t>
  </si>
  <si>
    <t>978-5-227-08580-1</t>
  </si>
  <si>
    <t>14377</t>
  </si>
  <si>
    <t>Скажи"Я Согласна!"</t>
  </si>
  <si>
    <t>978-5-227-04352-8</t>
  </si>
  <si>
    <t>15618</t>
  </si>
  <si>
    <t>Скажи, что любишь</t>
  </si>
  <si>
    <t>978-5-227-05054-0</t>
  </si>
  <si>
    <t>21126</t>
  </si>
  <si>
    <t>Нечволодов А.Д</t>
  </si>
  <si>
    <t>Сказание о земле русской. От начала времени до Куликова поля</t>
  </si>
  <si>
    <t>978-5-227-10711-4</t>
  </si>
  <si>
    <t>Книга, написанная действительным членом Императорского русского военно-исторического общества Александром Нечволодовым, уникальна. Ее первое издание стало настольной книгой в семье последнего российского императора Николая II. «Сказания о земле Русской» включают в себя обширнейший историографический материал: от древнерусских былин, песен и летописей до работ Н.М. Карамзина, С.М. Соловьева, И.Е. Забелина и многих других историков и писателей, чьи имена вписаны в золотой фонд истории нашего Отечества. Каждая страница книги пронизана любовью к России и гордостью за ее славное прошлое, настоящее и будущее.</t>
  </si>
  <si>
    <t>21284</t>
  </si>
  <si>
    <t>Сказание о земле русской. От Тамерлана до царя Михаила Романова</t>
  </si>
  <si>
    <t>978-5-227-10739-8</t>
  </si>
  <si>
    <t>Автор знаменитого труда «Сказания о земле Русской» Александр Дмитриевич Нечволодов — боевой генерал, действительный член Императорского русского военно-исторического общества. В семье последнего русского императора Николая II первое издание «Сказаний» стало настольной книгой. В разных учебных заведениях царской России исследование долгие годы являлось историческим пособием.</t>
  </si>
  <si>
    <t>18368</t>
  </si>
  <si>
    <t>Холл Д.</t>
  </si>
  <si>
    <t>Сказания викингов. Истории о древних королях, отважных моряках, сражениях и невиданных странах</t>
  </si>
  <si>
    <t>978-5-9524-5333-3</t>
  </si>
  <si>
    <t>20869</t>
  </si>
  <si>
    <t>Сказка о смерти</t>
  </si>
  <si>
    <t>978-5-227-10503-5</t>
  </si>
  <si>
    <t>В Берне обнаружен труп женщины с загадочным символом, который убийца вырезал у нее на груди. Однако это не единственная его жертва. Голландский профайлер Мартен С. Снейдер и комиссар БКА Сабина Немез открывают охоту на преступника, но кажется, что убийца всегда на шаг впереди. Между тем молодой специалист в области психологии Ханна приезжает в «Штайнфельз», тюрьму для преступников с психическими отклонениями. Она должна проводить сеансы групповой терапии. Но ее интересует один­единственный заключенный — Пит ван Лун. Когда­то Снейдер упрятал его за решетку. Так и опытные следователи, и начинающий психолог оказались втянуты в дьявольскую игру, в которой не будет победителя.</t>
  </si>
  <si>
    <t>16991</t>
  </si>
  <si>
    <t>Сказочное предложение</t>
  </si>
  <si>
    <t>978-5-227-07033-3</t>
  </si>
  <si>
    <t>19428</t>
  </si>
  <si>
    <t>Сказочные единороги. Творческая раскраска</t>
  </si>
  <si>
    <t>978-5-9524-5478-1</t>
  </si>
  <si>
    <t>16235</t>
  </si>
  <si>
    <t>Сказочные ночи</t>
  </si>
  <si>
    <t>978-5-227-06168-3</t>
  </si>
  <si>
    <t>18955</t>
  </si>
  <si>
    <t>Сказочный плен с искусителем</t>
  </si>
  <si>
    <t>978-5-227-08793-5</t>
  </si>
  <si>
    <t>15641</t>
  </si>
  <si>
    <t>Скамейка для влюбленных</t>
  </si>
  <si>
    <t>978-5-227-05057-1</t>
  </si>
  <si>
    <t>18893</t>
  </si>
  <si>
    <t>Скандал в день свадьбы</t>
  </si>
  <si>
    <t>978-5-227-08784-3</t>
  </si>
  <si>
    <t>18483</t>
  </si>
  <si>
    <t>Скандал в семействе Уинтерли</t>
  </si>
  <si>
    <t>978-5-227-08425-5</t>
  </si>
  <si>
    <t>17021</t>
  </si>
  <si>
    <t>Скандал у алтаря</t>
  </si>
  <si>
    <t>978-5-227-07040-1</t>
  </si>
  <si>
    <t>19783</t>
  </si>
  <si>
    <t>Скандальная любовь</t>
  </si>
  <si>
    <t>978-5-227-09402-5</t>
  </si>
  <si>
    <t>14990</t>
  </si>
  <si>
    <t>Скандальная наследница</t>
  </si>
  <si>
    <t>978-5-227-04970-4</t>
  </si>
  <si>
    <t>19484</t>
  </si>
  <si>
    <t>Скандальное сватовство герцога</t>
  </si>
  <si>
    <t>978-5-227-09142-0</t>
  </si>
  <si>
    <t>14551</t>
  </si>
  <si>
    <t>Скандальные признания</t>
  </si>
  <si>
    <t>978-5-227-04616-1</t>
  </si>
  <si>
    <t>5643</t>
  </si>
  <si>
    <t>Скатерть баранчик и сума</t>
  </si>
  <si>
    <t>5-9524-1534-2</t>
  </si>
  <si>
    <t>15760</t>
  </si>
  <si>
    <t>Скверная девчонка</t>
  </si>
  <si>
    <t>978-5-227-05680-1</t>
  </si>
  <si>
    <t>20114</t>
  </si>
  <si>
    <t>Скверная кровь</t>
  </si>
  <si>
    <t>978-5-227-09841-2</t>
  </si>
  <si>
    <t>16033</t>
  </si>
  <si>
    <t>Ерофеев А.Д., Владимирович А.Г.</t>
  </si>
  <si>
    <t>Скверы, сады и парки Петербурга. Зелёное убранство Северной столицы</t>
  </si>
  <si>
    <t>978-5-227-05998-7</t>
  </si>
  <si>
    <t>15377</t>
  </si>
  <si>
    <t>Шевченко М.Л.</t>
  </si>
  <si>
    <t>Сквозь мутное время</t>
  </si>
  <si>
    <t>978-5-227-05398-5</t>
  </si>
  <si>
    <t>17395</t>
  </si>
  <si>
    <t>Рид Мишель</t>
  </si>
  <si>
    <t>Сквозь паутину лжи</t>
  </si>
  <si>
    <t>978-5-227-07439-3</t>
  </si>
  <si>
    <t>18645</t>
  </si>
  <si>
    <t>Левина Н.</t>
  </si>
  <si>
    <t>Сквозь портал</t>
  </si>
  <si>
    <t>978-5-227-08649-5</t>
  </si>
  <si>
    <t>20099</t>
  </si>
  <si>
    <t>Грэм Ф.</t>
  </si>
  <si>
    <t>Скифские империи</t>
  </si>
  <si>
    <t>978-5-9524-5716-4</t>
  </si>
  <si>
    <t>2635</t>
  </si>
  <si>
    <t>Колосов Д.</t>
  </si>
  <si>
    <t>Скифские саги</t>
  </si>
  <si>
    <t>5-227-01283-0</t>
  </si>
  <si>
    <t>19728</t>
  </si>
  <si>
    <t>Скифы. Строители степных пирамид</t>
  </si>
  <si>
    <t>978-5-9524-5541-2</t>
  </si>
  <si>
    <t>16156</t>
  </si>
  <si>
    <t>Скованы страстью</t>
  </si>
  <si>
    <t>978-5-227-06122-5</t>
  </si>
  <si>
    <t>15051</t>
  </si>
  <si>
    <t>Поляков (Катин) Д.</t>
  </si>
  <si>
    <t>Скользящие в рай</t>
  </si>
  <si>
    <t>978-5-227-04996-4</t>
  </si>
  <si>
    <t>7831</t>
  </si>
  <si>
    <t>Славина О.</t>
  </si>
  <si>
    <t>Сколько весит счастье</t>
  </si>
  <si>
    <t>978-5-9524-2760-0</t>
  </si>
  <si>
    <t>10490</t>
  </si>
  <si>
    <t>Скорая кулинарная помощь</t>
  </si>
  <si>
    <t>978-5-9524-3668-8</t>
  </si>
  <si>
    <t>10491</t>
  </si>
  <si>
    <t>978-5-9524-3669-5</t>
  </si>
  <si>
    <t>21637</t>
  </si>
  <si>
    <t>ЛАЗЕРСОН</t>
  </si>
  <si>
    <t>Скорая кулинарная помощь на вашей кухне. В будни и праздники</t>
  </si>
  <si>
    <t>978-5-227-11013-8</t>
  </si>
  <si>
    <t>Двадцать лет каждое воскресенье идет в прямом эфире радиопередача «Скорая кулинарная помощь». В ней Михаил Спичка принимает вопросы от слушателей, а Илья Лазерсон на них отвечает. Категории вопросов самые разные. От выбора продуктов до способов и сроков хранения. Как выбрать мясо для шашлыка? Как определить спелость авокадо? Можно ли пить коньяк, купленный еще при Брежневе? Спрашивают, конечно, и о правилах приготовления тех или иных блюд, о составе и соотношении ингредиентов в рецепте..._x000D_
Отвечая на поставленные вопросы, авторы дарят вам необычную, «вкусную» книгу, в которой дают массу полезных кулинарных советов на все случаи жизни в будни и праздники. Вы узнаете о простейших способах приготовления пищи, о новых тенденциях в мире кулинарии, получите оригинальные рецепты. В книге прокомментированы многочисленные ошибки, неточности огромного количества издаваемых нынче кулинарных книг, кулинарных разделов глянцевых журналов, изданий попроще и Интернете..._x000D_
Авторы предлагают отнестись к приготовлению блюд с фантазией и выдумкой. Их простые советы и рекомендации окажут вам скорую и эффективную кулинарную помощь.</t>
  </si>
  <si>
    <t>16950</t>
  </si>
  <si>
    <t>Скрепить сделку страстью</t>
  </si>
  <si>
    <t>978-5-227-06857-6</t>
  </si>
  <si>
    <t>21749</t>
  </si>
  <si>
    <t>Слава Роду! Этимология русской жизни</t>
  </si>
  <si>
    <t>978-5-227-11109-8</t>
  </si>
  <si>
    <t>Творчество Михаила Задорнова давно перешагнуло рамки сатиры и юмора. Его интересы разносторонни: нумерология, история, этимология русской жизни и бесконечные расследования по происхождению слов._x000D_
Как научиться понимать исконный смысл знакомых слов, слышать природную дрожь родного языка? Возможно, кому­то будет достаточно прочитать автобиографическую повесть Михаила Задорнова о том, как он, будучи ещё начинающим журналистом, поехал в Сибирь писать очерк о староверах и встретил в тайге ведьму._x000D_
С тех пор прошло много времени. Автор путешествовал по миру, вслушивался в речь нашу и других народов. Проводил исследования, сидел в архивах. Призывая славить свой род, Михаил Николаевич рассказывает удивительные вещи о происхождении простых слов: папа, мама, бабушка, тётя — и слов­загадок для нынешнего молодого поколения: сноха, деверь, золовка._x000D_
В этой книге вас ждёт захватывающее толкование сюжетов русских сказок и привычных календарных праздников. Вы услышите, что прошепчут буквы нашего алфавита, и испытаете гордость за родную речь, узнав, что английский язык — испорченный русский.</t>
  </si>
  <si>
    <t>20615</t>
  </si>
  <si>
    <t>Славяне. Сыны Перуна</t>
  </si>
  <si>
    <t>978-5-9524-5907-6</t>
  </si>
  <si>
    <t>Всемирно известный археолог и этнограф Мария Гимбутас на основе археологических, исторических и лингвистических материалов, обобщенных в книге, рисует величественную панораму раннего развития славян. Это позволяет реконструировать материальную куль¬туру, религиозные представления и быт древних славян, установить по возможности точную хронологию важнейших фаз развития групп народов, объединенных общностью происхождения и единой языковой группой.</t>
  </si>
  <si>
    <t>21543</t>
  </si>
  <si>
    <t>Славянские духи, чудовища и прочая нежить. В сказках, мифах и наших домах…</t>
  </si>
  <si>
    <t>978-5-9524-6186-4</t>
  </si>
  <si>
    <t>Возраст языческих мифов и легенд впечатляет: по некоторым расчётам, он достигает нескольких тысяч лет! Наши предки всерьёз верили в ту нечисть, которую мы сейчас считаем достойной лишь детских страшилок. Все природные пространства у наших предков имели мифических обитателей. В лесу хозяйничал леший, в реках и озёрах — водяной, в болоте — болотник, в поле — полевик. Обжитое человеком пространство также было заселено духами. В доме тайно жил домовой, в бане — банник. Древние славяне одушевляли природу, верили в существование сверхъестественных сил и таинственных чудищ. На страницах этой книги нас ждут страшные кикиморы и лешие, безжалостные упыри, прекрасная птица Алконост, славянский кентавр — Полкан, проказник, Соловей-разбойник маленький, злой Анчутка, прекрасные русалки, оборотни-берендеи, бессмертный Кощей, пугающий детей бабайка, беспокойный барабашка и легендарная Баба Яга…</t>
  </si>
  <si>
    <t>10320</t>
  </si>
  <si>
    <t>Сладкие блюда и напитки</t>
  </si>
  <si>
    <t>978-5-9524-3472-1</t>
  </si>
  <si>
    <t>17768</t>
  </si>
  <si>
    <t>Сладкие сны любви</t>
  </si>
  <si>
    <t>978-5-227-07737-0</t>
  </si>
  <si>
    <t>16690</t>
  </si>
  <si>
    <t>Сладкий обман</t>
  </si>
  <si>
    <t>978-5-227-06705-0</t>
  </si>
  <si>
    <t>21008</t>
  </si>
  <si>
    <t>Сладкий плен искушения</t>
  </si>
  <si>
    <t>978-5-227-10470-0</t>
  </si>
  <si>
    <t>Решив насладиться свободой перед вынужденным замужеством, принцесса Шарлотта Ротсбург сбегает в Нью­Йорк, где знакомится с миллиардером Рокко Сантинова, и проводит с ним волшебную ночь. Оба уверены, что расстанутся навсегда, но жизнь распорядилась иначе: накануне свадьбы с шейхом принцесса узнает, что ждет ребенка от Рокко...</t>
  </si>
  <si>
    <t>16055</t>
  </si>
  <si>
    <t>Сладкое лекарство от бессоницы</t>
  </si>
  <si>
    <t>978-5-227-06070-9</t>
  </si>
  <si>
    <t>12015</t>
  </si>
  <si>
    <t>Кармайкл С. Д.</t>
  </si>
  <si>
    <t>Сладостное поражение</t>
  </si>
  <si>
    <t>978-5-227-02172-4</t>
  </si>
  <si>
    <t>16457</t>
  </si>
  <si>
    <t>Сладость твоих губ</t>
  </si>
  <si>
    <t>978-5-227-06294-9</t>
  </si>
  <si>
    <t>16074</t>
  </si>
  <si>
    <t>Слаще меда</t>
  </si>
  <si>
    <t>978-5-227-06061-7</t>
  </si>
  <si>
    <t>18890</t>
  </si>
  <si>
    <t>Слегка помолвлены</t>
  </si>
  <si>
    <t>978-5-227-08769-0</t>
  </si>
  <si>
    <t>2374</t>
  </si>
  <si>
    <t>След кайова</t>
  </si>
  <si>
    <t>5-227-01103-6</t>
  </si>
  <si>
    <t>0174</t>
  </si>
  <si>
    <t>Следов не оставлять</t>
  </si>
  <si>
    <t>978-5-227-07005-0</t>
  </si>
  <si>
    <t>18393</t>
  </si>
  <si>
    <t>Следователь по особо важным делам</t>
  </si>
  <si>
    <t>978-5-9524-5306-7</t>
  </si>
  <si>
    <t>18357</t>
  </si>
  <si>
    <t>Следуй за своим сердцем</t>
  </si>
  <si>
    <t>978-5-227-08329-6</t>
  </si>
  <si>
    <t>21680</t>
  </si>
  <si>
    <t>Фауст В.</t>
  </si>
  <si>
    <t>Следы «Тигра». Фронтовые записки немецкого танкиста. 1944</t>
  </si>
  <si>
    <t>978-5-9524-6422-3</t>
  </si>
  <si>
    <t>Механик-водитель немецкого танка «Тигр» описывает боевой путь, который он прошел вместе со своим экипажем по военным дорогам Восточного фронта Второй мировой войны. Обладая несомненными литературными способностями, автор с большой степенью достоверности передал характер этой войны с ее кровопролитием, хаосом, размахом уничтожения, суровым фронтовым бытом и невероятной храбростью, проявленной солдатами и офицерами обеих воюющих сторон. И хотя он уверен в справедливости войны, которую ведет Германия, под огнем советских орудий мысленно восклицает: «Казалось, вся Россия обрушила на нас свой гнев и всю свою ярость за то, что мы натворили на этой земле».</t>
  </si>
  <si>
    <t>19260</t>
  </si>
  <si>
    <t>Шабельник Р.</t>
  </si>
  <si>
    <t>Следы Атомных богов</t>
  </si>
  <si>
    <t>978-5-227-09162-8</t>
  </si>
  <si>
    <t>21750</t>
  </si>
  <si>
    <t>Роднина И.К.</t>
  </si>
  <si>
    <t>Слеза чемпионки</t>
  </si>
  <si>
    <t>978-5-227-07933-6</t>
  </si>
  <si>
    <t>Автор книги — великая спортсменка, самая успешная фигуристка в истории парного катания: трехкратная олимпийская чемпионка, десятикратная чемпионка мира, одиннадцатикратная чемпионка Европы — ушла из спорта, ни разу не уступив никому своего чемпионского звания. В своих честных, откровенных воспоминаниях она рассказывает о своей спортивной и личной жизни, где главную роль сыграли ее целеустремленность, твердый характер, умение идти наперекор судьбе и обстоятельствам.</t>
  </si>
  <si>
    <t>3139</t>
  </si>
  <si>
    <t>Слепое пятно</t>
  </si>
  <si>
    <t>5-227-01700-X</t>
  </si>
  <si>
    <t>11796</t>
  </si>
  <si>
    <t>Слива, терн, алыча... Сорта, выращивание, календарь садовых работ</t>
  </si>
  <si>
    <t>978-5-9524-4754-7</t>
  </si>
  <si>
    <t>19323</t>
  </si>
  <si>
    <t>Слишком женская история</t>
  </si>
  <si>
    <t>978-5-227-09091-1</t>
  </si>
  <si>
    <t>15497</t>
  </si>
  <si>
    <t>Слишком личные отношения</t>
  </si>
  <si>
    <t>978-5-227-05494-4</t>
  </si>
  <si>
    <t>14168</t>
  </si>
  <si>
    <t>Слияние двух одиночеств</t>
  </si>
  <si>
    <t>978-5-227-04225-5</t>
  </si>
  <si>
    <t>19246</t>
  </si>
  <si>
    <t>Слова, которые мы не сказали</t>
  </si>
  <si>
    <t>978-5-227-09062-1</t>
  </si>
  <si>
    <t>21030</t>
  </si>
  <si>
    <t>Словарь Сатаны</t>
  </si>
  <si>
    <t>978-5-9524-6064-5</t>
  </si>
  <si>
    <t>«Словарь Сатаны» — одно из ярчайших сатирических произведений XX века, принадлежащее перу знаменитого американского писателя Амброза Бирса._x000D_
Вниманию читателей предлагается самая полная, некупированная версия произведения на русском языке. В ней содержится 998 определений. Почему не 1000? Спросите у мистера Бирса… Многие статьи автор сопроводил стихотворными иллюстрациями, их в книге около 200. Пусть вас не вводят в заблуждение ссылки на авторов, большинство из них выдуманы самим Бирсом.</t>
  </si>
  <si>
    <t>21190</t>
  </si>
  <si>
    <t>Кирло Х.</t>
  </si>
  <si>
    <t>Словарь символов. 1000 статей о важнейших понятиях религии, литературы, архитектуры, истории</t>
  </si>
  <si>
    <t>978-5-9524-5757-7</t>
  </si>
  <si>
    <t>Испанский искусствовед Хуан Кирло, теоретик «Барселонской школы», познакомит вас с загадочными визуальными символами, ведущими свое начало из глубокой древности. Кирло последовательно и глубоко раскрывает значение таких символов мировой культуры, как ЧИСЛО, ВОДА, КРЕСТ, КАДУЦЕЙ и многие другие, в их историческом, социальном и ритуально-мистическом аспектах, четко отмечая границы самого понятия «символ». Уникальный иллюстрированный словарь содержит около тысячи искусствоведческих статей, описывающих символы, принятые для обозначения целого комплекса понятий в религии, мифологии, живописи, литературе и архитектуре.</t>
  </si>
  <si>
    <t>10946</t>
  </si>
  <si>
    <t>СЛОВАРЬ</t>
  </si>
  <si>
    <t>Медведева</t>
  </si>
  <si>
    <t>Словарь трудностей современного русского языка</t>
  </si>
  <si>
    <t>978-5-9524-4040-1</t>
  </si>
  <si>
    <t>19298</t>
  </si>
  <si>
    <t>Словарь церковных терминов. Символы и понятия христианской веры</t>
  </si>
  <si>
    <t>978-5-227-09124-6</t>
  </si>
  <si>
    <t>17942</t>
  </si>
  <si>
    <t>Служебный роман по-карибски</t>
  </si>
  <si>
    <t>978-5-227-07992-3</t>
  </si>
  <si>
    <t>19505</t>
  </si>
  <si>
    <t>Бенцианов М.М.</t>
  </si>
  <si>
    <t>Служилые элиты Московского государства. Формирование, статус, интеграция. XV—XVI вв.</t>
  </si>
  <si>
    <t>978-5-227-09147-5</t>
  </si>
  <si>
    <t>10179</t>
  </si>
  <si>
    <t>Служители зла</t>
  </si>
  <si>
    <t>978-5-9524-3355-7</t>
  </si>
  <si>
    <t>17361</t>
  </si>
  <si>
    <t>Случайная встреча в Париже</t>
  </si>
  <si>
    <t>978-5-227-07426-3</t>
  </si>
  <si>
    <t>15217</t>
  </si>
  <si>
    <t>Келли Мира Линн</t>
  </si>
  <si>
    <t>Случайная связь</t>
  </si>
  <si>
    <t>978-5-227-05218-6</t>
  </si>
  <si>
    <t>18385</t>
  </si>
  <si>
    <t>Случайное счастье</t>
  </si>
  <si>
    <t>978-5-227-08371-5</t>
  </si>
  <si>
    <t>18502</t>
  </si>
  <si>
    <t>Случайные партнеры</t>
  </si>
  <si>
    <t>978-5-227-08426-2</t>
  </si>
  <si>
    <t>20477</t>
  </si>
  <si>
    <t>Случайный любимый муж</t>
  </si>
  <si>
    <t>978-5-227-10157-0</t>
  </si>
  <si>
    <t>Готовя сюрприз своему бойфренду Алексу Камарасу, Морган Стэнфилд проникает тайком в его спальню и застает того в объятиях другой женщины. Пытаясь незаметно выбраться из дома, девушка случайно оказывается в спальне его брата Константина и остается там до утра. Именно к нему Морган всегда по-настоящему влекло, но нужна ли она мужчине, который давно решил, что в его жизни нет места для любви и семьи?..</t>
  </si>
  <si>
    <t>14718</t>
  </si>
  <si>
    <t>Уиллингем М.</t>
  </si>
  <si>
    <t>Случайный принц</t>
  </si>
  <si>
    <t>978-5-227-04701-4</t>
  </si>
  <si>
    <t>15299</t>
  </si>
  <si>
    <t>Случайный флирт</t>
  </si>
  <si>
    <t>978-5-227-05313-8</t>
  </si>
  <si>
    <t>18219</t>
  </si>
  <si>
    <t>Слушай свое сердце</t>
  </si>
  <si>
    <t>978-5-227-08156-8</t>
  </si>
  <si>
    <t>21789</t>
  </si>
  <si>
    <t>Смертельная боль</t>
  </si>
  <si>
    <t>978-5-9524-6405-6</t>
  </si>
  <si>
    <t>В самый разгар внутреннего расследования и поисков «крота» в своих рядах профайлера БКА Мартена С. Снейдера и его команду отправляют в Норвегию, чтобы раскрыть убийство немецкого посла. Мотив остается загадкой, а норвежская полиция отказывается сотрудничать. Снейдер проявляет креативность — и тем самым привлекает к себе внимание опасного противника. Когда жертвой хладнокровного убийцы становится член команды следователей БКА, Снейдер сталкивается с самым тяжелым испытанием в своей жизни…</t>
  </si>
  <si>
    <t>8804</t>
  </si>
  <si>
    <t>Николаенко</t>
  </si>
  <si>
    <t>Смертельная диета</t>
  </si>
  <si>
    <t>978-5-9524-3073-0</t>
  </si>
  <si>
    <t>21832</t>
  </si>
  <si>
    <t>Смертельная месть</t>
  </si>
  <si>
    <t>978-5-9524-6512-1</t>
  </si>
  <si>
    <t>10922</t>
  </si>
  <si>
    <t>Смертельная поездка</t>
  </si>
  <si>
    <t>978-5-9524-4076-0</t>
  </si>
  <si>
    <t>19635</t>
  </si>
  <si>
    <t>Смертельные иллюзии</t>
  </si>
  <si>
    <t>978-5-227-09493-3</t>
  </si>
  <si>
    <t>18729</t>
  </si>
  <si>
    <t>Смертельные инвестиции</t>
  </si>
  <si>
    <t>978-5-227-08681-5</t>
  </si>
  <si>
    <t>19681</t>
  </si>
  <si>
    <t>Смертельные обеты</t>
  </si>
  <si>
    <t>978-5-227-09516-9</t>
  </si>
  <si>
    <t>19721</t>
  </si>
  <si>
    <t>Смертельные поцелуи</t>
  </si>
  <si>
    <t>978-5-227-09569-5</t>
  </si>
  <si>
    <t>20952</t>
  </si>
  <si>
    <t>Смертельный хоровод</t>
  </si>
  <si>
    <t>978-5-227-10573-8</t>
  </si>
  <si>
    <t>Несколько высокопоставленных чинов Федерального ведомства уголовной полиции кончают жизнь самоубийством самым жестоким образом и при загадочных обстоятельствах. Сабина Немез – комиссар группы по расследованию убийств и преподаватель Академии БКА – сразу заподозрила неладное. Многое указывает на давний заговор и жаждущую мести жертву. Сабина просит бывшего коллегу, временно отстраненного от службы профайлера Мартена С. Снейдера, о содействии в запутанном деле. Но он отказывается сотрудничать и убеждает ее не вмешиваться. Однако, когда Сабина бесследно исчезает, Снейдер начинает действовать. Тем самым он переходит дорогу не только исполненному ненависти убийце, но и своим бывшим соратникам, которые готовы пойти на все, чтобы навсегда скрыть грехи прошлого…</t>
  </si>
  <si>
    <t>21352</t>
  </si>
  <si>
    <t>978-5-227-10688-9</t>
  </si>
  <si>
    <t>20525</t>
  </si>
  <si>
    <t>Смертный приговор</t>
  </si>
  <si>
    <t>978-5-227-10250-8</t>
  </si>
  <si>
    <t>В лесу на окраине Вены семейная пара, приехавшая в свой пригородный дом, находит обнаженную исхудавшую девочку. Вся ее спина покрыта татуировками с мотивами из «Ада» Данте. Полиции удается выяснить, что это одиннадцатилетняя Клара, пропавшая год назад. Но девочка упорно молчит о прошедших двенадцати месяцах.
Тем временем молодая сотрудница мюнхенской полиции Сабина Немез начинает обучение на курсе для высокоодаренных молодых кадров. Ее преподаватель – опытный голландский профайлер Мартен С. Снейдер. Суть методики его обучения заключается в том, что со студентами он разбирает нераскрытые преступления. Вскоре Сабина вместе со Снейдером погружается в расследования трех жутких дел, которые лишь на первый взгляд не имеют ничего общего. А когда прослеживается связь с похищением той самой девочки в Вене, границы между теорией и практикой окончательно размываются...</t>
  </si>
  <si>
    <t>21108</t>
  </si>
  <si>
    <t>978-5-227-10673-5</t>
  </si>
  <si>
    <t>В лесу на окраине Вены семейная пара, приехавшая в свой пригородный дом, находит обнаженную исхудавшую девочку. Вся ее спина покрыта татуировками с мотивами из «Ада» Данте. Полиции удается выяснить, что это одиннадцатилетняя Клара, пропавшая год назад. Но девочка упорно молчит о прошедших двенадцати месяцах._x000D_
Тем временем молодая сотрудница мюнхенской полиции Сабина Немез начинает обучение на курсе для высокоодаренных молодых кадров. Ее преподаватель – опытный голландский профайлер Мартен С. Снейдер. Суть методики его обучения заключается в том, что со студентами он разбирает нераскрытые преступления. Вскоре Сабина вместе со Снейдером погружается в расследования трех жутких дел, которые лишь на первый взгляд не имеют ничего общего. А когда прослеживается связь с похищением той самой девочки в Вене, границы между теорией и практикой окончательно размываются...</t>
  </si>
  <si>
    <t>10697</t>
  </si>
  <si>
    <t>Смерть online</t>
  </si>
  <si>
    <t>978-5-9524-3844-6</t>
  </si>
  <si>
    <t>18631</t>
  </si>
  <si>
    <t>Уинтер Ариель С.</t>
  </si>
  <si>
    <t>Смерть длиною в двадцать лет</t>
  </si>
  <si>
    <t>978-5-227-08558-0</t>
  </si>
  <si>
    <t>17256</t>
  </si>
  <si>
    <t>978-5-227-07306-8</t>
  </si>
  <si>
    <t>20753</t>
  </si>
  <si>
    <t>Смерть за наследство</t>
  </si>
  <si>
    <t>978-5-227-10442-7</t>
  </si>
  <si>
    <t>К Лизе Решетовской, владелице салона «Дамское рукоделие», частенько обращаются за помощью, считая женщину ясновидящей, хотя она утверждает, что обладает лишь скромными экстрасенсорными способностями. На этот раз ее попросили отыскать пропавшую девочку. Лизе было достаточно одного взгляда на фото Лены Соломиной, чтобы почувствовать – ее уже нет в живых. Решетовская раздражает следователя настолько, что он готов даже включить ее в список подозреваемых. Но его друг, частный сыщик Сергей Лихарев, с ним не согласен, он намерен найти настоящих виновников в гибели девочки…</t>
  </si>
  <si>
    <t>3741</t>
  </si>
  <si>
    <t>Хейр</t>
  </si>
  <si>
    <t>Смерть играет</t>
  </si>
  <si>
    <t>5-9524-0193-7</t>
  </si>
  <si>
    <t>19966</t>
  </si>
  <si>
    <t>Смерть кукловода</t>
  </si>
  <si>
    <t>978-5-227-09623-4</t>
  </si>
  <si>
    <t>7241</t>
  </si>
  <si>
    <t>Смерть навылет</t>
  </si>
  <si>
    <t>5-9524-2290-X</t>
  </si>
  <si>
    <t>10103</t>
  </si>
  <si>
    <t>Смерть не берет выходных</t>
  </si>
  <si>
    <t>978-5-9524-3259-8</t>
  </si>
  <si>
    <t>3548</t>
  </si>
  <si>
    <t>Аваллон М.</t>
  </si>
  <si>
    <t>Смерть ныряет глубоко</t>
  </si>
  <si>
    <t>5-9524-0087-6</t>
  </si>
  <si>
    <t>18218</t>
  </si>
  <si>
    <t>Смерть по высшим расценкам</t>
  </si>
  <si>
    <t>978-5-9524-5303-6</t>
  </si>
  <si>
    <t>21431</t>
  </si>
  <si>
    <t>Смерть под ножом хирурга</t>
  </si>
  <si>
    <t>978-5-227-10858-6</t>
  </si>
  <si>
    <t>В крупной клинике в Гонолулу происходит трагедия: во время операции умирает пациентка, медсестра той же клиники. Выясняя, не произошла ли врачебная ошибка, анестезиолог Кейт Чесни убеждается, что ее подставили. Теперь ей грозит уголовное наказание. Чтобы спасти себя, она должна сама во всем разобраться, тем более что с некоторых пор ей кажется, что настоящий преступник неусыпно за ней наблюдает и ее жизнь в опасности.</t>
  </si>
  <si>
    <t>17122</t>
  </si>
  <si>
    <t>Смерть раньше смерти</t>
  </si>
  <si>
    <t>978-5-227-07159-0</t>
  </si>
  <si>
    <t>11114</t>
  </si>
  <si>
    <t>978-5-9524-4238-2</t>
  </si>
  <si>
    <t>11422</t>
  </si>
  <si>
    <t>Смерть с отсрочкой</t>
  </si>
  <si>
    <t>978-5-9524-4448-5</t>
  </si>
  <si>
    <t>20998</t>
  </si>
  <si>
    <t>Смерть с уведомлением</t>
  </si>
  <si>
    <t>978-5-227-10575-2</t>
  </si>
  <si>
    <t>«Если в течение сорока восьми часов вы выясните, почему я похитил эту женщину, она останется в живых, если нет — умрет». С этого сообщения начинается извращенная игра серийного убийцы. Он морит своих жертв голодом, топит в чернилах, заживо заливает бетоном. Комиссар мюнхенской полиции Сабина Немез в отчаянии ищет какое-нибудь объяснение, мотив. Вместе с голландским коллегой ей удается понять, по какому шаблону действует убийца: на жестокие преступления его вдохновляет старая детская книжка! Самое страшное, что еще не все идеи исчерпаны...</t>
  </si>
  <si>
    <t>21381</t>
  </si>
  <si>
    <t>Смех в конце тоннеля. Собрание сочинений. Том 2.</t>
  </si>
  <si>
    <t>978-5-227-10831-9</t>
  </si>
  <si>
    <t>Михаил Задорнов — всеми горячо любимый писатель-сатирик, драматург и эссеист. Замечательный, остроумный, невероятно образованный и очень увлечённый родной историей человек. Его устное творчество знает вся наша огромная страна и жители зарубежья, его книги мгновенно разлетаются с прилавков, а многие выражения ушли в народ и стали крылатыми._x000D_
Впервые читателям предоставляется уникальная возможность приобрести собрание сочинений этого удивительного человека. Во второй том вошли рассказы, монологи, миниатюры, фельетоны и забавные истории конца 1980­х — начала 2000­х годов.</t>
  </si>
  <si>
    <t>17520</t>
  </si>
  <si>
    <t>Сможем воскресить любовь?</t>
  </si>
  <si>
    <t>978-5-227-07577-2</t>
  </si>
  <si>
    <t>17245</t>
  </si>
  <si>
    <t>Сможешь соблазнить?</t>
  </si>
  <si>
    <t>978-5-227-07210-8</t>
  </si>
  <si>
    <t>12607</t>
  </si>
  <si>
    <t>Смородина. Сажаем, выращиваем, заготавливаем</t>
  </si>
  <si>
    <t>978-5-227-02709-2</t>
  </si>
  <si>
    <t>10178</t>
  </si>
  <si>
    <t>Смотрю на тебя</t>
  </si>
  <si>
    <t>978-5-9524-3334-2</t>
  </si>
  <si>
    <t>21318</t>
  </si>
  <si>
    <t>Аверьянов К.А., Ромашов С.А</t>
  </si>
  <si>
    <t>Смутное время начала XVII в. в России: Исторический атлас</t>
  </si>
  <si>
    <t>978-5-227-10809-8</t>
  </si>
  <si>
    <t>Одним из переломных периодов в истории России стала эпоха Смутного времени (1604—1618), вместившая в себя народные восстания, иностранную интервенцию, череду самозванцев. И хотя этому времени посвящена масса научных книг и статей, художественных романов и повестей, фильмов и даже компь¬ютерных игр, своеобразным «белым пятном» является крайне малое число карт данного периода, отражающих происходившие бурные социально-¬политические процессы и движения. Предлагаемый атлас дает наиболее полную подборку исторических карт, отражающих события этого времени начиная с похода Лжедмитрия I до заключения Деулинского перемирия.</t>
  </si>
  <si>
    <t>2005</t>
  </si>
  <si>
    <t>МОД</t>
  </si>
  <si>
    <t>Пентикост Х.</t>
  </si>
  <si>
    <t>Снайпер</t>
  </si>
  <si>
    <t>5-227-00802-7</t>
  </si>
  <si>
    <t>18761</t>
  </si>
  <si>
    <t>978-5-227-08723-2</t>
  </si>
  <si>
    <t>17611</t>
  </si>
  <si>
    <t>Сначала забудь ее</t>
  </si>
  <si>
    <t>978-5-227-07635-9</t>
  </si>
  <si>
    <t>17458</t>
  </si>
  <si>
    <t>Снежинка на твоих губах</t>
  </si>
  <si>
    <t>978-5-227-07460-7</t>
  </si>
  <si>
    <t>19494</t>
  </si>
  <si>
    <t>Петренко С.В</t>
  </si>
  <si>
    <t>Снимите розовые очки</t>
  </si>
  <si>
    <t>978-5-227-09298-4</t>
  </si>
  <si>
    <t>17163</t>
  </si>
  <si>
    <t>Снова в его постели</t>
  </si>
  <si>
    <t>978-5-227-07123-1</t>
  </si>
  <si>
    <t>19194</t>
  </si>
  <si>
    <t>Снова влюбляюсь в тебя</t>
  </si>
  <si>
    <t>978-5-227-09036-2</t>
  </si>
  <si>
    <t>18929</t>
  </si>
  <si>
    <t>Снова поверить в любовь</t>
  </si>
  <si>
    <t>978-5-227-08789-8</t>
  </si>
  <si>
    <t>18647</t>
  </si>
  <si>
    <t>Снова поверить в сказку</t>
  </si>
  <si>
    <t>978-5-227-08543-6</t>
  </si>
  <si>
    <t>21059</t>
  </si>
  <si>
    <t>Снова поверить в счастье</t>
  </si>
  <si>
    <t>978-5-227-10473-1</t>
  </si>
  <si>
    <t>Куинн, сирота, с детства скитавшаяся по детским домам и приемным семьям, верит в любовь, но не верит в брак и считает, что нужно быть независимой и самостоятельно строить свою жизнь. Она отказывается рожать ребенка, так как боится, что он, если с ней что-нибудь случится, повторит ее судьбу. Мика, на примере родителей убедившийся в том, что любви не существует, верит в брак, однако не хочет связывать себя семейными узами и относится к Куинн, как к ребенку. Но однажды оба понимают, что все их представления ошибочны…</t>
  </si>
  <si>
    <t>20385</t>
  </si>
  <si>
    <t>Снять запрет на любовь</t>
  </si>
  <si>
    <t>978-5-227-10022-1</t>
  </si>
  <si>
    <t>14476</t>
  </si>
  <si>
    <t>Со многими неизвестными</t>
  </si>
  <si>
    <t>978-5-227-04460-0</t>
  </si>
  <si>
    <t>11355</t>
  </si>
  <si>
    <t>ЛКГ</t>
  </si>
  <si>
    <t>Шэйкин К.</t>
  </si>
  <si>
    <t>Соблазн</t>
  </si>
  <si>
    <t>978-5-9524-4065-4</t>
  </si>
  <si>
    <t>18695</t>
  </si>
  <si>
    <t>Соблазн на грани риска</t>
  </si>
  <si>
    <t>978-5-227-08581-8</t>
  </si>
  <si>
    <t>21055</t>
  </si>
  <si>
    <t>Соблазн по ее правилам</t>
  </si>
  <si>
    <t>978-5-227-10509-7</t>
  </si>
  <si>
    <t>Ния Вудсон и Пирс Гамильтон по сути соперники: оба работают в сфере музыки в компаниях, основанных их родителями. Красавец Пирс – успешный бизнесмен, в недалеком будущем займет должность генерального директора семейной компании. Кроме того, в его планах расширение бизнеса за счет компании Вудсонов. И самый легкий путь к этому — очаровать и расположить к себе генерального директора компании-конкурента тридцативосьмилетнюю Нию. Это легкая для него задача, ведь он всегда пользовался успехом у женщин, но неожиданно на пути известного ловеласа возникают серьезные проблемы…</t>
  </si>
  <si>
    <t>19538</t>
  </si>
  <si>
    <t>Соблазн по­испански</t>
  </si>
  <si>
    <t>978-5-227-09180-2</t>
  </si>
  <si>
    <t>20712</t>
  </si>
  <si>
    <t>Соблазн со второго дубля</t>
  </si>
  <si>
    <t>978-5-227-10344-4</t>
  </si>
  <si>
    <t>Кэмден — успешный юрист и владелец преуспевающей адвокатской конторы — переживает кризис в отношениях с женой Делайлой, поскольку слишком много времени уделяет работе. Делайла — девушка из небогатой семьи, но благодаря силе духа и упорству также преуспела в бизнесе и теперь вместе с сестрами является совладелицей успешной винокурни. Однако родители Кэмдена считают ее расчетливой особой, недостойной их безупречного сына. Останется ли Делайла с вечно занятым мужем, продолжая терпеть постоянные нападки от его родителей, или в ее жизни откроется новая страница?..</t>
  </si>
  <si>
    <t>20439</t>
  </si>
  <si>
    <t>Соблазнение без правил</t>
  </si>
  <si>
    <t>978-5-227-10088-7</t>
  </si>
  <si>
    <t>Милая и скромная принцесса Лия выходит замуж за принца Матиаса. Их брак давно обговорен родителями и изменить ничего нельзя. Вот только Лия безнадежно влюблена в брата Матиаса, дерзкого и харизматичного красавца Рафаэля. Она мечтает о нем каждый день, несмотря на то, что понимает: им не суждено быть вместе. Но однажды из-за роковой случайности она оказывается в жарких и страстных объятиях Рафаэля. Только как же Лие поступить дальше? Ведь ее свадьба с Матиасом совсем скоро…</t>
  </si>
  <si>
    <t>20351</t>
  </si>
  <si>
    <t>Соблазнение на Коста-Рике</t>
  </si>
  <si>
    <t>978-5-227-09946-4</t>
  </si>
  <si>
    <t>Три сестры Сомс из маленького городка в Англии, разбирая вещи после смерти своего дедушки, находят дневники своей родственницы Кэтрин Сомс, жившей в XVIII веке. Они узнают, что в поместье покойного дедушки в Норфолке в одном из тайников находятся сокровища, которые их родственница спрятала от своего алчного и жестокого мужа. Сестры решают во что бы то ни стало найти эти драгоценности, чтобы продать их и на эти деньги вылечить свою больную мать. Для поисков им нужна карта проходов в поместье, которая сейчас может находиться в семье возлюбленного Кэтрин Сомс во Франции. Именно Скай, старшая сестра, отправляется на поиски…</t>
  </si>
  <si>
    <t>16692</t>
  </si>
  <si>
    <t>Соблазнение не по сценарию</t>
  </si>
  <si>
    <t>978-5-227-06710-4</t>
  </si>
  <si>
    <t>18254</t>
  </si>
  <si>
    <t>Соблазнение по голливудскому сценарию</t>
  </si>
  <si>
    <t>978-5-227-08220-6</t>
  </si>
  <si>
    <t>18675</t>
  </si>
  <si>
    <t>Соблазнение по графику</t>
  </si>
  <si>
    <t>978-5-227-08548-1</t>
  </si>
  <si>
    <t>20012</t>
  </si>
  <si>
    <t>Соблазнение по ее сценарию</t>
  </si>
  <si>
    <t>978-5-227-09613-5</t>
  </si>
  <si>
    <t>18016</t>
  </si>
  <si>
    <t>Соблазнение по-итальянски</t>
  </si>
  <si>
    <t>978-5-227-08027-1</t>
  </si>
  <si>
    <t>19357</t>
  </si>
  <si>
    <t>Соблазнение по­карибски</t>
  </si>
  <si>
    <t>978-5-227-09079-9</t>
  </si>
  <si>
    <t>20577</t>
  </si>
  <si>
    <t>Соблазнение принцессы-дикарки</t>
  </si>
  <si>
    <t>978-5-227-10196-9</t>
  </si>
  <si>
    <t>Делани Кларк, красивая, умная, жизнерадостная девушка, жила на ферме и усердно трудилась, продолжая дело своих родителей. Она не боялась никакой работы и считала свою крестьянскую жизнь счастливой. Но однажды на ферму в сверкающем джипе явился роскошно одетый красавец-мужчина со свитой и заявил, что Делани — наследница трона небольшого островного государства в Средиземном море. И теперь, когда ее отыскали, она должна отправиться на родину, чтобы занять принадлежащий ей по праву трон и выйти замуж вот как раз за этого красавца-мужчину…</t>
  </si>
  <si>
    <t>18040</t>
  </si>
  <si>
    <t>Соблазнение с первого дубля</t>
  </si>
  <si>
    <t>978-5-227-08093-6</t>
  </si>
  <si>
    <t>18956</t>
  </si>
  <si>
    <t>Соблазненная в прямом эфире</t>
  </si>
  <si>
    <t>978-5-227-08798-0</t>
  </si>
  <si>
    <t>18923</t>
  </si>
  <si>
    <t>Соблазненная на его условиях</t>
  </si>
  <si>
    <t>978-5-227-08774-4</t>
  </si>
  <si>
    <t>18267</t>
  </si>
  <si>
    <t>Соблазненная по ошибке</t>
  </si>
  <si>
    <t>978-5-227-08227-5</t>
  </si>
  <si>
    <t>18802</t>
  </si>
  <si>
    <t>Соблазни меня в Вегасе</t>
  </si>
  <si>
    <t>978-5-227-08692-1</t>
  </si>
  <si>
    <t>20090</t>
  </si>
  <si>
    <t>Соблазни меня вновь</t>
  </si>
  <si>
    <t>978-5-227-09751-4</t>
  </si>
  <si>
    <t>19241</t>
  </si>
  <si>
    <t>Соблазнительная месть</t>
  </si>
  <si>
    <t>978-5-227-09038-6</t>
  </si>
  <si>
    <t>16011</t>
  </si>
  <si>
    <t>Соблазнить босса</t>
  </si>
  <si>
    <t>978-5-227-05954-3</t>
  </si>
  <si>
    <t>20542</t>
  </si>
  <si>
    <t>Соблазнить или влюбиться?</t>
  </si>
  <si>
    <t>978-5-227-10246-1</t>
  </si>
  <si>
    <t>Могут ли в современном мире повстречаться принц и русалка? Могут, если девушка плавает в моноласте, а яхта принца потерпела крушение. Но может ли между такими разными людьми зародиться искреннее чувство?..</t>
  </si>
  <si>
    <t>20868</t>
  </si>
  <si>
    <t>Соблазнить короля пустыни</t>
  </si>
  <si>
    <t>978-5-227-09606-7</t>
  </si>
  <si>
    <t>Орла Калхун работает не покладая рук, чтобы выплатить долги покойного отца, но все равно вынуждена продать конный завод, принадлежащий ее семье. Неожиданно на пороге ее дома появляется неотразимый Карим Хан, наследный принц арабской страны, и предлагает Орле сделку: он купит ее завод и заплатит ее долги, если она согласится стать его фиктивной невестой.</t>
  </si>
  <si>
    <t>19888</t>
  </si>
  <si>
    <t>Соблазнить любой ценой</t>
  </si>
  <si>
    <t>978-5-227-09482-7</t>
  </si>
  <si>
    <t>20823</t>
  </si>
  <si>
    <t>Соблазнить строптивого романтика</t>
  </si>
  <si>
    <t>978-5-227-10365-9</t>
  </si>
  <si>
    <t>Чтобы спасти наследие своего отца, Аннике Шулер придется связать свою жизнь со строптивым и неприятным мужчиной, с которым она никогда не могла найти общий язык. Ей казалось, что она хорошо знает Раньери Фурлана, но каково было ее удивление, когда он открылся ей с другой, более чувственной стороны, и между ними разгорелось невиданное пламя страсти. Сможет ли Анника растопить ледяное и неприступное сердце бизнесмена?</t>
  </si>
  <si>
    <t>14378</t>
  </si>
  <si>
    <t>Соблазняй и властвуй</t>
  </si>
  <si>
    <t>978-5-227-04353-5</t>
  </si>
  <si>
    <t>21472</t>
  </si>
  <si>
    <t>Галушкин Н.В.</t>
  </si>
  <si>
    <t>Собственный Его Императорского Величества Конвой. История частей непосредственной охраны российских государей от основания при Александре I до расформирования после отречения Николая II. 1811—1917</t>
  </si>
  <si>
    <t>978-5-9524-6338-7</t>
  </si>
  <si>
    <t>Собственный Е.И.В. Конвой занимал исключительное положение среди гвардейских частей Русской армии, исполняя почетную службу по охране российских государей и членов царской семьи с 1811 года. В личный состав Конвоя входили казаки Кубанского и Терского казачьих войск, а также кавказские горцы, осетины, грузины, крымские татары и представители других народностей Российской империи. Казаки Конвоя ежедневно несли службу в Зимнем дворце и в Царском Селе, сопровождали императора при выездах, а также участвовали во всех крупных кампаниях XIX века и сражениях Первой мировой войны. По свидетельству автора, хорунжего Н.В. Галушкина, казаки-конвойцы, не нарушив присяги, служили царю и Отечеству вплоть до отречения государя и расформирования частей в марте 1917 года, после чего продолжили службу в рядах Гвардейского Дивизиона.</t>
  </si>
  <si>
    <t>21508</t>
  </si>
  <si>
    <t>Советская авиация в военных конфликтах 1920-х годов. От Кронштадта до Туркестана</t>
  </si>
  <si>
    <t>978-5-227-10915-6</t>
  </si>
  <si>
    <t>Книга доктора исторических наук, специалиста в области истории военной авиации и противовоздушной обороны А.Ю. Лашкова раскрывает участие советских авиаторов и воздухоплавателей в подавлении повстанческого движения и ликвидации различных антисоветских вооруженных формирований на территории РСФСР (позднее — СССР) и ближнего зарубежья в 1920-е годы. Этот период в российской историографии получил неофициальное название «Малая гражданская война». Основу источниковой базы труда составляют документы фондов государственных архивов, в том числе Российского государственного архива социально-политической истории (РГАСПИ) и Российского государственного военного архива (РГВА). Книга предназначена для широкого круга читателей и специалистов, интересующихся проблемами применения отечественных военно-воздушных сил в вооруженных конфликтах межвоенного периода.</t>
  </si>
  <si>
    <t>17859</t>
  </si>
  <si>
    <t>Синицын Федор</t>
  </si>
  <si>
    <t>Советская нация и война</t>
  </si>
  <si>
    <t>978-5-227-07607-6</t>
  </si>
  <si>
    <t>21752</t>
  </si>
  <si>
    <t>Советская противовоздушная оборона в Зимней войне. От Балтийского до Баренцева моря. 1939—1940</t>
  </si>
  <si>
    <t>978-5-227-11051-0</t>
  </si>
  <si>
    <t>Книга доктора исторических наук, специалиста в области истории военной авиации и средств противовоздушной обороны А.Ю. Лашкова посвящена вопросам организации противовоздушной обороны (ПВО) северо-западного региона СССР накануне, в ходе и по завершении Советско-финляндской войны (1939–1940 гг.). Наличие вызовов и угроз военной безопасности нашего государства, исходивших с территории соседних стран Финляндии и Норвегии (оккупированной в 1940 г. вооруженными силами нацистской Германии), требовало постоянного совершенствования системы ПВО в данном регионе, включая ее морской компонент. Материалы труда преимущественно основываются на малоизученных документах из фондов Российского государственного военного архива (РГВА)._x000D_
Книга рассчитана на широкий круг читателей и специалистов в области истории отечественной противовоздушной обороны.</t>
  </si>
  <si>
    <t>17763</t>
  </si>
  <si>
    <t>Советские спецслужбы и Красная Армия</t>
  </si>
  <si>
    <t>978-5-227-06640-4</t>
  </si>
  <si>
    <t>16533</t>
  </si>
  <si>
    <t>Советский ас Григорий Речкалов</t>
  </si>
  <si>
    <t>978-5-227-05783-9</t>
  </si>
  <si>
    <t>21685</t>
  </si>
  <si>
    <t>Энгл Э., Паананен Л.</t>
  </si>
  <si>
    <t>Советско­финская война. Прорыв линии Маннергейма. 1939—1940</t>
  </si>
  <si>
    <t>978-5-9524-6444-5</t>
  </si>
  <si>
    <t>В этой книге описана Советско-финская война, которая началась в ноябре 1939 года. Советский Союз не рассчитывал встретить сопротивление финнов, но они оказались достойными противниками, и началась одна из самых тяжелых военных кампаний Второй мировой войны.</t>
  </si>
  <si>
    <t>18865</t>
  </si>
  <si>
    <t>Синицын Ф.Л</t>
  </si>
  <si>
    <t>Советское государство и кочевники. История, политика, население. 1917—1991.</t>
  </si>
  <si>
    <t>978-5-227-08787-4</t>
  </si>
  <si>
    <t>20474</t>
  </si>
  <si>
    <t>АВ</t>
  </si>
  <si>
    <t>Моисеев Н.</t>
  </si>
  <si>
    <t>Советы выживания от сеньора Робинзона. Остаться в живых в экстремальных условиях. Добываем огонь, воду, пищу, кров…</t>
  </si>
  <si>
    <t>978-5-227-10059-7</t>
  </si>
  <si>
    <t>Если вы любитель ходить в туристические походы, за грибами, ягодами, приключениями, то обязательно приобретите эту книгу. Она расскажет вам, как остаться в живых и не погибнуть от голода и жажды в, казалось бы, безнадёжных ситуациях. Куда бы ни забросила вас судьба: в лес, в пустыню или на водоём — будьте заранее готовы позаботиться о себе и спутниках. Даже если вы заблудились, остались без крова и огня, знания, полученные из этой небольшой, но очень полезной книги, пригодятся сполна. Вооружённые информацией, вы всегда добудете пищу, воду, природные лекарства, огонь и сможете найти дорогу к дому.</t>
  </si>
  <si>
    <t>17654</t>
  </si>
  <si>
    <t>Гилязитдинов М.К.</t>
  </si>
  <si>
    <t>Советы от доктора Неболита. Практические советы для крепкого здоровья</t>
  </si>
  <si>
    <t>978-5-227-07371-6</t>
  </si>
  <si>
    <t>17162</t>
  </si>
  <si>
    <t>Согласна на все</t>
  </si>
  <si>
    <t>978-5-227-07122-4</t>
  </si>
  <si>
    <t>16173</t>
  </si>
  <si>
    <t>978-5-227-06144-7</t>
  </si>
  <si>
    <t>17411</t>
  </si>
  <si>
    <t>Соглашение на миллион</t>
  </si>
  <si>
    <t>978-5-227-07450-8</t>
  </si>
  <si>
    <t>17082</t>
  </si>
  <si>
    <t>Согрей мое сердце</t>
  </si>
  <si>
    <t>978-5-227-07071-5</t>
  </si>
  <si>
    <t>18806</t>
  </si>
  <si>
    <t>Сожженные цветы</t>
  </si>
  <si>
    <t>978-5-227-08524-5</t>
  </si>
  <si>
    <t>17689</t>
  </si>
  <si>
    <t>ОИ РУК</t>
  </si>
  <si>
    <t>Андреев А.Р., Андреев М.А.</t>
  </si>
  <si>
    <t>Создай свою родословную. Как самому без больших затрат времени и средств найти своих предков и написать историю собственного рода</t>
  </si>
  <si>
    <t>978-5-227-05778-5</t>
  </si>
  <si>
    <t>4638</t>
  </si>
  <si>
    <t>Хит Ш.</t>
  </si>
  <si>
    <t>Соколиный замок</t>
  </si>
  <si>
    <t>5-9524-0871-0</t>
  </si>
  <si>
    <t>10214</t>
  </si>
  <si>
    <t>ЗР+</t>
  </si>
  <si>
    <t>Сокровище рыцарей храма</t>
  </si>
  <si>
    <t>978-5-9524-3358-8</t>
  </si>
  <si>
    <t>11289</t>
  </si>
  <si>
    <t>978-5-9524-4325-9</t>
  </si>
  <si>
    <t>18390</t>
  </si>
  <si>
    <t>Кессельринг А.</t>
  </si>
  <si>
    <t>Солдат до последнего дня. Воспоминания фельдмаршала Третьего рейха. 1933—1947</t>
  </si>
  <si>
    <t>978-5-9524-5286-2</t>
  </si>
  <si>
    <t>17137</t>
  </si>
  <si>
    <t>Прюллер В.</t>
  </si>
  <si>
    <t>Солдат на войне. Фронтовые хроники обер-лейтенанта вермахта</t>
  </si>
  <si>
    <t>978-5-9524-5201-5</t>
  </si>
  <si>
    <t>20754</t>
  </si>
  <si>
    <t>Солдат удачи</t>
  </si>
  <si>
    <t>978-5-227-10082-5</t>
  </si>
  <si>
    <t>Круглый сирота и воспитанник детского дома Максим Найденов с раннего детства мечтает стать военным моряком, образ флота овеян для него романтикой приключений и странствий. Преодолевая испытания сиротской жизни, Макс упорно двигается навстречу мечте. Ему приходится узнать, что такое несправедливость и подлость, но он не становится циником и не впадает в отчаяние. На службе во Вьетнаме, на войне в Донбассе, в военных операциях в Сирии и Африке он узнает, что такое настоящее боевое братство, и убеждается в правильности своего жизненного пути. А где-то есть родная душа — женщина, которая не обманет и не предаст…</t>
  </si>
  <si>
    <t>17242</t>
  </si>
  <si>
    <t>Егорычев Н.Г.</t>
  </si>
  <si>
    <t>Солдат. Политик. Дипломат. Воспоминания об очень разном</t>
  </si>
  <si>
    <t>978-5-227-06613-8</t>
  </si>
  <si>
    <t>16200</t>
  </si>
  <si>
    <t>Хольтиц Д. Фон</t>
  </si>
  <si>
    <t>Солдатский долг. Воспоминания генерала вермахта о войне на западе и востоке Европы. 1939-1945</t>
  </si>
  <si>
    <t>978-5-9524-5160-5</t>
  </si>
  <si>
    <t>16178</t>
  </si>
  <si>
    <t>Тремейн А.</t>
  </si>
  <si>
    <t>Солнечная девушка</t>
  </si>
  <si>
    <t>978-5-227-06222-2</t>
  </si>
  <si>
    <t>11860</t>
  </si>
  <si>
    <t>Нецветаева Н.</t>
  </si>
  <si>
    <t>Солнышко на шее или Как быть счастливой на 3 рубля в день</t>
  </si>
  <si>
    <t>978-5-227-01994-3</t>
  </si>
  <si>
    <t>6485</t>
  </si>
  <si>
    <t>Соловьиная бухта</t>
  </si>
  <si>
    <t>5-9524-2173-3</t>
  </si>
  <si>
    <t>21906</t>
  </si>
  <si>
    <t>Романова О.Н.</t>
  </si>
  <si>
    <t>Сон юности. Записки дочери императора Николая I</t>
  </si>
  <si>
    <t>978-5-227-10921-7</t>
  </si>
  <si>
    <t>Мемуары королевы Вюртембергской Ольги, дочери русского императора Николая I, родившейся в 1822 году и оставившей этот мир в 1892 году, рассказывают о жизни императорской семьи Романовых во второй четверти и середине ХIХ века — с радостями, горестями, любовью к близким… Страницы воспоминаний Ольги Николаевны посвящены не только Николаю I, хотя отец был главным человеком для своих детей, и матери-императрице, но и родственникам из королевских домов Европы, например, прусскому королю Фридриху Вильгельму, любимому дедушке, и другим королям и королевам, принцам и принцессам, а также приближенным императорской семьи. Детали повседневной жизни в стенах дворцов, семейные праздники, путешествия по Европе, политические события бурного ХIХ века и сердечные увлечения юных великих княжон — мемуаристка коснулась различных, очень занимательных для современного читателя тем.</t>
  </si>
  <si>
    <t>20690</t>
  </si>
  <si>
    <t>Сопротивление большевизму. 1917—1918 гг.</t>
  </si>
  <si>
    <t>978-5-227-10005-4</t>
  </si>
  <si>
    <t>Книга «Сопротивление большевизму. 1917—1918 гг.» представляет собой четвертый том из серии, посвященной Белому движению в России, и знакомит читателя с воспоминаниями участников событий и боев в Петрограде, Москве, Оренбурге, Ярославле, Крыму, Северном Кавказе, Урале, Средней Азии._x000D_
В книге впервые с такой полнотой представлены свидетельства не только руководителей антикоммунистической борьбы, но и ее рядовых участников, позволяющие наглядно представить обстановку и атмосферу того времени, психологию и духовный облик первых добровольцев. За небольшим исключением помещенные в томе материалы в России никогда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</si>
  <si>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14501</t>
  </si>
  <si>
    <t>Сопротивление невозможно</t>
  </si>
  <si>
    <t>978-5-227-04463-1</t>
  </si>
  <si>
    <t>14026</t>
  </si>
  <si>
    <t>Сорвать маску</t>
  </si>
  <si>
    <t>978-5-227-04111-1</t>
  </si>
  <si>
    <t>7517</t>
  </si>
  <si>
    <t>Сорока</t>
  </si>
  <si>
    <t>5-9524-1595-4</t>
  </si>
  <si>
    <t>18610</t>
  </si>
  <si>
    <t>Соседи по Москве</t>
  </si>
  <si>
    <t>978-5-227-08529-0</t>
  </si>
  <si>
    <t>21525</t>
  </si>
  <si>
    <t>Фландерс Дж.</t>
  </si>
  <si>
    <t>Сотворение дома</t>
  </si>
  <si>
    <t>978-5-9524-6278-6</t>
  </si>
  <si>
    <t>Джудит Фландерс, историк и автор бестселлеров о викторианских постройках и викторианском городе, размышляет о том, какие изменения за последние 500 лет претерпел дом и само понятие о нем. На примере Европы и Америки автор прослеживает, как, постепенно совершенствуя свое жилище, человек обрастал все новыми и новыми предметами и наконец пришел к тому дому, в котором с теми или иными особенностями живут наши современники. По «пути следования» от XVI к XXI веку Фландерс живо и увлекательно рассказывает о том, когда и как появились первые столы, стулья и туалеты, где изначально «жили» кровати и почему люди ввели в обиход шторы и скатерти, а также о многих других бытовых предметах. Особое внимание автор уделяет тому, как заключались браки и строились семейные отношения, как растили детей и во что их одевали. Ну а главная мысль автора заключается в том, что дом – это совершенно особое, отдельное место, где мы принадлежим только самим себе и можем быть только собой.</t>
  </si>
  <si>
    <t>19893</t>
  </si>
  <si>
    <t>СоТворение новой реальности. Откуда приходит будущее</t>
  </si>
  <si>
    <t>978-5-227-09702-6</t>
  </si>
  <si>
    <t>19837</t>
  </si>
  <si>
    <t>978-5-227-09703-3</t>
  </si>
  <si>
    <t>17322</t>
  </si>
  <si>
    <t>ИВБ</t>
  </si>
  <si>
    <t>София Палеолог</t>
  </si>
  <si>
    <t>978-5-227-06622-0</t>
  </si>
  <si>
    <t>21035</t>
  </si>
  <si>
    <t>Союз страстных сердец</t>
  </si>
  <si>
    <t>978-5-227-10352-9</t>
  </si>
  <si>
    <t>Марджери становится случайным свидетелем встречи лорда Иэна из Уорстоуна с женщиной, которая передает ему тайные послания. К удивлению Марджери, лорд не убивает ее, а везет с собой в крепость и запирает в комнате, приставив стражу — своего личного охранника Эврара, великана, человека невероятной силы, угрюмого и молчаливого. Шантажом и угрозами родным Иэн заставлял его служить, удерживая рядом, но и доверял ему больше, чем кому-либо из приближенных. За время заточения Марджери удается сблизиться с Эвраром и узнать его настолько хорошо, что влюбляется в него. Чувства взаимны, но пугает мысль, что Иэн узнает об их связи, тогда наказания не избежать…</t>
  </si>
  <si>
    <t>17057</t>
  </si>
  <si>
    <t>Соя. Уникальный продукт</t>
  </si>
  <si>
    <t>978-5-227-07099-9</t>
  </si>
  <si>
    <t>14854</t>
  </si>
  <si>
    <t>Джованьоли Р.</t>
  </si>
  <si>
    <t>Спартак</t>
  </si>
  <si>
    <t>978-5-227-04857-8</t>
  </si>
  <si>
    <t>16988</t>
  </si>
  <si>
    <t>Спасательный круг для любимой</t>
  </si>
  <si>
    <t>978-5-227-07055-5</t>
  </si>
  <si>
    <t>20719</t>
  </si>
  <si>
    <t>Спасение в любви</t>
  </si>
  <si>
    <t>978-5-227-10150-1</t>
  </si>
  <si>
    <t>В состоянии легкого помрачения рассудка на официальном торжественном вечере Шей Нил соглашается провести ночь с миллиардером Гидеоном Найтом, не зная, что он враг ее брата в денежных расчетах. Теперь, чтобы спасти своего брата, она должна притвориться влюбленной в Гидеона. Но играть в эту игру означает сопротивляться взаимной страсти, которая может уничтожить их обоих...</t>
  </si>
  <si>
    <t>17282</t>
  </si>
  <si>
    <t>Спасенная виконтом</t>
  </si>
  <si>
    <t>978-5-227-05963-5</t>
  </si>
  <si>
    <t>19960</t>
  </si>
  <si>
    <t>Спасенная любовь</t>
  </si>
  <si>
    <t>978-5-227-09577-0</t>
  </si>
  <si>
    <t>19711</t>
  </si>
  <si>
    <t>Спасенный страстью</t>
  </si>
  <si>
    <t>978-5-227-09356-1</t>
  </si>
  <si>
    <t>17032</t>
  </si>
  <si>
    <t>Утесов Л.О.</t>
  </si>
  <si>
    <t>Спасибо, сердце! Воспоминания. Встречи. Раздумья</t>
  </si>
  <si>
    <t>978-5-9524-5210-7</t>
  </si>
  <si>
    <t>17914</t>
  </si>
  <si>
    <t>Спасительная сила чувств</t>
  </si>
  <si>
    <t>978-5-227-07990-9</t>
  </si>
  <si>
    <t>17426</t>
  </si>
  <si>
    <t>Спасительный обман</t>
  </si>
  <si>
    <t>978-5-227-07327-3</t>
  </si>
  <si>
    <t>18590</t>
  </si>
  <si>
    <t>Спец</t>
  </si>
  <si>
    <t>978-5-227-08586-3</t>
  </si>
  <si>
    <t>8687</t>
  </si>
  <si>
    <t>Специи и приправы</t>
  </si>
  <si>
    <t>978-5-9524-2978-9</t>
  </si>
  <si>
    <t>17355</t>
  </si>
  <si>
    <t>Спи спокойно</t>
  </si>
  <si>
    <t>978-5-227-07138-5</t>
  </si>
  <si>
    <t>18367</t>
  </si>
  <si>
    <t>Болори Д.</t>
  </si>
  <si>
    <t>Список желаний</t>
  </si>
  <si>
    <t>978-5-227-08401-9</t>
  </si>
  <si>
    <t>14057</t>
  </si>
  <si>
    <t>Филатов А. В.</t>
  </si>
  <si>
    <t>Список Магницкого, или дети во сне не умирают</t>
  </si>
  <si>
    <t>978-5-227-04082-4</t>
  </si>
  <si>
    <t>18838</t>
  </si>
  <si>
    <t>Список опасных профессий</t>
  </si>
  <si>
    <t>978-5-227-08501-6</t>
  </si>
  <si>
    <t>20744</t>
  </si>
  <si>
    <t>Список Ханны</t>
  </si>
  <si>
    <t>978-5-227-10208-9</t>
  </si>
  <si>
    <t>В годовщину смерти жены Ханны доктору Майклу Эверетту передали ее предсмертное письмо. В послании она напомнила Майклу о своей искренней любви к нему и попросила выполнить ее последнее желание. Невыполнимое, казалось бы, желание. Ханна хотела, чтобы Майкл снова женился. И даже привела список возможных невест. Первые две женщины были хорошо знакомы Майклу: кузина Ханны Уинтер Адамс, владелица небольшого кафе в Сиэтле, и Линн Ланкастер, медсестра, которая ухаживала за Ханной в клинике. Имя третьей кандидатки Майкл видел впервые — Мэйси Роз. Встречаясь поочередно с каждой из этих женщин, обладающих богатым душевным опытом, Майкл все больше узнавал и о себе самом. Так к нему пришло понимание, что только безграничная любовь способна снова наполнить его жизнь смыслом.</t>
  </si>
  <si>
    <t>7148</t>
  </si>
  <si>
    <t>Справочник для начинающего автолюбителя</t>
  </si>
  <si>
    <t>5-9524-2076-1</t>
  </si>
  <si>
    <t>21272</t>
  </si>
  <si>
    <t>Справочник по мировой мифологии. Боги и герои Греции, Рима, Скандинавии, Германии, Индии и Египта</t>
  </si>
  <si>
    <t>978-5-227-10787-9</t>
  </si>
  <si>
    <t>Этот универсальный справочник по мифологии народов мира погрузит вас в таинственные глубины всемирной культуры. Мифы и легенды древних вобрали в себя все многообразие окружающего мира. Характеры их богов и героев легли в основу наших представлений о добре и зле, стали источником, многие века питавшим вдохновение художников и поэтов, превратились в названия созвездий и континентов.</t>
  </si>
  <si>
    <t>20785</t>
  </si>
  <si>
    <t>Спроси мое сердце</t>
  </si>
  <si>
    <t>978-5-227-10363-5</t>
  </si>
  <si>
    <t>Шеридан Слоан решилась на ЭКО, чтобы родить ребенка для бесплодной сестры. Но из-за ошибки в клинике отцом ее будущего ребенка стал не зять, а король небольшой арабской страны Рашид аль-Хассан. По его воле Шеридан оказалась далеко от дома — замужем за едва знакомым мужчиной, замкнувшимся в себе после семейной трагедии. Сумеют ли Шеридан и Рашид понять, что их связывает нечто большее, чем стечение обстоятельств?..</t>
  </si>
  <si>
    <t>11505</t>
  </si>
  <si>
    <t>Спрятанная красота</t>
  </si>
  <si>
    <t>978-5-9524-4633-5</t>
  </si>
  <si>
    <t>17011</t>
  </si>
  <si>
    <t>Спутница для кинозвезды</t>
  </si>
  <si>
    <t>978-5-227-06936-8</t>
  </si>
  <si>
    <t>21344</t>
  </si>
  <si>
    <t>Сражение за Берлин. Штурм нацистской цитадели. 1945</t>
  </si>
  <si>
    <t>978-5-227-10812-8</t>
  </si>
  <si>
    <t>Книга известного специалиста по военной истории Вернера ¬Хаупта посвящена последним дням апреля 1945 года, когда советские войска приступили к решающему штурму столицы рейха. Автор детально описывает бои, операции и битвы, события, происходящие в отдельных воинских частях, на командных пунктах и в бункере фюрера. В центре драматических событий — последний военный комендант Берлина, генерал Гельмут Вейдлинг. Сохранившиеся письма, записки очевидцев, протоколы обсуждений положения на фронте и другие документы позволили автору лучше понять генерала, оказавшегося в конфликте со своей совестью, когда пришлось выбирать между понятием безусловной солдатской дисциплины и состраданием к людям.</t>
  </si>
  <si>
    <t>19523</t>
  </si>
  <si>
    <t>Андерсон Р.Ч</t>
  </si>
  <si>
    <t>Сражения великих держав в Средиземном море. Три века побед и поражений парусных флотов Западной Европы,Турции и России</t>
  </si>
  <si>
    <t>978-5-9524-5463-7</t>
  </si>
  <si>
    <t>19706</t>
  </si>
  <si>
    <t>Болдуин Х.</t>
  </si>
  <si>
    <t>Сражения выигранные и проигранные</t>
  </si>
  <si>
    <t>978-5-9524-5564-1</t>
  </si>
  <si>
    <t>19129</t>
  </si>
  <si>
    <t>Средневековая Москва. Столица православной цивилизации</t>
  </si>
  <si>
    <t>978-5-227-09090-4</t>
  </si>
  <si>
    <t>18306</t>
  </si>
  <si>
    <t>Малето Е.И</t>
  </si>
  <si>
    <t>Средневековая Русь и Константинополь. Дипломатические отношения в конце XIV — середине ХV в.</t>
  </si>
  <si>
    <t>978-5-227-08345-6</t>
  </si>
  <si>
    <t>19870</t>
  </si>
  <si>
    <t>Фолкс Ч.</t>
  </si>
  <si>
    <t>Средневековые доспехи. Мастера оружейного дела</t>
  </si>
  <si>
    <t>978-5-9524-5605-1</t>
  </si>
  <si>
    <t>10185</t>
  </si>
  <si>
    <t>ОРУЖИЕ</t>
  </si>
  <si>
    <t>Норман Ф.</t>
  </si>
  <si>
    <t>Средневековый воин</t>
  </si>
  <si>
    <t>978-5-9524-3336-6</t>
  </si>
  <si>
    <t>21878</t>
  </si>
  <si>
    <t>Норман А.</t>
  </si>
  <si>
    <t>Средневековый воин. Вооружение времен Карла Великого и Крестовых походов</t>
  </si>
  <si>
    <t>978-5-9524-6460-5</t>
  </si>
  <si>
    <t>Книга Нормана посвящена истории средневекового воина с начала вторжения варваров в Европу и до последних Крестовых походов. На основе документальных свидетельств эпохи автор прослеживает развитие военной системы от разрозненных отрядов варваров V—VI вв. до прекрасно организованной армии ХII—ХIII вв. Детально рассматривая образ жизни, традиции, кодекс поведения средневекового воина, особое внимание Норман уделяет эволюции его боевого вооружения.</t>
  </si>
  <si>
    <t>19642</t>
  </si>
  <si>
    <t>Срочная свадьба</t>
  </si>
  <si>
    <t>978-5-227-09289-2</t>
  </si>
  <si>
    <t>18604</t>
  </si>
  <si>
    <t>Срочно нужна жена</t>
  </si>
  <si>
    <t>978-5-227-08509-2</t>
  </si>
  <si>
    <t>15771</t>
  </si>
  <si>
    <t>Срочно требуется муж</t>
  </si>
  <si>
    <t>978-5-227-05681-8</t>
  </si>
  <si>
    <t>10008</t>
  </si>
  <si>
    <t>Срочно требуется семейное счастье</t>
  </si>
  <si>
    <t>978-5-9524-3227-7</t>
  </si>
  <si>
    <t>20806</t>
  </si>
  <si>
    <t>Волкова И.В.</t>
  </si>
  <si>
    <t>СССР и Гоминьдан. Военно-политическое сотрудничество. 1923—1942 гг.</t>
  </si>
  <si>
    <t>978-5-227-10456-4</t>
  </si>
  <si>
    <t>Книга посвящена анализу изменений советского внешнеполитического курса по отношению к Гоминьдану (Национальной партии Китая), в период 1923–1942 гг. На основе опубликованных и архивных материалов развитие советско-китайского сотрудничества рассматривается с точки зрения целостного и преемственного процесса. В работе показано, как под влиянием международной обстановки и внутриполитических факторов курс Советского Союза в отношении Гоминьдана на протяжении 1923—1942 гг. претерпел трансформацию от приоритетной поддержки коммунистического, национально-освободительного движения к прагматичному геополитическому подходу, на базе идеи обеспечения безопасности дальневосточных рубежей СССР. Автором прослеживается путь от формирования стратегии сотрудничества с Гоминьданом и принятия решений до реализации конкретных мер поддержки в политической и военной сферах.</t>
  </si>
  <si>
    <t>15958</t>
  </si>
  <si>
    <t>Ставка -любовь</t>
  </si>
  <si>
    <t>978-5-227-05859-1</t>
  </si>
  <si>
    <t>16914</t>
  </si>
  <si>
    <t>Сталин и "русский вопрос"</t>
  </si>
  <si>
    <t>978-5-227-06584-1</t>
  </si>
  <si>
    <t>18037</t>
  </si>
  <si>
    <t>Рязанов С</t>
  </si>
  <si>
    <t>Сталин или русские. Русский вопрос в сталинском СССР</t>
  </si>
  <si>
    <t>978-5-227-07816-2</t>
  </si>
  <si>
    <t>21532</t>
  </si>
  <si>
    <t>Такер Р.</t>
  </si>
  <si>
    <t>Сталин­диктатор. У власти. 1928—1941</t>
  </si>
  <si>
    <t>978-5-9524-6343-1</t>
  </si>
  <si>
    <t>Классический труд профессора Принстонского университета Роберта Такера о сталинизме, продолжение фундаментальной биографии Сталина. Углубленно изучая личность лидера Советского государства, ученый вскрывает ее связи и взаимодействия с социальным окружением и политической ситуацией в период с 1928 по 1941 год. Затрагивает тему борьбы за власть, Большого террора, выработки и претворения в жизнь внутренней политики в 30-е годы. Особое внимание уделяет внешнеполитической деятельности Сталина, его роли в событиях, которые привели к заключению пакта с гитлеровской Германией и трагическим событиям 22 июня 1941 года.</t>
  </si>
  <si>
    <t>21531</t>
  </si>
  <si>
    <t>Сталин­революционер. Путь к власти. 1879—1929</t>
  </si>
  <si>
    <t>978-5-9524-6342-4</t>
  </si>
  <si>
    <t>Биографический труд о Сталине — результат многолетней исследовательской деятельности профессора Принстонского университета Роберта Такера, признанный значительным научным вкладом в историографию Cоветского государства. Основная тема, рассматриваемая в книге, — Сталин до 1929 года, когда он завершил свой долгий путь к политическому верховенству и добился от партии признания в качестве преемника Ленина. Хотя предлагаемая книга принадлежит биографическому жанру, она построена по несколько иному принципу, обусловленному спецификой самой темы, — личность и общественно-политическая сфера. Автор ставил себе целью не просто пересказать биографию крупного политического деятеля, но и высветить ее связь с историей. Будучи жизнеописанием человека, который в зрелые годы стал таким неограниченным правителем, какой до тех пор не встречался ни в одном современном крупном государстве, эта книга может быть также названа исследованием процесса формирования  диктатора.</t>
  </si>
  <si>
    <t>17509</t>
  </si>
  <si>
    <t>Сталин. Феномен вождя</t>
  </si>
  <si>
    <t>978-5-227-07494-2</t>
  </si>
  <si>
    <t>21522</t>
  </si>
  <si>
    <t>Шрётер Х.</t>
  </si>
  <si>
    <t>Сталинград. Великая битва глазами военного корреспондента. 1942—1943</t>
  </si>
  <si>
    <t>978-5-9524-6341-7</t>
  </si>
  <si>
    <t>Книга немецкого военного корреспондента о битве под Сталинградом образно и точно воспроизводит драматическую обстановку великой битвы, явившейся переломным моментом Второй мировой войны. Автор пользуется многочисленными свидетельствами очевидцев и выдержками из архивных документов, с немецкой педантичностью приводит объективные данные о количестве вооружения и потерях воюющих сторон.</t>
  </si>
  <si>
    <t>14817</t>
  </si>
  <si>
    <t>ХВ</t>
  </si>
  <si>
    <t>Тернер Д.</t>
  </si>
  <si>
    <t>Сталинград. День за днем Величайшая победа над смертью</t>
  </si>
  <si>
    <t>978-5-227-04748-9</t>
  </si>
  <si>
    <t>21354</t>
  </si>
  <si>
    <t>Сталинградская эпопея. Свидетельства генерал-фельдмаршала Фридриха Паулюса. 1939—1943</t>
  </si>
  <si>
    <t>978-5-9524-6222-9</t>
  </si>
  <si>
    <t>Составитель книги историк Вальтер Гёрлиц представил заметки из личного архива Паулюса, в которых фельдмаршал описывает свою деятельность в Генеральном штабе сухопутных войск в качестве командующего 6-й армией. Большой интерес представляют записи о подготовке операции «Зеелеве» и о тактических учениях в процессе разработки плана «Барбаросса». Кроме того, Гёрлиц дополнил книгу материалами по истории Сталинградской битвы. Среди них переговоры по телетайпу и записи офицеров вермахта (фельдмаршала фон Бока, генерал-полковника Рихтгофена, генерал-лейтенанта Артура Шмидта и других).</t>
  </si>
  <si>
    <t>21639</t>
  </si>
  <si>
    <t>Усик Б.Г.</t>
  </si>
  <si>
    <t>Сталинградский корпус народного ополчения. Формирование, подготовка и участие в боевых действиях. 1941—1943</t>
  </si>
  <si>
    <t>978-5-227-10964-4</t>
  </si>
  <si>
    <t>Автором книги, известным волгоградским историком, руководителем Центра по изучению Сталинградской битвы Б.Г. Усиком, на основе изучения широкого комплекса источников был определен вклад народного ополчения Сталинградской области и рабочих батальонов в Великую победу. В работе объективно показана история Сталинградского корпуса народного ополчения: определены три этапа его формирования, уточнены командный состав корпуса и численность. Особое внимание уделено участию ополченцев в боевых действиях по защите родного города летом и осенью 1942 г. Определены особенности народного ополчения Сталинграда в сравнении с ополчениями других регионов СССР, связанные с социально-экономической спецификой Сталинградской области и города Сталинграда, а также ходом боевых действий на южном участке советско-германского фронта. В приложении приводятся архивные документы и фотографии военного периода._x000D_
Книга адресована ученым, краеведам и всем интересующимся историей Великой Отечественной войны и Сталинградской битвы.</t>
  </si>
  <si>
    <t>21885</t>
  </si>
  <si>
    <t>Отт В.</t>
  </si>
  <si>
    <t>Стальная акула. Немецкая субмарина и ее команда в годы войны. 1939—1945</t>
  </si>
  <si>
    <t>978-5-9524-6532-9</t>
  </si>
  <si>
    <t>Этот мировой бестселлер посвящен самому антигуманному оружию в военно-морской истории — немецкой субмарине. Автор точно воссоздает технические тонкости стратегии и тактики ведения морского боя, достоверно передает сложную психологическую атмосферу тяжелых будней подводников. В захватывающем повествовании отражена вся правда о войне, вся грязь и мерзость ужасающей бойни...</t>
  </si>
  <si>
    <t>20124</t>
  </si>
  <si>
    <t>Манчестер У.</t>
  </si>
  <si>
    <t>Стальная империя Круппов. История легендарной оружейной династии</t>
  </si>
  <si>
    <t>978-5-9524-5624-2</t>
  </si>
  <si>
    <t>21437</t>
  </si>
  <si>
    <t>Гёбелер Г.Я.</t>
  </si>
  <si>
    <t>Стальной корабль, железный экипаж</t>
  </si>
  <si>
    <t>978-5-9524-6255-7</t>
  </si>
  <si>
    <t>Автор воспоминаний Ганс Якоб Гёбелер во время Второй мировой войны служил мотористом второго класса  на германской подводной лодке U-505. С немецкой тщательностью и аккуратностью Гёбелер делал записи об устройстве подводной лодки, о своей службе, о жизни экипажа в ограниченном пространстве субмарины, о выполнении боевых заданий и бытовых проблемах, которые приходилось решать морякам. Живо, ярко и подробно автор описывает походы в Атлантике и в Карибском море, рассказывает о своих боевых товарищах и дает оценку командирам, с горечью отмечая, что иногда экипажу приходилось бороться с четырьмя врагами: морем, англичанами, повреждениями техники и собственными офицерами. В течение десяти лет Ганс Гёбелер работал над своими мемуарами и завершил их с помощью журналиста, профессора Бейнбриджского университета  Джона Ванцо._x000D_
Книга снабжена картами, показывающими путь, пройденный субмариной U-505.</t>
  </si>
  <si>
    <t>17536</t>
  </si>
  <si>
    <t>Стальной оратор, дремлющий в кобуре. Что происходило в России в 1917 году.</t>
  </si>
  <si>
    <t>978-5-227-07598-7</t>
  </si>
  <si>
    <t>21301</t>
  </si>
  <si>
    <t>Вернер Г.</t>
  </si>
  <si>
    <t>Стальные гробы. Немецкие подводные лодки: секретные операции 1941—1945 гг.</t>
  </si>
  <si>
    <t>978-5-9524-6154-3</t>
  </si>
  <si>
    <t>Бывший командир-подводник Герберт Вернер знакомит читателя в своих мемуарах с действиями немецких субмарин в акватории Атлантического океана в Бискайском заливе и Ла-Манше против английского и американского флотов во время Второй мировой войны.</t>
  </si>
  <si>
    <t>20422</t>
  </si>
  <si>
    <t>Коллин Д.</t>
  </si>
  <si>
    <t>Станешь моей сейчас</t>
  </si>
  <si>
    <t>978-5-227-09566-4</t>
  </si>
  <si>
    <t>После смерти Эйджаза, наследного принца Бааки, трон должен занять младший брат, принц Акин, главнокомандующий вооруженными силами страны. Но тут выясняется, что у Эйджаза есть еще не родившийся ребенок, которого носит американка Ханна Микс, одинокая и закомплексованная университетская библиотекарша.</t>
  </si>
  <si>
    <t>18299</t>
  </si>
  <si>
    <t>Станешь моим сегодня</t>
  </si>
  <si>
    <t>978-5-227-08250-3</t>
  </si>
  <si>
    <t>17607</t>
  </si>
  <si>
    <t>Кларов Ю.М</t>
  </si>
  <si>
    <t>Станция назначения - Харьков</t>
  </si>
  <si>
    <t>978-5-9524-5298-5</t>
  </si>
  <si>
    <t>19735</t>
  </si>
  <si>
    <t>Стань моей навсегда</t>
  </si>
  <si>
    <t>978-5-227-09399-8</t>
  </si>
  <si>
    <t>19581</t>
  </si>
  <si>
    <t>Стань моим мужем!</t>
  </si>
  <si>
    <t>978-5-227-09271-7</t>
  </si>
  <si>
    <t>20989</t>
  </si>
  <si>
    <t>Стань моим сейчас</t>
  </si>
  <si>
    <t>978-5-227-10463-2</t>
  </si>
  <si>
    <t>Лекс Сэтчел не может рисковать своей работой водителя в крупной компании «Торп индасриз», потому что заботится о двух младших сестрах. Но игнорировать притяжение к исполнительному директору Коулу Торпу просто невозможно. Неожиданно босс приглашает Лекс сопроводить его в деловую поездку на роскошную лыжную базу, которая когда-то принадлежала его отцу. На город неожиданно обрушился шторм и сильнейший снегопад. Лекс и Коул, оставшись наедине, уже не в силах противостоять обоюдной страсти… Но позволит ли Коул отдаться своим чувствам?</t>
  </si>
  <si>
    <t>21317</t>
  </si>
  <si>
    <t>Старая Москва. Путешествие от Кремля до Бульварного кольца. История центра столицы в памятниках, площадях и переулках</t>
  </si>
  <si>
    <t>978-5-227-10828-9</t>
  </si>
  <si>
    <t>Эта книга посвящена рассказу о центре Москвы, многочисленных памятниках Кремля, Красной площади, исторического района Китай-город, площадях и улицах вокруг центральной части города и об одном из самых любопытных и красивых мест центра — Острове._x000D_
Каждое строение города, где бы оно ни находилось, — каменная скрижаль с высеченной на ней историей, рассказом о событиях, людях и их поступках. Автор рассказывает об исторических корнях современной Москвы, описывает все здания (в том числе и снесенные в XX в.) и все важные события, связанные с ними._x000D_
Эта уникальная книга — практически энциклопедия, а как некоторые читатели считают — путеводитель по центру. Она позволяет совершить путешествие во времени и иными глазами взглянуть на достопримечательности столицы._x000D_
Автор достает из недр истории удивительные факты про московские дома и их обитателей. А самое приятное, что написана книга не канцелярским языком, а легко и очень интересно._x000D_
Рекомендуется исследователям истории, экскурсоводам, и всем, кому просто интересна история Москвы.</t>
  </si>
  <si>
    <t>19658</t>
  </si>
  <si>
    <t>Старо-Невский проспект</t>
  </si>
  <si>
    <t>978-5-227-09477-3</t>
  </si>
  <si>
    <t>21782</t>
  </si>
  <si>
    <t>Старый Арбат. Прогулки по центру Москвы</t>
  </si>
  <si>
    <t>978-5-227-11107-4</t>
  </si>
  <si>
    <t>Кто из нас не был на Арбате — одной из самых древних московских улиц (и не менее знаменитой!). Вот уже более пяти столетий с Арбатом связаны важнейшие события в истории нашей страны. Но Арбат — это и сама история, где каждый дом наполнен своей неповторимой атмосферой, которую нам поможет вдохнуть эта интереснейшая книга-путеводитель. Вместе с писателем и историком Александром Васькиным мы отобедаем в ресторане «Прага», приоткроем занавес Вахтанговского театра, заглянем в мемориальную квартиру Александра Пушкина, зайдем в гости в арбатскую коммуналку Геннадия Шпаликова, посетим Дом актера. А еще нас ждет встреча с Михаилом Булгаковым, Иваном Буниным, Булатом Окуджавой, Юрием Казаковым, Анатолием Рыбаковым, Алексеем Лосевым, Юрием Любимовым и многими другими замечательными людьми, жизнь которых тесно связана с Арбатом.</t>
  </si>
  <si>
    <t>16743</t>
  </si>
  <si>
    <t>Стевия. Натуральная замена сахара.</t>
  </si>
  <si>
    <t>978-5-227-06676-3</t>
  </si>
  <si>
    <t>17450</t>
  </si>
  <si>
    <t>Степные волки</t>
  </si>
  <si>
    <t>978-5-227-07468-3</t>
  </si>
  <si>
    <t>20833</t>
  </si>
  <si>
    <t>Степные кочевники, покорившие мир. Под властью Аттилы, Чингисхана, Тамерлана</t>
  </si>
  <si>
    <t>978-5-9524-5785-0</t>
  </si>
  <si>
    <t>Выдающийся французский историк, член Французской академии, автор целого ряда трудов по истории Азии, создал подробнейшее описание жизни Великой степи с периода античных времен до окончания XVIII века. Обладая несомненным литературным мастерством, автор создал яркую картину сражений, быта, нравов, обычаев степного народа, рассказал об условиях его существования, о расцвете и падении знаменитых и забытых династий, о своеобразии ремесел и произведений искусства. Особое место в повествовании занимают три великих азиатских кочевника — Аттила, Чингисхан и Тамерлан. _x000D_
Работая над исследованием, автор привлек колоссальный объем источников европейской, китайской, персидской и других культур. В книге представлены рисунки предметов степного искусства.</t>
  </si>
  <si>
    <t>0104</t>
  </si>
  <si>
    <t>Стервятник ждать умеет</t>
  </si>
  <si>
    <t>978-5-227-07006-7</t>
  </si>
  <si>
    <t>7584</t>
  </si>
  <si>
    <t>Кашапов Р.</t>
  </si>
  <si>
    <t>Стереолистья</t>
  </si>
  <si>
    <t>5-9524-2546-1</t>
  </si>
  <si>
    <t>16613</t>
  </si>
  <si>
    <t>Стоит только начать</t>
  </si>
  <si>
    <t>978-5-227-06550-6</t>
  </si>
  <si>
    <t>17207</t>
  </si>
  <si>
    <t>Столкновение характеров</t>
  </si>
  <si>
    <t>978-5-227-07206-1</t>
  </si>
  <si>
    <t>6005</t>
  </si>
  <si>
    <t>Стоптанные туфельки</t>
  </si>
  <si>
    <t>5-9524-1754-X</t>
  </si>
  <si>
    <t>21564</t>
  </si>
  <si>
    <t>Вырубова А.А.</t>
  </si>
  <si>
    <t>Страницы моей жизни. Воспоминания подруги императрицы Александры Федоровны</t>
  </si>
  <si>
    <t>978-5-227-10866-1</t>
  </si>
  <si>
    <t>Анна Александровна Вырубова (девичья фамилия Танеева) — близкий к царской семье человек, подруга императрицы Александры Федоровны, одна из немногих, кто не отрекся от Романовых в 1917 году. Придворную должность фрейлины Анна Вырубова занимала недолго, только до замужества, короткого и неудачного, а потом оставалась для императорской фамилии просто другом. Императрица Александра Федоровна нелегко сходилась с людьми, и те, кто был к ней приближен, сталкивались с завистью и сплетнями со стороны придворного окружения. Не миновала эта участь и Анну Вырубову. Особенно яркими и дикими подробностями сплетники старались разукрасить ее знакомство с Распутиным, состоявшееся благодаря императрице. Диким гонениям, издевательствам, доносам, тюремным заключениям Анна Вырубова стала подвергаться сразу после отречения Николая II, но претерпела все, не предав царскую семью, к которой была искренне привязана. И только в своих воспоминаниях, немного наивных и откровенных, постаралась раскрыть правду._x000D_
Первые издания воспоминаний А.А. Вырубовой сопровождались публикацией писем к ней членов царской семьи (Париж, 1922) и писем самой Анны из тюрьмы к родителям и знакомым в послереволюционный период (Берлин, 1923). Эти письма, как представляющие большой исторический интерес, включены в приложение к данному изданию.</t>
  </si>
  <si>
    <t>20775</t>
  </si>
  <si>
    <t>Кимхи Д.</t>
  </si>
  <si>
    <t>Странная война 1939 года. Как западные союзники предали Польшу</t>
  </si>
  <si>
    <t>978-5-9524-5615-0</t>
  </si>
  <si>
    <t>В своем исследовании английский историк-публицист Джон Кимхи разоблачает общепринятый тезис о том, что осенью 1939 года Британия и Франция не были в состоянии дать вооруженный отпор фашистской агрессии. Кимхи скрупулезно анализирует документальные материалы и убедительно доказывает нежелание британских и французских правящих кругов выполнить свои обязательства в отношении стран, которым угрожала фашистская Германия. Изучив соответствующие документы об англо-французских «гарантиях» Польше, автор наглядно продемонстрировал, как повели себя правительства этих стран, когда дело дошло до выполнения данных ими обещаний. Историк подчеркивает, что именно двурушничество Запада по отношению к Польше позволило Гитлеру извлечь максимальную выгоду из проводимой им политики умиротворения._x000D_
В книге приведены сенсационные факты, подтвержденные подлинными документами.</t>
  </si>
  <si>
    <t>13324</t>
  </si>
  <si>
    <t>Странник. Возвращение</t>
  </si>
  <si>
    <t>978-5-227-03494-6</t>
  </si>
  <si>
    <t>11441</t>
  </si>
  <si>
    <t>Веткин И.</t>
  </si>
  <si>
    <t>Странница</t>
  </si>
  <si>
    <t>978-5-9524-4550-5</t>
  </si>
  <si>
    <t>18228</t>
  </si>
  <si>
    <t>Странный путь к счастью</t>
  </si>
  <si>
    <t>978-5-227-08233-6</t>
  </si>
  <si>
    <t>20598</t>
  </si>
  <si>
    <t>Странствующая труппа. Роман в двух частях</t>
  </si>
  <si>
    <t>978-5-227-10235-5</t>
  </si>
  <si>
    <t>Тяжело пришлось не получившим ангажемента на зимний сезон актерам небольшой труппы Котомцева, приходится им скитаться по маленьким уездным городам и пытаться привлекать публику там, а не в столице. Публика эта, однако же, с куда большим удовольствием будет смотреть не пьесы Островского (а ведь купцы еще и обидятся, что над ними смеются), а фокусников, клоунов и дрессированных собак. Так и оказываются актеры в долгах как в шелках, но все равно пытаются ставить спектакли с надеждой получить достаточный сбор. И как будто мало было им своих проблем, за ними увязывается молодой купеческий сын, плененный красотой одной из актрис. Как и всегда у Н.А. Лейкина, читателя ждут отточенный стиль мастера-сатирика, смех сквозь слезы и множество интереснейших бытовых подробностей и примет времени.</t>
  </si>
  <si>
    <t>18775</t>
  </si>
  <si>
    <t>Страсти на чужой свадьбе</t>
  </si>
  <si>
    <t>978-5-227-08662-4</t>
  </si>
  <si>
    <t>10787</t>
  </si>
  <si>
    <t>Кускова А.</t>
  </si>
  <si>
    <t>Страсти по криминальному наследству</t>
  </si>
  <si>
    <t>978-5-9524-3890-3</t>
  </si>
  <si>
    <t>18922</t>
  </si>
  <si>
    <t>Страсти роковые, или Новые приключения графа Соколова</t>
  </si>
  <si>
    <t>978-5-227-07906-0</t>
  </si>
  <si>
    <t>13982</t>
  </si>
  <si>
    <t>Страстная бунтарка</t>
  </si>
  <si>
    <t>978-5-227-04106-7</t>
  </si>
  <si>
    <t>15804</t>
  </si>
  <si>
    <t>Страстная женщина</t>
  </si>
  <si>
    <t>978-5-227-05713-6</t>
  </si>
  <si>
    <t>16706</t>
  </si>
  <si>
    <t>Страстная невинность</t>
  </si>
  <si>
    <t>978-5-227-06720-3</t>
  </si>
  <si>
    <t>21007</t>
  </si>
  <si>
    <t>Страстная ночь в Колорадо</t>
  </si>
  <si>
    <t>978-5-227-10462-5</t>
  </si>
  <si>
    <t>После развода родителей и болезненного расставания с Райдером Уэйкфилдом Джессамин Баркли решила оборвать все связи с городком Кэтемаунт в Колорадо. Через десять лет, будучи начальницей одной из крупнейших компаний по продаже недвижимости в Нью-Йорке, Джесс возвращается в родной город, чтобы восстановить связи с сестрами и отстоять права на наследование ранчо бабушки. Страсть вспыхивает снова, стоит ей только встретить Райдера. Вот только Джессамин еще не знает, какую правду об ее отце скрывает бывший возлюбленный…</t>
  </si>
  <si>
    <t>18195</t>
  </si>
  <si>
    <t>Страстная приманка для плейбоя</t>
  </si>
  <si>
    <t>978-5-227-08153-7</t>
  </si>
  <si>
    <t>20662</t>
  </si>
  <si>
    <t>Страстная проверка</t>
  </si>
  <si>
    <t>978-5-227-10307-9</t>
  </si>
  <si>
    <t>Кейтлин —застенчивая девушка, которая неуверенно чувствует себя с парнями после неудачных отношений. Внезапно в ее жизни появляется Дэв, с которым она чувствует себя легко. Кейтлин просит Дэва научить ее общаться с парнями. Но после нескольких «тренировочных» свиданий Кейтлин влюбляется в Дэва по-настоящему...</t>
  </si>
  <si>
    <t>19890</t>
  </si>
  <si>
    <t>Страстная проверка для плейбоя</t>
  </si>
  <si>
    <t>978-5-227-09509-1</t>
  </si>
  <si>
    <t>19645</t>
  </si>
  <si>
    <t>Страстное воссоединение</t>
  </si>
  <si>
    <t>978-5-227-09291-5</t>
  </si>
  <si>
    <t>15275</t>
  </si>
  <si>
    <t>Леклер Дэй</t>
  </si>
  <si>
    <t>Страстное желание</t>
  </si>
  <si>
    <t>978-5-227-05265-0</t>
  </si>
  <si>
    <t>18271</t>
  </si>
  <si>
    <t>Страстное приключение на Багамах</t>
  </si>
  <si>
    <t>978-5-227-08240-4</t>
  </si>
  <si>
    <t>19240</t>
  </si>
  <si>
    <t>Страстные объятия</t>
  </si>
  <si>
    <t>978-5-227-09034-8</t>
  </si>
  <si>
    <t>20478</t>
  </si>
  <si>
    <t>Страстный подарок отшельнику</t>
  </si>
  <si>
    <t>978-5-227-10158-7</t>
  </si>
  <si>
    <t>У голливудской звезды первой величины Кэтрин Уайлд есть все: известность, слава, деньги, поклонники, но нет любви. После очередного скандала в желтой прессе она жаждет передышки и хочет пересмотреть свою жизнь. Лучшая подруга Фло предлагает ей отправиться на  частный греческий остров в гости к своему брату Аларику. Он живет отшельником на острове уже три года, терзаемый чувством вины за произошедшую трагедию. Фло надеется, что Кэтрин удастся вытащить брата из пучины отчаяния. Ведь в юности они были чуточку влюблены друг в друга…</t>
  </si>
  <si>
    <t>21324</t>
  </si>
  <si>
    <t>Страстный поцелуй лорда</t>
  </si>
  <si>
    <t>978-5-227-10784-8</t>
  </si>
  <si>
    <t>Сестра Джейн Дейтон сбежала с младшим сыном заклятого врага ее семьи. Будучи преисполнена решимости вернуть ее любой ценой, Джейн отважилась просить о помощи грозного старшего брата юноши лорда Фрэнсиса Рэндольфа. В путешествии-погоне за беглецами Джейн и Фрэнсис невольно начинают тянуться друг к другу, и кульминацией их чувств становится греховный поцелуй. У возлюбленных нет даже малейшей надежды на счастье: их семьи враждуют уже много лет. Но Джейн не может удержаться от влечения к запретным прикосновениям Фрэнсиса…</t>
  </si>
  <si>
    <t>21322</t>
  </si>
  <si>
    <t>Страстный сюрприз для шейха</t>
  </si>
  <si>
    <t>978-5-227-09693-7</t>
  </si>
  <si>
    <t>Аманда Беннинг встретилась с шейхом Рашидом несколько лет назад при очень неприятных обстоятельствах. И теперь, когда его младшая сестра просит ее оформить интерьер пентхауса шейха, Аманда испытывает и страх, и приятное волнение от встречи с ним. Дело в том, что прошедшие годы она не переставала думать об этом мужчине.</t>
  </si>
  <si>
    <t>21054</t>
  </si>
  <si>
    <t>Страсть в большом городе</t>
  </si>
  <si>
    <t>978-5-227-10472-4</t>
  </si>
  <si>
    <t>Дионна Рид отправляется в городок Роял, чтобы помочь своей лучшей подруге, известной актрисе, организовать свадьбу. Но поездка невесты и ее жениха срывается из-за непредвиденных обстоятельств, и Дионне приходится заниматься всей подготовкой с… харизматичным и дерзким другом семьи Триппом Ноублом. Дионна настроена исключительно на работу, но с каждым мигом ей все труднее сопротивляться чарам этого обаятельного мужчины…</t>
  </si>
  <si>
    <t>18048</t>
  </si>
  <si>
    <t>Страсть в маленьком городе</t>
  </si>
  <si>
    <t>978-5-227-08094-3</t>
  </si>
  <si>
    <t>20666</t>
  </si>
  <si>
    <t>Страсть еще жива</t>
  </si>
  <si>
    <t>978-5-227-10289-8</t>
  </si>
  <si>
    <t>Психотерапевт Ларк Баркли возвращается в родной городок, чтобы бороться за наследство своей бабушки. Там она неожиданно встречает своего бывшего мужа Гибсона Вона и понимает, что за время разлуки их чувства друг к другу не исчезли. Но захочет ли Гибсон быть с ней, когда узнает, почему она ушла от него два года назад?</t>
  </si>
  <si>
    <t>19580</t>
  </si>
  <si>
    <t>Страсть на красной дорожке</t>
  </si>
  <si>
    <t>978-5-227-09270-0</t>
  </si>
  <si>
    <t>20365</t>
  </si>
  <si>
    <t>Страсть по расписанию</t>
  </si>
  <si>
    <t>978-5-227-10020-7</t>
  </si>
  <si>
    <t>20711</t>
  </si>
  <si>
    <t>Страсть с чистого листа</t>
  </si>
  <si>
    <t>978-5-227-10343-7</t>
  </si>
  <si>
    <t>После домогательств со стороны клиента Элла Янг решает уволиться, переехать в другую страну и начать жизнь с чистого листа. Но когда ее неотразимый босс Мика Леру предлагает ей задержаться на время и помочь ему организовать свадьбу его сестры, она соглашается. Эллой движет не только денежный вопрос, но и симпатия к Мике, которая быстро перерастает в крепкие чувства. Но нужен ли ей мужчина, который из-за травм прошлого запретил себе любить и быть счастливым?</t>
  </si>
  <si>
    <t>21368</t>
  </si>
  <si>
    <t>Жомини Генрих</t>
  </si>
  <si>
    <t>Стратегия и тактика в военном искусстве. Фундаментальные принципы ведения сражений</t>
  </si>
  <si>
    <t>978-5-227-10843-2</t>
  </si>
  <si>
    <t>Барон Генрих Жомини начал военную карьеру в Швейцарии, затем поступил во французскую армию, участвовал в наполеоновских походах, был начальником штаба маршала Нея, а в 1813 г. перешел на службу в русскую армию. _x000D_
Подробно рассматривая все аспекты, присущие теории и практике войны, Жомини предлагает анализ стратегических проблем, сопутствующих различным театрам и полям боевых действий, тактики наступления и обороны, неожиданных маневров, специальных операций, уделяет внимание важности разведки и развертывания сил, организации тыла и снабжения, роли инженерных сооружений и влиянию на ход военных событий дипломатии._x000D_
Классический труд Жомини не только неоценимый исторический памятник, но и непревзойденное фундаментальное исследование по стратегии и тактике ведения войны, высоко оцененное специалистами и, безусловно, интересное для всех, кого волнует история развития военной мысли.</t>
  </si>
  <si>
    <t>17084</t>
  </si>
  <si>
    <t>Страх, разжигающий пламя</t>
  </si>
  <si>
    <t>978-5-227-07076-0</t>
  </si>
  <si>
    <t>18371</t>
  </si>
  <si>
    <t>Стремительный соблазн</t>
  </si>
  <si>
    <t>978-5-227-08352-4</t>
  </si>
  <si>
    <t>11263</t>
  </si>
  <si>
    <t>Стриптиз клуб "Аллигатор"</t>
  </si>
  <si>
    <t>978-5-9524-4390-7</t>
  </si>
  <si>
    <t>13192</t>
  </si>
  <si>
    <t>Стриптиз-клуб "Аллигатор"</t>
  </si>
  <si>
    <t>978-5-227-03345-1</t>
  </si>
  <si>
    <t>16832</t>
  </si>
  <si>
    <t>Строительство водоемов на участке</t>
  </si>
  <si>
    <t>978-5-227-06905-4</t>
  </si>
  <si>
    <t>11531</t>
  </si>
  <si>
    <t>Кригер Элли, Джеймс-Энджер Келли</t>
  </si>
  <si>
    <t>Стройная фигура и здоровое тело за 12 недель. Популярная программа похудения и оздоровления</t>
  </si>
  <si>
    <t>978-5-9524-4609-0</t>
  </si>
  <si>
    <t>15985</t>
  </si>
  <si>
    <t>Строптивая пленница</t>
  </si>
  <si>
    <t>978-5-227-05943-7</t>
  </si>
  <si>
    <t>18283</t>
  </si>
  <si>
    <t>Строптивый романтик</t>
  </si>
  <si>
    <t>978-5-227-08243-5</t>
  </si>
  <si>
    <t>12205</t>
  </si>
  <si>
    <t>Строчная или прописная?Словарь современного русского языка</t>
  </si>
  <si>
    <t>978-5-227-02315-5</t>
  </si>
  <si>
    <t>17855</t>
  </si>
  <si>
    <t>Структурный гороскоп в вопросах и ответах</t>
  </si>
  <si>
    <t>978-5-227-07812-4</t>
  </si>
  <si>
    <t>20906</t>
  </si>
  <si>
    <t>Стукин и Хрустальников: банковая эпопея</t>
  </si>
  <si>
    <t>978-5-227-10398-7</t>
  </si>
  <si>
    <t>Антон Павлович Чехов, прочитав новую книгу Николая Александровича Лейкина, писал ему в личной переписке: «„Стукин“ имеет значение серьезное и стоит многого (по моему мнению) и будет служить чуть ли не единственным памятником банковских безобразий нашего времени; к тому же фигурируют в нем… птицы более высшего порядка. Если в „Сатире“ [имеется в виду роман «Сатир и нимфа», уже выходивший в нашем издательстве] хороши частности, то „Стукин“ хорош в общем». Сложно не разделить мнение отечественного классика и не увлечься как многочисленными интригами, так и многочисленными яркими бытовыми деталями, делающими повествование таким интересным и достоверным. Мелкий банковский служащий Стукин получает возможность продвинуться по карьерной лестнице благодаря тому, что директор банка Хрустальников выбирает его, чтобы выдать за него свою беременную любовницу. Однако это не единственная возможность, которой пользуется Стукин…</t>
  </si>
  <si>
    <t>4411</t>
  </si>
  <si>
    <t>Суд Джульетты</t>
  </si>
  <si>
    <t>5-9524-0685-8</t>
  </si>
  <si>
    <t>0103</t>
  </si>
  <si>
    <t>Судите сами</t>
  </si>
  <si>
    <t>978-5-227-07008-1</t>
  </si>
  <si>
    <t>20257</t>
  </si>
  <si>
    <t>Флеминг П.</t>
  </si>
  <si>
    <t>Судьба адмирала Колчака. 1917—1920</t>
  </si>
  <si>
    <t>978-5-9524-5754-6</t>
  </si>
  <si>
    <t>21045</t>
  </si>
  <si>
    <t>Судьба по заказу! Пишем сценарий счастливой жизни</t>
  </si>
  <si>
    <t>978-5-227-10542-4</t>
  </si>
  <si>
    <t>Перед вами уникальная книга. Она рассказывает о том, как обычные люди становятся мудрыми, переписывают сценарий жизни и начинают жить счастливо благодаря советам и урокам Школы Мудрости Анатолия Некрасова! Все её герои — наши современники, с которыми происходят реальные чудеса… Создавая книгу, автор пошёл необычным путём — он пригласил студентов Школы рассказать, как происходила волшебная трансформация их судьбы. Из невыдуманных рассказов вы узнаете, как героям удалось поправить здоровье, найти свою половинку, наладить отношения с близкими и построить по-настоящему счастливую, полную гармонии жизнь. Это случится и с вами. Прочтите книгу, почерпните мудрость. Сформулированный автором новый подход к системе жизненных ценностей прост и понятен каждому из нас и в то же время в удивительно короткие сроки даёт потрясающие результаты. Его методика затрагивает мировоззрение человека настолько глубоко, что уже через месяц он меняется, ведь осознание и переоценка ценностей меняют не только жизнь отдельного человека, но и весь мир вокруг него.</t>
  </si>
  <si>
    <t>21867</t>
  </si>
  <si>
    <t>Судьба российских принцесс. От царевны Софьи до великой княжны Анастасии</t>
  </si>
  <si>
    <t>978-5-227-11170-8</t>
  </si>
  <si>
    <t>Сказочные царевны живут в высоких башнях и ждут своих женихов, которые совершат в их честь великие подвиги и с которыми они будут жить-поживать да добра наживать. А как живут настоящие царевны? Они близки к высшей власти, но сами почти никогда не обладают этой властью. Они не могут решать свою судьбу и знают это с младых ногтей. Более того, они не могут доверять никому. Любое проявление симпатии к ним может быть не искренним, а лишь попыткой подольститься или частью хитрого плана. Они могут только надеяться на то, что их друзья — настоящие друзья и что если они будут очень добрыми, внимательными и щедрыми, то не наживут себе врагов. Бывают ли они счастливы? Стоит ли им завидовать? Ответ на эти вопросы вы, может быть, найдете, когда прочтете эту книгу.</t>
  </si>
  <si>
    <t>18751</t>
  </si>
  <si>
    <t>Судьбе вопреки</t>
  </si>
  <si>
    <t>978-5-227-08676-1</t>
  </si>
  <si>
    <t>16618</t>
  </si>
  <si>
    <t>Судьбоносная встреча</t>
  </si>
  <si>
    <t>978-5-227-06535-3</t>
  </si>
  <si>
    <t>17908</t>
  </si>
  <si>
    <t>Конфуций</t>
  </si>
  <si>
    <t>Суждения и беседы</t>
  </si>
  <si>
    <t>978-5-227-06636-7</t>
  </si>
  <si>
    <t>19180</t>
  </si>
  <si>
    <t>Суждено быть вместе</t>
  </si>
  <si>
    <t>978-5-227-09028-7</t>
  </si>
  <si>
    <t>21327</t>
  </si>
  <si>
    <t>Сулейман Великолепный. Величайший султан Османской империи</t>
  </si>
  <si>
    <t>978-5-9524-6176-5</t>
  </si>
  <si>
    <t>Оригинальное беллетризованное жизнеописание Сулеймана Великолепного, султана Османской империи — мудреца, поэта и воина, который завоевал часть Венгрии, Аравии, Месопотамии, Закавказья, территории Триполи и Алжира, но не устоял перед чарами своенравной рабыни-славянки, ставшей единственной любимой женщиной султана Востока.</t>
  </si>
  <si>
    <t>12464</t>
  </si>
  <si>
    <t>Шайн М.</t>
  </si>
  <si>
    <t>Сумеречные воспоминания</t>
  </si>
  <si>
    <t>978-5-227-02556-2</t>
  </si>
  <si>
    <t>16478</t>
  </si>
  <si>
    <t>Сумерки невежества. Технология лжи, или 75 очерков о современной фальсификации истории на Украине</t>
  </si>
  <si>
    <t>978-5-227-06377-9</t>
  </si>
  <si>
    <t>12109</t>
  </si>
  <si>
    <t>Сумрак</t>
  </si>
  <si>
    <t>978-5-227-02266-0</t>
  </si>
  <si>
    <t>16531</t>
  </si>
  <si>
    <t>Супергерой для миллиардерши</t>
  </si>
  <si>
    <t>978-5-227-06404-2</t>
  </si>
  <si>
    <t>15692</t>
  </si>
  <si>
    <t>Томпсон Д.</t>
  </si>
  <si>
    <t>Супермодель и фанерный ящик. Шокирующие истоии и причудливая экономка современного искуства</t>
  </si>
  <si>
    <t>978-5-227-056573</t>
  </si>
  <si>
    <t>17179</t>
  </si>
  <si>
    <t>Сценарий любви</t>
  </si>
  <si>
    <t>978-5-227-07212-2</t>
  </si>
  <si>
    <t>19584</t>
  </si>
  <si>
    <t>Счастливая звезда графини Анны</t>
  </si>
  <si>
    <t>978-5-227-09237-3</t>
  </si>
  <si>
    <t>18791</t>
  </si>
  <si>
    <t>Счастливое недоразумение</t>
  </si>
  <si>
    <t>978-5-227-08712-6</t>
  </si>
  <si>
    <t>15994</t>
  </si>
  <si>
    <t>Счастливое сердце</t>
  </si>
  <si>
    <t>978-5-227-05946-8</t>
  </si>
  <si>
    <t>16131</t>
  </si>
  <si>
    <t>Счастливые дни</t>
  </si>
  <si>
    <t>978-5-227-06115-7</t>
  </si>
  <si>
    <t>17819</t>
  </si>
  <si>
    <t>Счастливые дни в Шотландии</t>
  </si>
  <si>
    <t>978-5-227-07770-7</t>
  </si>
  <si>
    <t>17340</t>
  </si>
  <si>
    <t>Счастливые дни во Флоренции</t>
  </si>
  <si>
    <t>978-5-227-07225-2</t>
  </si>
  <si>
    <t>15672</t>
  </si>
  <si>
    <t>Счастливые обстоятельства</t>
  </si>
  <si>
    <t>978-5-227-05633-7</t>
  </si>
  <si>
    <t>18686</t>
  </si>
  <si>
    <t>Счастливый случайный брак</t>
  </si>
  <si>
    <t>978-5-227-08549-8</t>
  </si>
  <si>
    <t>19011</t>
  </si>
  <si>
    <t>Счастье в обмен на месть</t>
  </si>
  <si>
    <t>978-5-227-08915-1</t>
  </si>
  <si>
    <t>16269</t>
  </si>
  <si>
    <t>Счастье в подарок</t>
  </si>
  <si>
    <t>978-5-227-06164-5</t>
  </si>
  <si>
    <t>3185</t>
  </si>
  <si>
    <t>Курчаткин А.</t>
  </si>
  <si>
    <t>Счастье Вениамина Л</t>
  </si>
  <si>
    <t>5-227-01147-8</t>
  </si>
  <si>
    <t>14145</t>
  </si>
  <si>
    <t>Счастье на пороге</t>
  </si>
  <si>
    <t>978-5-227-04221-7</t>
  </si>
  <si>
    <t>17091</t>
  </si>
  <si>
    <t>Счастье с отсрочкой на год</t>
  </si>
  <si>
    <t>978-5-227-07054-8</t>
  </si>
  <si>
    <t>20219</t>
  </si>
  <si>
    <t>Счастье со второй попытки</t>
  </si>
  <si>
    <t>978-5-227-09749-1</t>
  </si>
  <si>
    <t>14350</t>
  </si>
  <si>
    <t>Счастье среднего возраста</t>
  </si>
  <si>
    <t>978-5-227-04366-5</t>
  </si>
  <si>
    <t>14651</t>
  </si>
  <si>
    <t>Счетчик калорий для стройных и стремящихся</t>
  </si>
  <si>
    <t>978-5-227-03955-2</t>
  </si>
  <si>
    <t>15616</t>
  </si>
  <si>
    <t>978-5-227-05536-1</t>
  </si>
  <si>
    <t>0102</t>
  </si>
  <si>
    <t>Считай, что ты мертв</t>
  </si>
  <si>
    <t>978-5-227-07009-8</t>
  </si>
  <si>
    <t>21535</t>
  </si>
  <si>
    <t>Считать виновной</t>
  </si>
  <si>
    <t>978-5-227-10960-6</t>
  </si>
  <si>
    <t>Конечно же Миранда Вуд оказалась единственной подозреваемой. Газетного магната Ричарда Тримейна  нашли убитым в ее постели, орудие преступления — ее кухонный нож. Кто еще мог совершить преступление, как не женщина, для которой стала западней любовь к женатому мужчине? Прямых улик не нашлось, но косвенных — предостаточно. У нее не было шанса оставаться на свободе до начала процесса. И вдруг тайный благодетель внес огромный залог. Дальнейшие события заставили задуматься: а не для того ли это сделано, чтобы Миранда не дожила до суда?..</t>
  </si>
  <si>
    <t>18440</t>
  </si>
  <si>
    <t>Сыграй мою жену</t>
  </si>
  <si>
    <t>978-5-227-08393-7</t>
  </si>
  <si>
    <t>13266</t>
  </si>
  <si>
    <t>Сын безумия</t>
  </si>
  <si>
    <t>978-5-227-03273-7</t>
  </si>
  <si>
    <t>21834</t>
  </si>
  <si>
    <t>Сытные постные блюда на каждый день. Традиции православного постного стола. Рецепты старинные и современные</t>
  </si>
  <si>
    <t>978-5-227-11145-6</t>
  </si>
  <si>
    <t>Игнатий Брянчанинов писал, что «тот, кто по-настоящему постится, воздерживается от гнева, ярости, злобы и мщения, а также воздерживает язык от празднословия, сквернословия, пустословия, клеветы…»._x000D_
Пост — не цель, а средство отвлечься от услаждения своего тела, сосредоточиться и подумать о своей душе; без всего этого он становится всего лишь диетой…_x000D_
В нашей книге собраны рецепты для постных столов. Вы увидите, что это очень простые блюда, и к тому же они вкусны и полезны. Представлены разнообразные рецепты как традиционных православных блюд, так и современных. Предлагаемые технологии достаточно быстры и просты в исполнении. А некоторые рецепты вас даже удивят. Такие блюда украсят постный стол своей формой и оригинальностью. И вы, несомненно, согласитесь, что и в постные дни можно сытно накормить семью. К тому же все эти рецепты можно использовать не только в постные дни.</t>
  </si>
  <si>
    <t>18697</t>
  </si>
  <si>
    <t>Сюрприз для богатой и знаменитой</t>
  </si>
  <si>
    <t>978-5-227-08598-6</t>
  </si>
  <si>
    <t>16467</t>
  </si>
  <si>
    <t>Сюрприз для лучшего любовника</t>
  </si>
  <si>
    <t>978-5-227-06391-5</t>
  </si>
  <si>
    <t>16547</t>
  </si>
  <si>
    <t>Сюрприз от Меган</t>
  </si>
  <si>
    <t>978-5-227-06501-8</t>
  </si>
  <si>
    <t>20940</t>
  </si>
  <si>
    <t>Сюрприз со вкусом страсти</t>
  </si>
  <si>
    <t>978-5-227-10449-6</t>
  </si>
  <si>
    <t>Два года назад миллиардер Тревор потерял жену, а Джейси — лучшую подругу. Встретившись снова, они отправляются на лыжный курорт — такова была последняя воля Кейтлин, именно она незадолго до смерти организовала поездку в горы для двух дорогих ее сердцу людей. Оказавшись вдали от сурового мира, Джейси и Тревор понимают, что не могут противостоять чувствам…</t>
  </si>
  <si>
    <t>18966</t>
  </si>
  <si>
    <t>Самочётов А.</t>
  </si>
  <si>
    <t>Сюрпризы Лебяжьего озера</t>
  </si>
  <si>
    <t>978-5-227-08929-8</t>
  </si>
  <si>
    <t>18492</t>
  </si>
  <si>
    <t>КАВКАЗ</t>
  </si>
  <si>
    <t>Т.1 Народы, населяющие Кавказ</t>
  </si>
  <si>
    <t>978-5-227-06562-9</t>
  </si>
  <si>
    <t>18493</t>
  </si>
  <si>
    <t>Т.2 Народы, населяющие Закавказье</t>
  </si>
  <si>
    <t>978-5-227-06587-2</t>
  </si>
  <si>
    <t>18494</t>
  </si>
  <si>
    <t>Т.3 Георгиевский трактат и последующее присоединение Грузии</t>
  </si>
  <si>
    <t>978-5-227-06593-3</t>
  </si>
  <si>
    <t>18495</t>
  </si>
  <si>
    <t>Т.4 Деятельность главнокомандующего войсками на Кавказе П.Д. Цицианова. Принятие новых земель в подданство России</t>
  </si>
  <si>
    <t>978-5-227-06606-0</t>
  </si>
  <si>
    <t>18496</t>
  </si>
  <si>
    <t>Т.5 Новые главнокомандующие на Кавказе после смерти князя Цицианова. Приготовления Персии и Турции к открытым военным действиям</t>
  </si>
  <si>
    <t>978-5-227-06611-4</t>
  </si>
  <si>
    <t>18497</t>
  </si>
  <si>
    <t>Т.6 Назначение А.П. Ермолова наместником на Кавказе</t>
  </si>
  <si>
    <t>978-5-227-06619-0</t>
  </si>
  <si>
    <t>20606</t>
  </si>
  <si>
    <t>Та самая встреча</t>
  </si>
  <si>
    <t>978-5-227-10197-6</t>
  </si>
  <si>
    <t>Скрипачка Люси в надежде разгадать тайну из прошлого своего деда отправляется в замок графа Моретти. Из-за начавшейся метели девушка вынуждена задержаться в замке и провести несколько дней наедине с его молодым привлекательным владельцем. Что найдет она в этих стенах, кроме ответов на свои вопросы? И как история из прошлого ее семьи поможет Стефано Моретти вернуть свое доброе имя?..</t>
  </si>
  <si>
    <t>18224</t>
  </si>
  <si>
    <t>Таежный бродяга</t>
  </si>
  <si>
    <t>978-5-227-07858-2</t>
  </si>
  <si>
    <t>21590</t>
  </si>
  <si>
    <t>Таинства Египта. Обряды, традиции, ритуалы</t>
  </si>
  <si>
    <t>978-5-9524-6389-9</t>
  </si>
  <si>
    <t>В книге известного антрополога и фольклориста Льюиса Спенса описано все многообразие мистической и оккультной мысли Древнего Египта, выраженное в тайных магических обрядах. Приводится описание ритуалов, которые отправлялись в египетских храмах, а также сведения о том, как элементы египетских культов были перенесены в другие культуры и в каком виде они сохранились до наших дней.</t>
  </si>
  <si>
    <t>16203</t>
  </si>
  <si>
    <t>Сойер А.</t>
  </si>
  <si>
    <t>Таинства кулинарии. Гастрономическое великолепие Античного мира</t>
  </si>
  <si>
    <t>978-5-9524-5163-6</t>
  </si>
  <si>
    <t>19662</t>
  </si>
  <si>
    <t>Таинственная незнакомка</t>
  </si>
  <si>
    <t>978-5-227-09489-6</t>
  </si>
  <si>
    <t>12284</t>
  </si>
  <si>
    <t>Таинственная сила подсознания в лабиринтах мозга</t>
  </si>
  <si>
    <t>978-5-227-02429-9</t>
  </si>
  <si>
    <t>11429</t>
  </si>
  <si>
    <t>Таинственная сила слова</t>
  </si>
  <si>
    <t>978-5-9524-4044-9</t>
  </si>
  <si>
    <t>14111</t>
  </si>
  <si>
    <t>Таинственный джентельмен</t>
  </si>
  <si>
    <t>978-5-227-04207-1</t>
  </si>
  <si>
    <t>2594</t>
  </si>
  <si>
    <t>Таинство любви Сквозь призму истории</t>
  </si>
  <si>
    <t>5-227-01123-0</t>
  </si>
  <si>
    <t>15447</t>
  </si>
  <si>
    <t>ВИ ЗА</t>
  </si>
  <si>
    <t>Михеенков С.Е.</t>
  </si>
  <si>
    <t>Тайна Безымянной высоты. 10-я армия в Московской и Курской битвах. От Серебряных Прудов до Рославля.</t>
  </si>
  <si>
    <t>978-5-227-05443-2</t>
  </si>
  <si>
    <t>19038</t>
  </si>
  <si>
    <t>Тайна брачного соглашения</t>
  </si>
  <si>
    <t>978-5-227-08923-6</t>
  </si>
  <si>
    <t>19811</t>
  </si>
  <si>
    <t>Волков Е.П</t>
  </si>
  <si>
    <t>Тайна древнего кургана</t>
  </si>
  <si>
    <t>978-5-227-09573-2</t>
  </si>
  <si>
    <t>20212</t>
  </si>
  <si>
    <t>Тайна его сердца</t>
  </si>
  <si>
    <t>978-5-227-09849-8</t>
  </si>
  <si>
    <t>18967</t>
  </si>
  <si>
    <t>Леденёв И.В</t>
  </si>
  <si>
    <t>Тайна золотого орла</t>
  </si>
  <si>
    <t>978-5-227-08947-2</t>
  </si>
  <si>
    <t>16685</t>
  </si>
  <si>
    <t>Тайна нашей ночи</t>
  </si>
  <si>
    <t>978-5-227-06704-3</t>
  </si>
  <si>
    <t>16816</t>
  </si>
  <si>
    <t>Тайна свадебных платьев</t>
  </si>
  <si>
    <t>978-5-227-06805-7</t>
  </si>
  <si>
    <t>14702</t>
  </si>
  <si>
    <t>Тайна Софи</t>
  </si>
  <si>
    <t>978-5-227-04670-3</t>
  </si>
  <si>
    <t>16069</t>
  </si>
  <si>
    <t>Тайна Сюзанны Марш</t>
  </si>
  <si>
    <t>978-5-227-06074-7</t>
  </si>
  <si>
    <t>21229</t>
  </si>
  <si>
    <t>Барти Т.</t>
  </si>
  <si>
    <t>Тайная дипломатия западных держав и России в годы Первой мировой войны. Дневники посла Великобритании во Франции. 1914—1918 годы</t>
  </si>
  <si>
    <t>978-5-9524-6170-3</t>
  </si>
  <si>
    <t>Лорд Френсис Барти, Откровенный Барти, как называли его друзья, — выдающийся дипломат, посол Великобритании во Франции в 1914—1918 годах, верой и правдой служил своей стране и делал это виртуозно, доведя до совершенства искусство дипломатии. Дневники, которые он вел в течение всей своей службы во Франции в тяжелые годы Первой мировой войны, — ценнейший документ, раскрывающий истинные мотивы политики Великобритании в Европе, на Ближнем Востоке, в Палестине, на Балканах и в других регионах. Всегда основываясь на здравом смысле и понимании сути происходящего, Барти раскрывает секреты дипломатической кухни, где царит холодный расчет в достижении далеко не всегда благовидных целей.</t>
  </si>
  <si>
    <t>16133</t>
  </si>
  <si>
    <t>Тайная жизнь скромницы</t>
  </si>
  <si>
    <t>978-5-227-06127-0</t>
  </si>
  <si>
    <t>15980</t>
  </si>
  <si>
    <t>Санчес Х.Р., Гильден А</t>
  </si>
  <si>
    <t>Тайная жизнь Фиделя Кастро. Шокирующие откровения личного телохранителя кубинского лидера</t>
  </si>
  <si>
    <t>978-5-227-05935-2</t>
  </si>
  <si>
    <t>19324</t>
  </si>
  <si>
    <t>Тайная сила внутри нас</t>
  </si>
  <si>
    <t>978-5-227-09199-4</t>
  </si>
  <si>
    <t>17713</t>
  </si>
  <si>
    <t>Тайная страсть леди Эстер</t>
  </si>
  <si>
    <t>978-5-227-07690-8</t>
  </si>
  <si>
    <t>18862</t>
  </si>
  <si>
    <t>Тайная страсть на Манхэттене</t>
  </si>
  <si>
    <t>978-5-227-08726-3</t>
  </si>
  <si>
    <t>20066</t>
  </si>
  <si>
    <t>Томпкинс П.</t>
  </si>
  <si>
    <t>Тайны Великой пирамиды Хеопса. Загадки двух тысячелетий</t>
  </si>
  <si>
    <t>978-5-9524-5682-2</t>
  </si>
  <si>
    <t>18431</t>
  </si>
  <si>
    <t>Тайны герцогини Эйвонли</t>
  </si>
  <si>
    <t>978-5-227-08402-6</t>
  </si>
  <si>
    <t>19237</t>
  </si>
  <si>
    <t>Тайны двора государева</t>
  </si>
  <si>
    <t>978-5-227-07907-7</t>
  </si>
  <si>
    <t>20193</t>
  </si>
  <si>
    <t>Тайны пирамид ацтеков и майя. Руины исчезнувших цивилизаций</t>
  </si>
  <si>
    <t>978-5-9524-5749-2</t>
  </si>
  <si>
    <t>21907</t>
  </si>
  <si>
    <t>Дебарроль А.</t>
  </si>
  <si>
    <t>Тайны руки Как узнать жизнь характер и будущее по линиям руки</t>
  </si>
  <si>
    <t>978-5-227-11204-0</t>
  </si>
  <si>
    <t>"Перед вами основательный труд известного французского хироманта — о великой тайне, которая с рождения написана на ладонях наших рук.
Вы научитесь с легкостью ученого-френолога считывать со своей ладони ту информацию, которая «написана» на ней самой Природой. Вы получите множество «ключей» от давно терзающих вас, казалось бы, неразрешимых вопросов и ситуаций. Вы узнаете об особенностях своего характера и поведения; о подстерегающих вас болезнях; о своих истинных желаниях и предназначении."</t>
  </si>
  <si>
    <t>21207</t>
  </si>
  <si>
    <t>Тайны руки. Как узнать жизнь, характер и будущее по линиям на ладони</t>
  </si>
  <si>
    <t>978-5-227-10731-2</t>
  </si>
  <si>
    <t>Перед вами основательный труд известного французского хироманта — о великой тайне, которая с рождения написана на ладонях наших рук._x000D_
Вы научитесь с легкостью ученого-френолога считывать со своей ладони ту информацию, которая «написана» на ней самой Природой. Вы получите множество «ключей» от давно терзающих вас, казалось бы, неразрешимых вопросов и ситуаций. Вы узнаете об особенностях своего характера и поведения; о подстерегающих вас болезнях; о своих истинных желаниях и предназначении.</t>
  </si>
  <si>
    <t>21338</t>
  </si>
  <si>
    <t>Тайны символов. Зашифрованные знаки тайных обществ, архитектуры, мифологии, искусства, истории</t>
  </si>
  <si>
    <t>978-5-9524-6074-4</t>
  </si>
  <si>
    <t>Символы — международный язык, понятный без слов. Этот способ общения доступен каждому в любом уголке мира, хотя значение знаков может меняться с течением времени. Первые символы появились раньше первой буквы или первого рисунка, и с тех пор люди пользуются ими во всех сферах своей жизни._x000D_
Многие символы обладают защитной функцией, и человек издавна окружал себя символикой, спасаясь от жизненных трудностей. Символ обращается не только к разуму, но и к чувствам, подсознанию, порождает сложные ассоциации и часто зависит от эпохи, религии, культуры народа. Символика нашла разнообразные выражения в архитектуре, в живописи, в миниатюрах, в легендах. Благодаря этой книге, вы научитесь читать символы старые и современные, разглядите знаки тайных обществ на домах, поймёте смысл, зашифрованный великими художниками на их полотнах, узнаете символику украшений и значение многих знаков, как древних, так и нововведённых.</t>
  </si>
  <si>
    <t>21579</t>
  </si>
  <si>
    <t>Чамовиц Д</t>
  </si>
  <si>
    <t>Тайные знания растений. Что видят, слышат и помнят цветы и деревья</t>
  </si>
  <si>
    <t>978-5-9524-6384-4</t>
  </si>
  <si>
    <t>Как и все живое на планете, растения имеют тонко развитые сенсорную и регуляторную системы, которые позволяют им видоизменяться и приспосабливаться к изменениям окружающей среды. А могут ли растения чувствовать: различать цвета, ощущать вкус и аромат, ориентироваться в пространстве и испытывать эмоции? Какая музыка по вкусу мимозе и бархатцам? Какой механизм заставляет сомкнуться «челюсти» венериной мухоловки? Какие ароматы провоцируют ускоренное созревание груш и авокадо? Ответ на эти и другие вопросы вы узнаете из книги известного биолога Дэниела Чамовица. Опираясь на результаты новейших исследований современных ученых, Чамовиц объясняет принципы работы одного из чувств человека и сравнивает этот механизм с аналогичным, присутствующим у растений. Загляните в удивительный мир живых, чувствующих растений — вас ожидают интригующие открытия!</t>
  </si>
  <si>
    <t>21361</t>
  </si>
  <si>
    <t>Энгус С</t>
  </si>
  <si>
    <t>Тайные культы древних. Мистические практики, посвященные богам</t>
  </si>
  <si>
    <t>978-5-9524-6224-3</t>
  </si>
  <si>
    <t>В своей работе С. Энгус рассматривает древние религиозные культы, исследует их своеобразие и в итоге крах перед христианством. Он затрагивает элевсинские мистерии — религиозные таинства Древней Греции, культ азиатской Кибелы, Великой Матери и Аттиса, египетских Осириса и Исиды, дионисийские обряды, митраизм в эллинистическом мире и другие темы дохристианского вероисповедания.</t>
  </si>
  <si>
    <t>21155</t>
  </si>
  <si>
    <t>Гекертон Ч.У.</t>
  </si>
  <si>
    <t>Тайные общества всех веков и стран</t>
  </si>
  <si>
    <t>978-5-227-10675-9</t>
  </si>
  <si>
    <t>Масоны и тамплиеры, алхимики и розенкрейцеры, каббалисты и гностики — практически все известные мировой истории тайные общества описаны в фундаментальном труде Чарльза Гекертона. Сам автор считал свою книгу «самым ясным отчетом о тайных обществах»._x000D_
Эта книга фактически является путеводителем по истории образования, развития и деятельности тайных обществ. Автор приводит их подробную классификацию, описывая религиозные, военные, судебные, ученые и политические тайные общества. Практически все известные истории тайные общества, их цели и задачи, структура, правила посвящения и обряды инициации рассмотрены здесь.</t>
  </si>
  <si>
    <t>20934</t>
  </si>
  <si>
    <t>Воронцова А.</t>
  </si>
  <si>
    <t>Тайные общества мира. Масоны, иллюминаты, розенкрейцеры, тамплиеры, каморра, якудза…</t>
  </si>
  <si>
    <t>978-5-227-10552-3</t>
  </si>
  <si>
    <t>Во все времена и у всех народов существовали общества, союзы и ордена, которые сохраняли в тайне свои цели и приемы. Масоны, иллюминаты, тамплиеры, друиды, розенкрейцеры и множество других религиозных, политических и даже мафиозных структур, прозвучавших в мировой истории, описаны в этой книге. Вас ждут всемирно известные китайские триады, кровожадная каморра, покрытая мраком тайны якудза, наводящий ужас на все живое ку-клукс-клан, западноафриканские каннибалы — леопарды и секретные спецслужбы от Моссад до ФСБ.</t>
  </si>
  <si>
    <t>19683</t>
  </si>
  <si>
    <t>Тайные операции американской разведки в Европе. Легендарный глава ЦРУ о секретном фронте Второй мировой войны</t>
  </si>
  <si>
    <t>978-5-9524-5557-3</t>
  </si>
  <si>
    <t>14548</t>
  </si>
  <si>
    <t>Тайный брак</t>
  </si>
  <si>
    <t>978-5-227-04513-3</t>
  </si>
  <si>
    <t>16361</t>
  </si>
  <si>
    <t>Тайный поклонник</t>
  </si>
  <si>
    <t>978-5-227-06269-7</t>
  </si>
  <si>
    <t>21357</t>
  </si>
  <si>
    <t>Марайни Ф.</t>
  </si>
  <si>
    <t>Тайный Тибет. Обычаи, верования и магические ритуалы буддийских монахов и лам</t>
  </si>
  <si>
    <t>978-5-9524-6221-2</t>
  </si>
  <si>
    <t>Известный ученый и путешественник Фоско Марайни глубоко изучил тибетскую культуру и религию. Его книга — плод длительного и необычайно увлекательного путешествия в Тибет, на корабле, поездом, а затем караванным путем в Лхасу — написана языком настоящего мастера слова. Побывав в тибетских монастырях, Марайни описал их обитателей, уклад, традиции, мистические ритуалы и подчас забавные особенности быта. Любуясь чортенами, символическими изображениями всей ламаистской космогонии, автор объяснил их смысл и значение для тибетской религии. Он также представил подробности жизни всех слоев тибетского общества от крестьян до светской и религиозной знати. Особое внимание Марайни уделил понятию ламаизма, и прежде всего личности того, кто инициировал великое движение, — Гуатаме Будде Пробужденному.</t>
  </si>
  <si>
    <t>7832</t>
  </si>
  <si>
    <t>Так долго не живут</t>
  </si>
  <si>
    <t>978-5-9524-2761-7</t>
  </si>
  <si>
    <t>0121</t>
  </si>
  <si>
    <t>Так крошится печенье</t>
  </si>
  <si>
    <t>978-5-227-07010-4</t>
  </si>
  <si>
    <t>19373</t>
  </si>
  <si>
    <t>Борисов А.А.</t>
  </si>
  <si>
    <t>Так не бывает, или Хрен знат</t>
  </si>
  <si>
    <t>978-5-227-09230-4</t>
  </si>
  <si>
    <t>18220</t>
  </si>
  <si>
    <t>Так хочу быть рядом</t>
  </si>
  <si>
    <t>978-5-227-08157-5</t>
  </si>
  <si>
    <t>16169</t>
  </si>
  <si>
    <t>Пейдж А.</t>
  </si>
  <si>
    <t>Такая сладкая любовная война</t>
  </si>
  <si>
    <t>978-5-227-06221-5</t>
  </si>
  <si>
    <t>2203</t>
  </si>
  <si>
    <t>Такер</t>
  </si>
  <si>
    <t>5-227-00926-0</t>
  </si>
  <si>
    <t>17843</t>
  </si>
  <si>
    <t>Такое простое счастье</t>
  </si>
  <si>
    <t>978-5-227-07780-6</t>
  </si>
  <si>
    <t>5710</t>
  </si>
  <si>
    <t>Такса</t>
  </si>
  <si>
    <t>5-9524-1625-X</t>
  </si>
  <si>
    <t>10756</t>
  </si>
  <si>
    <t>Талер чернокнижника</t>
  </si>
  <si>
    <t>978-5-9524-3853-8</t>
  </si>
  <si>
    <t>13539</t>
  </si>
  <si>
    <t>Там, где Крюков канал...</t>
  </si>
  <si>
    <t>978-5-227-03548-6</t>
  </si>
  <si>
    <t>10462</t>
  </si>
  <si>
    <t>Там, где свобода</t>
  </si>
  <si>
    <t>978-5-9524-3633-6</t>
  </si>
  <si>
    <t>21666</t>
  </si>
  <si>
    <t>Тамерлан. Правитель и полководец</t>
  </si>
  <si>
    <t>978-5-9524-6418-6</t>
  </si>
  <si>
    <t>Оригинальное беллетризованное жизнеописание выдающегося полководца Тамерлана, правителя Самарканда, чья жестокость стала легендой, чьи владения простирались от Закавказья до Китая, а военные успехи предопределили на века геополитическое устройство экзотического средневекового Востока.</t>
  </si>
  <si>
    <t>20913</t>
  </si>
  <si>
    <t>Кейтли Т.</t>
  </si>
  <si>
    <t>Тамплиеры. История великого рыцарского ордена и других тайных обществ Средневековья</t>
  </si>
  <si>
    <t>978-5-227-10531-8</t>
  </si>
  <si>
    <t>В книге на широком историческом материале рассказывается о развитии средневековых тайных обществ, созданных людьми, которые стремились освоить и применить на практике мистические знания, далеко выходившие за пределы догм их вероучения, отображены источники их конфликтов с правящими кругами. Это и тамплиеры — воинствующие монахи, которые доказывали преданность своей религии и ее истинность силой оружия, и ассасины — первый монашеский военный орден в исламе, который, распространяя свое вероучение, устранял на занятой им территории руками мулахидов, фанатиков­убийц, мусульман и христиан без особого разбора._x000D__x000D_
Помимо тамплиеров и ассасинов, это историческое исследование повествует о тайных трибуналах Вестфалии, известных также как суды фемы — своеобразные комитеты бдительности граждан, вершивших тайный суд и неукоснительно приводивших в исполнение приговоры в Средние века, когда в Германии царило беззаконие._x000D__x000D_
Ставшее классическим исследование английского историка Томаса Кейтли, отличающееся глубоким проникновением в тему, представляет интерес для всякого любознательного и пытливого современника.</t>
  </si>
  <si>
    <t>17813</t>
  </si>
  <si>
    <t>Танец для демона. Эпизод 1</t>
  </si>
  <si>
    <t>978-5-227-07777-6</t>
  </si>
  <si>
    <t>16226</t>
  </si>
  <si>
    <t>Танец под звездами</t>
  </si>
  <si>
    <t>978-5-227-06166-9</t>
  </si>
  <si>
    <t>21807</t>
  </si>
  <si>
    <t>Танки — вперёд! Развитие и тактика немецких танковых частей и подразделений. 1935–1945</t>
  </si>
  <si>
    <t>978-5-9524-6520-6</t>
  </si>
  <si>
    <t>Генерал-полковник вермахта Гейнц Гудериан, создатель немецких бронетанковых войск, обобщает опыт боевого применения танков во Второй мировой войне на различных театрах военных действий. Приводит принципы разведки и охранения, организации наступления и преследования противника, взаимодействия танковых частей с другими родами войск. Рассматривает технические характеристики и действие боевых машин в различных ситуациях: в борьбе за населенный пункт, при овладении плацдармом, в окружении, в условиях плохой видимости и других.</t>
  </si>
  <si>
    <t>18094</t>
  </si>
  <si>
    <t>Шайберт Х.</t>
  </si>
  <si>
    <t>Танки между Доном и Северским Донцом</t>
  </si>
  <si>
    <t>978-5-9524-5273-2</t>
  </si>
  <si>
    <t>20725</t>
  </si>
  <si>
    <t>Шойфлер Г.</t>
  </si>
  <si>
    <t>Танковые асы вермахта. Воспоминания офицеров 35-го танкового полка. 1939—1945</t>
  </si>
  <si>
    <t>978-5-9524-5710-2</t>
  </si>
  <si>
    <t>35­й танковый полк 4­й немецкой дивизии — самая известная танковая часть вермахта, отмеченная многими наградами. Его солдаты и офицеры принимали участие в кровопролитных боях, которые вел Третий рейх, захватывая страны Европы. Они воевали в Польше, во Франции, а затем на территории Советского Союза, закончив свой путь на развалинах гитлеровской «Великой Германии» в мае 1945 г. Воспоминания ветеранов 35­го полка дают возможность окунуться в атмосферу боев и фронтового быта, увидеть войну с позиций солдатской «окопной правды» и с высоты понимания происходящего командирами полка и дивизии._x000D_
Книга иллюстрирована картами и уникальными фотоматериалами, в приложении представлен полный перечень боев и операций, в которых действовал 35­й полк.</t>
  </si>
  <si>
    <t>21221</t>
  </si>
  <si>
    <t>Меллентин Ф.В.</t>
  </si>
  <si>
    <t>Танковые войска во Второй мировой войне. Великие сражения под Сталинградом и на Курской дуге. Кампании на Западе, Балканах и Северной Африке. 1939-1945</t>
  </si>
  <si>
    <t>978-5-9524-6164-2</t>
  </si>
  <si>
    <t>В книге бывшего генерала немецкой армии Фридриха Вильгельма фон Меллентина дана профессиональная оценка военных событий 1939—1945 годов. Автор показывает значение танковых войск на различных театрах военных действий от Европы до Северной Африки. Описывает действия танков на советско-германском фронте, уделяя основное внимание Сталинградской и Курской битвам, а также сражениям на Украине и в Польше.</t>
  </si>
  <si>
    <t>20418</t>
  </si>
  <si>
    <t>Тариф на счастье</t>
  </si>
  <si>
    <t>978-5-227-09640-1</t>
  </si>
  <si>
    <t>Алена была в семье нелюбимым ребенком, все детство на нее сыпались побои и проклятия. Окончив школу, она сбежала из дома и начала новую жизнь. Но у невзрачной, неуверенной в себе девушки было мало шансов на счастье. К яркому, красивому Диме Алена потянулась всей душой, словно почувствовала в молодом, уверенном в себе мужчине — любимце женщин — глубокую, затаенную боль. Но он, успешный бизнесмен, всего добившийся сам, и в мыслях не допускал ответить на чувство девушки, презирая ее покорную бесхребетность. Но любовь все терпит, все превозмогает, все прощает и, порой, находит неожиданные пути к израненному сердцу любимого человека…</t>
  </si>
  <si>
    <t>19111</t>
  </si>
  <si>
    <t>Тария</t>
  </si>
  <si>
    <t>978-5-227-09073-7</t>
  </si>
  <si>
    <t>21042</t>
  </si>
  <si>
    <t>Эдуард Паркер</t>
  </si>
  <si>
    <t>Татары. История возникновения великого народа</t>
  </si>
  <si>
    <t>978-5-9524-6106-2</t>
  </si>
  <si>
    <t>Увлекательный экскурс известного ученого Эдуарда Паркера в историю кочевых племен Восточной Азии познакомит вас с происхождением, формированием и эволюцией конгломерата, сложившегося в результате сложных и противоречивых исторических процессов. В этой уникальной книге повествуется о быте, традициях и социальной структуре татарского народа, прослеживаются династические связи правящей верхушки, рассказывается о кровопролитных сражениях и создании кочевых империй.</t>
  </si>
  <si>
    <t>18317</t>
  </si>
  <si>
    <t>Татуировка цвета страсти</t>
  </si>
  <si>
    <t>978-5-227-08251-0</t>
  </si>
  <si>
    <t>3455</t>
  </si>
  <si>
    <t>Хайсмит П.</t>
  </si>
  <si>
    <t>Те кто уходят</t>
  </si>
  <si>
    <t>5-227-01902-9</t>
  </si>
  <si>
    <t>21588</t>
  </si>
  <si>
    <t>Карсавина Т.П.</t>
  </si>
  <si>
    <t>Театральная улица. Воспоминания великой русской балерины</t>
  </si>
  <si>
    <t>978-5-9524-6388-2</t>
  </si>
  <si>
    <t>Воспоминания Тамары Карсавиной, одной из звезд легендарной труппы Сергея Дягилева, в составе которой были Нижинский и Павлова, стали признанной классикой литературы о балете. Детство, уроки танцев, годы обучения в Императорском балетном училище и последовавшие за ними триумфальные выступления в Мариинском, а затем в лучших театрах европейских столиц — все, что повлияло на становление величайшей балерины мира, отражено на этих страницах. Ярко и образно рассказывает балерина о своей жизни и замечательных людях, окружавших ее.</t>
  </si>
  <si>
    <t>10362</t>
  </si>
  <si>
    <t>Тебя заберет вода</t>
  </si>
  <si>
    <t>978-5-9524-3470-7</t>
  </si>
  <si>
    <t>19289</t>
  </si>
  <si>
    <t>Фет А.А.</t>
  </si>
  <si>
    <t>Тебя, одну тебя люблю я и желаю!</t>
  </si>
  <si>
    <t>978-5-227-08991-5</t>
  </si>
  <si>
    <t>6444</t>
  </si>
  <si>
    <t>Лофтс</t>
  </si>
  <si>
    <t>Телец для Венеры</t>
  </si>
  <si>
    <t>5-9524-2186-5</t>
  </si>
  <si>
    <t>14466</t>
  </si>
  <si>
    <t>Митрофанов А.</t>
  </si>
  <si>
    <t>Тело Милосовича</t>
  </si>
  <si>
    <t>978-5-227-03912-5</t>
  </si>
  <si>
    <t>11000</t>
  </si>
  <si>
    <t>Телохранитель</t>
  </si>
  <si>
    <t>978-5-9524-4169-9</t>
  </si>
  <si>
    <t>14154</t>
  </si>
  <si>
    <t>Телохранитель для невесты</t>
  </si>
  <si>
    <t>978-5-227-04297-2</t>
  </si>
  <si>
    <t>21612</t>
  </si>
  <si>
    <t>978-5-227-10979-8</t>
  </si>
  <si>
    <t>Свадьба Нины Кормье и Роберта Бледсоу не состоялась. Жених не явился на торжество. Едва невеста вышла из-под сводов храма, как раздался мощный взрыв — кто-то преподнес молодым бомбу под видом свадебного подарка. Покушения на жизнь Нины следовали одно за другим, ее явно пытались убить. Полицейский Сэм Наварро, расследовавший дело, проникся сочувствием к молодой красивой женщине и взял ее под свою опеку. Но даже когда появились первые жертвы, Нина не могла понять, кто желает ее смерти...</t>
  </si>
  <si>
    <t>18087</t>
  </si>
  <si>
    <t>М ШОУОЛТЕР</t>
  </si>
  <si>
    <t>Шоуолтер Д.</t>
  </si>
  <si>
    <t>Темная ложь</t>
  </si>
  <si>
    <t>978-5-227-08206-0</t>
  </si>
  <si>
    <t>17876</t>
  </si>
  <si>
    <t>Темная ночь</t>
  </si>
  <si>
    <t>978-5-227-07985-5</t>
  </si>
  <si>
    <t>12305</t>
  </si>
  <si>
    <t>Темная полоса</t>
  </si>
  <si>
    <t>978-5-227-02452-7</t>
  </si>
  <si>
    <t>18059</t>
  </si>
  <si>
    <t>Темная страсть</t>
  </si>
  <si>
    <t>978-5-227-08119-3</t>
  </si>
  <si>
    <t>18464</t>
  </si>
  <si>
    <t>Темное обольщение</t>
  </si>
  <si>
    <t>978-5-227-08433-0</t>
  </si>
  <si>
    <t>17948</t>
  </si>
  <si>
    <t>Темное удовольствие</t>
  </si>
  <si>
    <t>978-5-227-08029-5</t>
  </si>
  <si>
    <t>21187</t>
  </si>
  <si>
    <t>Оман Ч.</t>
  </si>
  <si>
    <t>Темные века европейской истории. От падения Рима до эпохи Ренессанса</t>
  </si>
  <si>
    <t>978-5-9524-5651-8</t>
  </si>
  <si>
    <t>В 476 году пала Западная Римская империя. Обширные территории Западного Средиземноморья оказались в руках вандалов, вестготов, франков и других племен, которых римляне прежде называли варварами. Римской империи, такой, какой ее знал Древний мир, больше не было. Но, даже в условиях упадка власти, Европа не погрузилась во мрак. По­прежнему существовала Восточная Римская империя, под покровительством императоров процветали искусства, науки и ремесла, совершенствовалась правовая система. На обломках Западной Римской империи возникали новые могущественные государства — королевства франков, остготов и вестготов. _x000D_
Британский военный историк Чарльз Оман проливает свет на период, именуемый Темными веками, всесторонне описывает личности и раскрывает характер правителей — от Теодориха Великого, который властвовал в Италии в начале VI века, до Карла Великого, первого императора франков. Историк наглядно показывает, как в конфликтах раннего Средневековья был заложен фундамент современной Европы.</t>
  </si>
  <si>
    <t>19344</t>
  </si>
  <si>
    <t>Темные сети</t>
  </si>
  <si>
    <t>978-5-227-09067-6</t>
  </si>
  <si>
    <t>12369</t>
  </si>
  <si>
    <t>Темные фантазии</t>
  </si>
  <si>
    <t>978-5-227-02516-6</t>
  </si>
  <si>
    <t>4706</t>
  </si>
  <si>
    <t>Нун Э.</t>
  </si>
  <si>
    <t>Темный кипарис</t>
  </si>
  <si>
    <t>5-9524-0095-7</t>
  </si>
  <si>
    <t>3596</t>
  </si>
  <si>
    <t>17899</t>
  </si>
  <si>
    <t>Темный поцелуй</t>
  </si>
  <si>
    <t>978-5-227-08001-1</t>
  </si>
  <si>
    <t>18821</t>
  </si>
  <si>
    <t>Темный соперник</t>
  </si>
  <si>
    <t>978-5-227-08459-0</t>
  </si>
  <si>
    <t>17570</t>
  </si>
  <si>
    <t>Тени прошлых грехов</t>
  </si>
  <si>
    <t>978-5-227-07626-7</t>
  </si>
  <si>
    <t>18745</t>
  </si>
  <si>
    <t>Гришанин Д.</t>
  </si>
  <si>
    <t>Тени Тегваара</t>
  </si>
  <si>
    <t>978-5-227-08719-5</t>
  </si>
  <si>
    <t>17211</t>
  </si>
  <si>
    <t>Тени убийства</t>
  </si>
  <si>
    <t>978-5-227-07152-1</t>
  </si>
  <si>
    <t>16115</t>
  </si>
  <si>
    <t>Тень императора</t>
  </si>
  <si>
    <t>978-5-227-06130-0</t>
  </si>
  <si>
    <t>19017</t>
  </si>
  <si>
    <t>Тень прошлого</t>
  </si>
  <si>
    <t>978-5-227-08924-3</t>
  </si>
  <si>
    <t>18153</t>
  </si>
  <si>
    <t>Тень чужака</t>
  </si>
  <si>
    <t>978-5-9524-5302-9</t>
  </si>
  <si>
    <t>20582</t>
  </si>
  <si>
    <t>Саксонский Мориц</t>
  </si>
  <si>
    <t>Теория военного искусства</t>
  </si>
  <si>
    <t>978-5-227-10258-4</t>
  </si>
  <si>
    <t>Граф Мориц Саксонский, главный маршал Франции, величайший полководец и военный теоретик, в своем трактате о военном деле рассматривает все аспекты подготовки и ведения войны. Выдвигает новые для своего времени идеи о необходимости воинской повинности и войсковых кадров, о тактике конницы, применении легкой артиллерии, роли инженерных укреплений на поле боя и значении нравственного элемента на войне. На протяжении многих лет его сочинение служило основой для изучения военного искусства._x000D_
Знаменитыми принципами Наполеона руководствовалось не одно поколение военных деятелей. У. Кейрнс в своем сборнике не только предлагает к изучению стратегические и тактические принципы Наполеона, но и рассматривает их действие на примере кампаний, проводимых признанными полководцами. Таким образом иллюстрируя и доказывая, что поражение и успех военных операций зависят от природного гения и знаний главнокомандующего.</t>
  </si>
  <si>
    <t>11479</t>
  </si>
  <si>
    <t>Теория невероятности</t>
  </si>
  <si>
    <t>978-5-9524-4581-9</t>
  </si>
  <si>
    <t>19382</t>
  </si>
  <si>
    <t>Теперь принадлежу тебе</t>
  </si>
  <si>
    <t>978-5-227-09107-9</t>
  </si>
  <si>
    <t>10428</t>
  </si>
  <si>
    <t>Теперь это ему ни к чему</t>
  </si>
  <si>
    <t>978-5-9524-3507-0</t>
  </si>
  <si>
    <t>14947</t>
  </si>
  <si>
    <t>978-5-227-04944-5</t>
  </si>
  <si>
    <t>0166</t>
  </si>
  <si>
    <t>978-5-227-07011-1</t>
  </si>
  <si>
    <t>16237</t>
  </si>
  <si>
    <t>Райт Т.</t>
  </si>
  <si>
    <t>Тепло твоих губ</t>
  </si>
  <si>
    <t>978-5-227-06170-6</t>
  </si>
  <si>
    <t>6997</t>
  </si>
  <si>
    <t>Теремок</t>
  </si>
  <si>
    <t>5-9524-1599-7</t>
  </si>
  <si>
    <t>18609</t>
  </si>
  <si>
    <t>Территория юности</t>
  </si>
  <si>
    <t>978-5-227-08569-6</t>
  </si>
  <si>
    <t>18721</t>
  </si>
  <si>
    <t>Перемолотова А., Перемолотов В.</t>
  </si>
  <si>
    <t>Тестировщик миров</t>
  </si>
  <si>
    <t>978-5-227-08684-6</t>
  </si>
  <si>
    <t>19138</t>
  </si>
  <si>
    <t>Тетя Пеларгония и тайна рода</t>
  </si>
  <si>
    <t>978-5-227-08980-9</t>
  </si>
  <si>
    <t>19026</t>
  </si>
  <si>
    <t>Кунин В.В</t>
  </si>
  <si>
    <t>Технарь</t>
  </si>
  <si>
    <t>978-5-227-08956-4</t>
  </si>
  <si>
    <t>21643</t>
  </si>
  <si>
    <t>Тиберий. Преемник Августа</t>
  </si>
  <si>
    <t>978-5-9524-6357-8</t>
  </si>
  <si>
    <t>Книга в увлекательной форме рассказывает о жизни и правлении преемника Августа — римского императора Тиберия. Личность этого правителя, представляющая несомненный интерес с исторической точки зрения, до сих пор остается психологической загадкой. Автор, используя свидетельства великих историков древности — Тацита, Светония и достижения современных исследований, наиболее полно воссоздает образ Тиберия.</t>
  </si>
  <si>
    <t>21594</t>
  </si>
  <si>
    <t>Кариус О.</t>
  </si>
  <si>
    <t>Тигры в грязи. Воспоминания немецкого танкиста. 1941—1944</t>
  </si>
  <si>
    <t>978-5-9524-6361-5</t>
  </si>
  <si>
    <t>Командир танка Отто Кариус воевал на Восточном фронте в составе группы армий «Север» в одном из первых экипажей «тигров». Автор погружает читателя в самую гущу кровавого боя с его дымом и пороховой гарью. Рассказывает о технических особенностях «тигра» и его боевых качествах._x000D_
В книге приведены технические доклады по испытаниям «тигра» и отчеты о ходе боевых действий 502­го батальона тяжелых танков.</t>
  </si>
  <si>
    <t>21848</t>
  </si>
  <si>
    <t>Васильевич С.</t>
  </si>
  <si>
    <t>Титулованные роды Российской империи. История происхождения 800 дворянских фамилий</t>
  </si>
  <si>
    <t>978-5-227-11129-6</t>
  </si>
  <si>
    <t>В книге Сергея Васильевича — академический псевдоним историка-архивиста и генеалога С.В. Любимова (1872—1935) — представлен подробный перечень всех знатных родов российского дворянства. На страницах издания перечислены все известные княжеские роды, происшедшие от Рюрика, литовских князей, грузинских владетелей и татарских мурз, роды, возведенные высочайшей властью в графское достоинство Российской империи и причисленные к нему иностранные графские фамилии. В особом разделе приведены сведения о баронских родах Прибалтийского края и аристократических семействах иностранных государств, получивших соизволение на пользование титулом при переходе в российское подданство. Каждая фамилия снабжена информационной справкой с указанием происхождения рода, датой получения титула и утверждения в нем.</t>
  </si>
  <si>
    <t>20976</t>
  </si>
  <si>
    <t>Гуденкауф Хизер</t>
  </si>
  <si>
    <t>То, что скрыто</t>
  </si>
  <si>
    <t>978-5-227-10538-7</t>
  </si>
  <si>
    <t>Эллисон Гленн освобождают из тюрьмы, где она отсидела пять лет за убийство. В прошлом она — гордость родителей и всего городка, а ныне бывшая заключенная. И это клеймо не позволяет ей снова вписаться в общество. Трагическое, поистине душераздирающее повествование ведется от лица четырех женщин, так или иначе причастных к преступлению, тайну которого читатель узнаёт постепенно, вплоть до самой последней страницы.</t>
  </si>
  <si>
    <t>15970</t>
  </si>
  <si>
    <t>Только для него</t>
  </si>
  <si>
    <t>978-5-227-05932-1</t>
  </si>
  <si>
    <t>15504</t>
  </si>
  <si>
    <t>Только не замуж!</t>
  </si>
  <si>
    <t>978-5-227-05495-1</t>
  </si>
  <si>
    <t>18285</t>
  </si>
  <si>
    <t>Только не разбивай сердце</t>
  </si>
  <si>
    <t>978-5-227-08249-7</t>
  </si>
  <si>
    <t>17180</t>
  </si>
  <si>
    <t>Только невинные</t>
  </si>
  <si>
    <t>978-5-227-07150-7</t>
  </si>
  <si>
    <t>18466</t>
  </si>
  <si>
    <t>Дэвис К</t>
  </si>
  <si>
    <t>Только одна ночь</t>
  </si>
  <si>
    <t>978-5-227-08450-7</t>
  </si>
  <si>
    <t>15691</t>
  </si>
  <si>
    <t>978-5-227-05626-9</t>
  </si>
  <si>
    <t>21098</t>
  </si>
  <si>
    <t>Только останься моим</t>
  </si>
  <si>
    <t>978-5-227-10504-2</t>
  </si>
  <si>
    <t>Пытаясь помочь родителям выплатить долг, Джессика устроилась работать официанткой. Однажды на роскошном приеме, обслуживая гостей, она опрокинула бокал шампанского на богатого красавца Оливера. А он, очарованный красотой девушки, предложил ей провести с ним вечер. Притяжение между ними оказалось настолько сильным, что Джессика, не в силах сопротивляться страсти, провела с Оливером ночь. На следующий день он предложил девушке стать его женой – правда, на время и за приличную сумму. Все просто — он женится и родные оставят его в покое. Джессика понимает, что встает на скользкий путь, но ей очень нужны деньги…</t>
  </si>
  <si>
    <t>16420</t>
  </si>
  <si>
    <t>Только сердце знает</t>
  </si>
  <si>
    <t>978-5-227-06290-1</t>
  </si>
  <si>
    <t>16680</t>
  </si>
  <si>
    <t>Томная дама в шляпке с цветком. С чего начинается Женственность (вид1).</t>
  </si>
  <si>
    <t>978-5-227-06697-8</t>
  </si>
  <si>
    <t>16750</t>
  </si>
  <si>
    <t>Тонкий расчет</t>
  </si>
  <si>
    <t>978-5-227-06717-3</t>
  </si>
  <si>
    <t>14727</t>
  </si>
  <si>
    <t>Тоннель желаний</t>
  </si>
  <si>
    <t>978-5-227-04613-0</t>
  </si>
  <si>
    <t>10601</t>
  </si>
  <si>
    <t>М РУБЛЕВКА</t>
  </si>
  <si>
    <t>Топ 10 или мужчина моей мечты</t>
  </si>
  <si>
    <t>978-5-9524-3820-0</t>
  </si>
  <si>
    <t>7686</t>
  </si>
  <si>
    <t>978-5-9524-2639-9</t>
  </si>
  <si>
    <t>7778</t>
  </si>
  <si>
    <t>20209</t>
  </si>
  <si>
    <t>Вексберг Д.</t>
  </si>
  <si>
    <t>Торговые банкиры. Известнейшие мировые финансовые династии</t>
  </si>
  <si>
    <t>978-5-9524-5768-3</t>
  </si>
  <si>
    <t>21466</t>
  </si>
  <si>
    <t>Цинз Х.</t>
  </si>
  <si>
    <t>Торговые войны Англии с Ганзейским союзом. Борьба на Балтике за рынки России и Речи Посполитой в Елизаветинскую эпоху</t>
  </si>
  <si>
    <t>978-5-9524-6312-7</t>
  </si>
  <si>
    <t>Хенрик Цинз представляет англо-балтийские торговые и политические отношения в «золотой век» английской истории, ознаменовавшие экономическую и политическую экспансию Англии в переломный момент ее социально-экономического развития. Рассказывает, как в годы правления королевы Елизаветы после ожесточенной борьбы с монополией Ганзейского союза за рынки сбыта страна достигла независимого положения в торговых отношениях на землях Северного и Балтийского морей. Информация основана на многочисленных статистических материалах, различных видах таможенных документов, в частности портовых книгах, позволяющих наглядно показать рост внешней торговли XVI века.</t>
  </si>
  <si>
    <t>18934</t>
  </si>
  <si>
    <t>Мартынов О.Н</t>
  </si>
  <si>
    <t>Тот еще космонавт!</t>
  </si>
  <si>
    <t>978-5-227-08903-8</t>
  </si>
  <si>
    <t>6484</t>
  </si>
  <si>
    <t>Тот кто не со мной</t>
  </si>
  <si>
    <t>5-9524-2167-9</t>
  </si>
  <si>
    <t>19574</t>
  </si>
  <si>
    <t>Тот самый мужчина</t>
  </si>
  <si>
    <t>978-5-227-09205-2</t>
  </si>
  <si>
    <t>18565</t>
  </si>
  <si>
    <t>Тот самый, единственный</t>
  </si>
  <si>
    <t>978-5-227-08439-2</t>
  </si>
  <si>
    <t>15198</t>
  </si>
  <si>
    <t>Тот, кто был в тени</t>
  </si>
  <si>
    <t>978-5-227-05233-9</t>
  </si>
  <si>
    <t>0162</t>
  </si>
  <si>
    <t>978-5-227-07012-8</t>
  </si>
  <si>
    <t>19391</t>
  </si>
  <si>
    <t>Тот, кто виновен</t>
  </si>
  <si>
    <t>978-5-227-09268-7</t>
  </si>
  <si>
    <t>19979</t>
  </si>
  <si>
    <t>978-5-227-09694-4</t>
  </si>
  <si>
    <t>18145</t>
  </si>
  <si>
    <t>Тот, кто убивает дракона</t>
  </si>
  <si>
    <t>978-5-227-08007-3</t>
  </si>
  <si>
    <t>17175</t>
  </si>
  <si>
    <t>Травы от стресса и тревожности. Восстановление здоровья природными средствами</t>
  </si>
  <si>
    <t>978-5-227-07193-4</t>
  </si>
  <si>
    <t>21114</t>
  </si>
  <si>
    <t>Трагедия абвера. Немецкая военная разведка во Второй мировой войне. 1935—1945</t>
  </si>
  <si>
    <t>978-5-9524-6013-3</t>
  </si>
  <si>
    <t>Оригинальная версия причин трагического финала самой мощной разведывательной службы Третьего рейха, которая неразрывно связана с личностью адмирала Вильгельма Канариса, возглавлявшего ее с 1935 по 1945 год. В книге представлена ценнейшая информация о формировании сети заговора по отстранению Гитлера от власти и ликвидации режима. Приведены уникальные свидетельства очевидцев, редкие документы и фотографии.</t>
  </si>
  <si>
    <t>21425</t>
  </si>
  <si>
    <t>Моргентау Г.</t>
  </si>
  <si>
    <t>Трагедия армянского народа. Мрачные страницы истории Османской империи. Записки американского посла. 1915—1916</t>
  </si>
  <si>
    <t>978-5-9524-6318-9</t>
  </si>
  <si>
    <t>Книга Генри Моргентау, посла Соединенных Штатов Америки в Турции с 1913 по 1916 год, открывает шокирующую страницу истории. В ней описано уничтожение армянской нации в восточных областях Турецкой империи. Убийства, грабежи, пытки и депортация — это лишь немногое из того, что довелось пережить угнетенному народу. Моргентау представляет глубокий анализ ситуации, подкрепляя его сведениями из официальных источников. Кроме того, он описывает процесс становления профессиональной турецкой армии и правительственные интриги младотурков, а также знакомит читателя с пропагандистской немецкой политикой, которая втянула Турцию в Первую мировую войну.</t>
  </si>
  <si>
    <t>20198</t>
  </si>
  <si>
    <t>Трагедия династии Романовых</t>
  </si>
  <si>
    <t>978-5-9524-5715-7</t>
  </si>
  <si>
    <t>21821</t>
  </si>
  <si>
    <t>Стахов Хассо</t>
  </si>
  <si>
    <t>Трагедия на Неве. Шокирующая правда о блокаде Ленинграда</t>
  </si>
  <si>
    <t>978-5-9524-6198-7</t>
  </si>
  <si>
    <t>Хассо Стахов испытал на себе все ужасы войны, юношей попав на один из самых горячих участков Восточного фронта — в район Ленинграда._x000D_
На основе собственных впечатлений, дневников других участников упоминаемых событий, используя сохранившиеся в архивах боевые донесения командиров подразделений и соединений, автор анализирует феномен несгибаемой обороны Северной столицы._x000D_
Книга, открывающая шокирующие тайны кровавой трехлетней битвы, во многом определившей исход войны, публикуется на русском языке впервые. Она рассказывает об ужасах блокады, как это виделось со стороны противника, и о трагедии 2-й Ударной армии Власова, погибшей при попытке освободить город из блокадного кольца.</t>
  </si>
  <si>
    <t>17518</t>
  </si>
  <si>
    <t>Регельсон Л.Л.</t>
  </si>
  <si>
    <t>Трагедия русской церкви 1917-53 гг.</t>
  </si>
  <si>
    <t>978-5-227-07496-6</t>
  </si>
  <si>
    <t>19281</t>
  </si>
  <si>
    <t>Традиционная китайская медицина и Аюрведа против простуды и COVID-19</t>
  </si>
  <si>
    <t>978-5-227-09246-5</t>
  </si>
  <si>
    <t>19654</t>
  </si>
  <si>
    <t>Дрессер К.</t>
  </si>
  <si>
    <t>Традиционное искусство Японии эпохи Мэйдзи. Оригинальное подробное исследование и коллекция уникальных иллюстраций</t>
  </si>
  <si>
    <t>978-5-9524-5548-1</t>
  </si>
  <si>
    <t>18882</t>
  </si>
  <si>
    <t>Ляо-цзы Вэй</t>
  </si>
  <si>
    <t>Трактат о военном искусстве. Советы по выживанию государства в эпоху Сражающихся царств</t>
  </si>
  <si>
    <t>978-5-227-07509-3</t>
  </si>
  <si>
    <t>20154</t>
  </si>
  <si>
    <t>Леонов Н. И.</t>
  </si>
  <si>
    <t>Трактир на Пятницкой; Агония</t>
  </si>
  <si>
    <t>978-5-227-09814-6</t>
  </si>
  <si>
    <t>20387</t>
  </si>
  <si>
    <t>Требование соблазнителя</t>
  </si>
  <si>
    <t>978-5-227-10024-5</t>
  </si>
  <si>
    <t>17985</t>
  </si>
  <si>
    <t>Требую перемирия</t>
  </si>
  <si>
    <t>978-5-227-08019-6</t>
  </si>
  <si>
    <t>21502</t>
  </si>
  <si>
    <t>Тренируем иммунитет. Гарантия вашего здоровья. Укрепляем естественную защиту организма</t>
  </si>
  <si>
    <t>978-5-227-10981-1</t>
  </si>
  <si>
    <t>Не зная отдыха наш бессменный защитник — иммунитет стоит на страже здоровья. Поддержите его, это в ваших интересах! Используйте описанные в книге простые способы его укрепления, и вы будете молоды и здоровы долгие годы. Разработана масса лекарств для повышения иммунитета, но тут палка о двух концах: многие из них имеют побочные действия и далеко не всем подходят. Так что же делать? Ответ прост: обратитесь к незаслуженно забытым, проверенным веками народным способам укрепления защитных сил организма. Наши предки не имели понятия, что такое иммунитет, но тем не менее они знали самые действенные рецепты для сохранения богатырского здоровья. Многие из них собраны в нашей книге. Здесь вы найдете рецепты целебных отваров и настоев из лекарственных трав и известных всем овощей и фруктов. Лечение с помощью меда и продуктов пчеловодства, главу о пользе русской бани и снежных ванн. Также вы узнаете, как правильно питаться и закаливаться, чтобы не одна хворь не взяла. Отдельная глава посвящена укреплению иммунитета детей с помощью нелекарственных методов.</t>
  </si>
  <si>
    <t>19631</t>
  </si>
  <si>
    <t>Тренируем мозг и память. Здоровое питание, правильное дыхание, физические упражнения, народные рецепты, фитотерапия</t>
  </si>
  <si>
    <t>978-5-227-09462-9</t>
  </si>
  <si>
    <t>19356</t>
  </si>
  <si>
    <t>Трепет искушения</t>
  </si>
  <si>
    <t>978-5-227-09078-2</t>
  </si>
  <si>
    <t>18694</t>
  </si>
  <si>
    <t>Третий не лишний</t>
  </si>
  <si>
    <t>978-5-227-08574-0</t>
  </si>
  <si>
    <t>17773</t>
  </si>
  <si>
    <t>Абакумов О.Ю.</t>
  </si>
  <si>
    <t>Третье отделение на страже нравственности</t>
  </si>
  <si>
    <t>978-5-227-07747-9</t>
  </si>
  <si>
    <t>16897</t>
  </si>
  <si>
    <t>Кейн М.</t>
  </si>
  <si>
    <t>Третье чудо</t>
  </si>
  <si>
    <t>978-5-227-06840-8</t>
  </si>
  <si>
    <t>16583</t>
  </si>
  <si>
    <t>Третья женщина</t>
  </si>
  <si>
    <t>978-5-227-06539-1</t>
  </si>
  <si>
    <t>7735</t>
  </si>
  <si>
    <t>Федорова М.</t>
  </si>
  <si>
    <t>Третья попытка</t>
  </si>
  <si>
    <t>978-5-9524-2627-6</t>
  </si>
  <si>
    <t>17844</t>
  </si>
  <si>
    <t>Три кольца для невесты</t>
  </si>
  <si>
    <t>978-5-227-07781-3</t>
  </si>
  <si>
    <t>10311</t>
  </si>
  <si>
    <t>Сумнина М.</t>
  </si>
  <si>
    <t>Три мегабайта из Нью-Йорка</t>
  </si>
  <si>
    <t>978-5-9524-3498-1</t>
  </si>
  <si>
    <t>20293</t>
  </si>
  <si>
    <t>Роуэн Р.У.</t>
  </si>
  <si>
    <t>Три тысячелетия секретных служб мира. Заказчики и исполнители тайных миссий и операций</t>
  </si>
  <si>
    <t>978-5-9524-5794-2</t>
  </si>
  <si>
    <t>21900</t>
  </si>
  <si>
    <t>Тридцатилетняя война. Величайшие битвы за господство в средневековой Европе. 1618—1648</t>
  </si>
  <si>
    <t>978-5-9524-6571-8</t>
  </si>
  <si>
    <t>С.В. Веджвуд — автор целого ряда трудов о Европе XVII в. и один из самых известных и популярных историков Великобритании, представляет исчерпывающую хронику Тридцатилетней войны с ее основными битвами и главными участниками. Живыми и яркими красками она изображает Европу 1618 г., раздираемую противоречиями между католиками и протестантами; Бурбонами и Габсбургами; между империями, королевствами и бесчисленными мелкими государствами. После того как разгневанные протестанты выбросили трех представителей Священной Римской империи из окон королевского замка в Праге, вспыхнуло восстание, и война начала неумолимо расползаться из Богемии по всей Европе, вовлекая страны от Испании до Швеции в кошмарную карусель голода, эпидемий и бесконечного хаоса.</t>
  </si>
  <si>
    <t>20006</t>
  </si>
  <si>
    <t>Тридцать на двоих</t>
  </si>
  <si>
    <t>978-5-227-09626-5</t>
  </si>
  <si>
    <t>15939</t>
  </si>
  <si>
    <t>Тридцать свиданий</t>
  </si>
  <si>
    <t>978-5-227-05930-7</t>
  </si>
  <si>
    <t>18904</t>
  </si>
  <si>
    <t>Триумф графа Соколова</t>
  </si>
  <si>
    <t>978-5-227-07909-1</t>
  </si>
  <si>
    <t>14422</t>
  </si>
  <si>
    <t>Ерофеев А.</t>
  </si>
  <si>
    <t>Триумфальные арки</t>
  </si>
  <si>
    <t>978-5-227-04378-8</t>
  </si>
  <si>
    <t>16532</t>
  </si>
  <si>
    <t>Тройная радость</t>
  </si>
  <si>
    <t>978-5-227-06405-9</t>
  </si>
  <si>
    <t>20264</t>
  </si>
  <si>
    <t>Тропа барса</t>
  </si>
  <si>
    <t>978-5-227-09881-8</t>
  </si>
  <si>
    <t>20464</t>
  </si>
  <si>
    <t>Тропический флирт</t>
  </si>
  <si>
    <t>978-5-227-10127-3</t>
  </si>
  <si>
    <t>Она — талантливый кондитер, он — знаменитый архитектор. Она — мечтает о семье, а он — убежденный холостяк. Их деловое знакомство перерастает в симпатию, а деловая поездка превращается в романтическое приключение. Рискнут ли они пойти дальше, следуя зову сердец?</t>
  </si>
  <si>
    <t>16928</t>
  </si>
  <si>
    <t>Тропы Трояна</t>
  </si>
  <si>
    <t>978-5-227-06940-5</t>
  </si>
  <si>
    <t>18125</t>
  </si>
  <si>
    <t>Трофей для дерзской скромницы</t>
  </si>
  <si>
    <t>978-5-227-08133-9</t>
  </si>
  <si>
    <t>21802</t>
  </si>
  <si>
    <t>ТРОЦКИЙ НОВ</t>
  </si>
  <si>
    <t>Дойчер И.</t>
  </si>
  <si>
    <t>Троцкий. Безоружный пророк. 1921—1929 гг.</t>
  </si>
  <si>
    <t>978-5-9524-6506-0</t>
  </si>
  <si>
    <t>Исаак Дойчер, автор целого ряда исторических и социологических исследований, рассматривает жизнь Троцкого сквозь формулу слов Макиавелли о том, что «вооруженные пророки всегда побеждали, а безоружные гибли»._x000D_
Эта книга о времени, наступившем после завершения Гражданской войны, когда Троцкий, еще находясь на вершинах славы и власти, возглавил грандиозную внутрипартийную борьбу после смерти Ленина._x000D_
Главный противник Сталина, единственный кандидат на руководство большевиками, «преждевременный» проповедник индустриализации и плановой экономики, критик теории «социализма в одной отдельно взятой стране», защитник «пролетарской демократии» был изгнан из страны, в которой победил._x000D_
В талантливом изложении одного из лучших европейских исследователей вы познакомитесь с панорамой политических взглядов и личной жизнью выдающегося публициста и оратора, полмира воспламенившего своими идеями.</t>
  </si>
  <si>
    <t>21801</t>
  </si>
  <si>
    <t>Троцкий. Вооруженный пророк. 1879—1921 гг.</t>
  </si>
  <si>
    <t>978-5-9524-6505-3</t>
  </si>
  <si>
    <t>Исаак Дойчер — известный историк, журналист и политолог, крупнейший специалист по проблемам Советского Союза и коммунистического движения, автор целого ряда исторических и социологических исследований. В своей книге автор рассказывает о самом важном периоде в жизни одного из признанных народом вождей революции Льва Троцкого. Дойчер лично знал и восхищался Троцким — мыслителем, пророком и мучеником, он ярко и рельефно представил панораму его идей в развитии. В талантливом изложении одного из лучших европейских исследователей вы узнаете о личной жизни выдающегося публициста и оратора, воспламенившего своими идеями полмира.</t>
  </si>
  <si>
    <t>21803</t>
  </si>
  <si>
    <t>Троцкий. Изгнанный пророк. 1929—1940 гг.</t>
  </si>
  <si>
    <t>978-5-9524-6507-7</t>
  </si>
  <si>
    <t>Исаак Дойчер, автор целого ряда исторических и социологических исследований, рассматривает жизнь Троцкого сквозь формулу слов Макиавелли о том, что «вооруженные пророки всегда побеждали, а безоружные гибли». В этой книге Троцкий предстает единственным, кто открыто противостоял сталинизму, вплоть до своего трагического конца._x000D_
В талантливом изложении одного из лучших европейских исследователей вы познакомитесь с трогательной и странной историей семейных отношений выдающегося публициста и оратора.</t>
  </si>
  <si>
    <t>19926</t>
  </si>
  <si>
    <t>Троя</t>
  </si>
  <si>
    <t>978-5-9524-5529-0</t>
  </si>
  <si>
    <t>20811</t>
  </si>
  <si>
    <t>Блеген К.</t>
  </si>
  <si>
    <t>Троянцы. Боги и герои города-призрака</t>
  </si>
  <si>
    <t>978-5-9524-6005-8</t>
  </si>
  <si>
    <t>В книге подробно описаны героические и драматические факты истории легендарной Трои, воспетой Гомером в бессмертной «Илиаде», города, до конца XIX века считавшегося плодом воображения великого античного поэта и обнаруженного знаменитым археологом-любителем Генрихом Шлиманом.</t>
  </si>
  <si>
    <t>18651</t>
  </si>
  <si>
    <t>Трудное счастье</t>
  </si>
  <si>
    <t>978-5-227-08562-7</t>
  </si>
  <si>
    <t>19722</t>
  </si>
  <si>
    <t>РАСТЕНИЯ-ЦЕЛИТЕЛИ</t>
  </si>
  <si>
    <t>Филиппова И.А.</t>
  </si>
  <si>
    <t>Трутовики. Эффективное лечение онкологии, гепатита, туберкулеза...</t>
  </si>
  <si>
    <t>978-5-227-08869-7</t>
  </si>
  <si>
    <t>6343</t>
  </si>
  <si>
    <t>Барсов Б.</t>
  </si>
  <si>
    <t>Туберкулез Профилактика и методы лечения</t>
  </si>
  <si>
    <t>5-9524-2114-8</t>
  </si>
  <si>
    <t>15758</t>
  </si>
  <si>
    <t>Туз в рукаве</t>
  </si>
  <si>
    <t>978-5-227-05700-6</t>
  </si>
  <si>
    <t>0161</t>
  </si>
  <si>
    <t>978-5-227-07013-5</t>
  </si>
  <si>
    <t>6172</t>
  </si>
  <si>
    <t>Турецкая кухня</t>
  </si>
  <si>
    <t>5-9524-1928-3</t>
  </si>
  <si>
    <t>20189</t>
  </si>
  <si>
    <t>Карлотто М.</t>
  </si>
  <si>
    <t>Турист</t>
  </si>
  <si>
    <t>978-5-227-09853-5</t>
  </si>
  <si>
    <t>18602</t>
  </si>
  <si>
    <t>978-5-227-08557-3</t>
  </si>
  <si>
    <t>21039</t>
  </si>
  <si>
    <t>Каэн К.</t>
  </si>
  <si>
    <t>Турция до османских султанов. Империя великих сельджуков, тюркское государство и правление монголов.</t>
  </si>
  <si>
    <t>978-5-9524-5855-0</t>
  </si>
  <si>
    <t>Историк-востоковед, специалист по исламу профессор Клод Каэн в своем труде о средневековой Турции рассматривает ее как предтечу Османской империи. Давая общую картину великой эпохи Сельджукидов, он рассказывает не только об особенностях мусульманского Востока, но и о политическом и религиозном противостоянии населявших Азию династий — Аббасидов, Саманидов, Буидов, тех же Сельджукидов и др., а также различных кланов шиитов, суннитов… подрывавших основы враждебных им режимов. Немалое внимание автор уделяет различным социальным, экономическим и институциональным проблемам в Турции домонгольского периода и изменениям, вызванным монгольским нашествием, распадом образовавшейся империи и ростом княжеств нового типа, возникавших на развалинах как византийского, так и сельджукского государств.</t>
  </si>
  <si>
    <t>21110</t>
  </si>
  <si>
    <t>Дерош Ноблькур</t>
  </si>
  <si>
    <t>Тутанхамон. Символ Древнего Египта</t>
  </si>
  <si>
    <t>978-5-9524-6119-2</t>
  </si>
  <si>
    <t>Оригинальное беллетризованное жизнеописание Тутанхамона, юноши-фараона, чье правление было кратковременно, но немыслимо пышно, а таинственная гибель окружена легендами и научными парадоксами. В книге повествуется о нравах и обычаях Древнего Египта, а также о людях этого государства, о религиозных обрядах, противоборстве двух религий, придворных интригах, тайнах дипломатии и обо всех сторонах жизни царственной четы.</t>
  </si>
  <si>
    <t>20995</t>
  </si>
  <si>
    <t>Тщеславие и жадность. Две повести</t>
  </si>
  <si>
    <t>978-5-227-10399-4</t>
  </si>
  <si>
    <t>Николай Александрович Лейкин как всегда выпукло и ярко изображает пороки, именем которых и названы две повести этого сборника. В первой повести считающий себя выше своих «серых» собратьев купец изо всех сил старается впечатлить высшее общество, а во второй отставной чиновник, напоминающий скупого рыцаря, экономит каждую копейку даже на самом необходимом, чтобы делать вклады. Однако этим автор не ограничивается: хоть краски и намеренно сгущаются для вящего комизма, его персонажи многогранные и очень человеческие во всех своих проявлениях. Написанные больше ста лет назад, эти тексты по-настоящему актуальны в любые времена, потому что ни тщеславие, ни жадность людская не меняются. Меняются только детали, кстати, очень тонко подмеченные автором и делающие произведение интересным еще и с точки зрения отечественной бытовой истории.</t>
  </si>
  <si>
    <t>10894</t>
  </si>
  <si>
    <t>Ты будешь рядом</t>
  </si>
  <si>
    <t>978-5-9524-3715-9</t>
  </si>
  <si>
    <t>17234</t>
  </si>
  <si>
    <t>Ты в моем сердце</t>
  </si>
  <si>
    <t>978-5-227-07209-2</t>
  </si>
  <si>
    <t>20048</t>
  </si>
  <si>
    <t>Тэйер П.</t>
  </si>
  <si>
    <t>Ты все еще моя</t>
  </si>
  <si>
    <t>978-5-227-09615-9</t>
  </si>
  <si>
    <t>11403</t>
  </si>
  <si>
    <t>Ты и он. Узнай всю правду о ваших отношениях</t>
  </si>
  <si>
    <t>978-5-9524-4365-5</t>
  </si>
  <si>
    <t>15694</t>
  </si>
  <si>
    <t>Ты мне нужна</t>
  </si>
  <si>
    <t>978-5-227-05646-7</t>
  </si>
  <si>
    <t>18015</t>
  </si>
  <si>
    <t>Ты мой или ничей</t>
  </si>
  <si>
    <t>978-5-227-08023-3</t>
  </si>
  <si>
    <t>15784</t>
  </si>
  <si>
    <t>Ты мой мир</t>
  </si>
  <si>
    <t>978-5-227-05684-9</t>
  </si>
  <si>
    <t>19889</t>
  </si>
  <si>
    <t>Ты навсегда со мной</t>
  </si>
  <si>
    <t>978-5-227-09483-4</t>
  </si>
  <si>
    <t>14946</t>
  </si>
  <si>
    <t>Ты найдешь - я расправлюсь</t>
  </si>
  <si>
    <t>978-5-227-04943-8</t>
  </si>
  <si>
    <t>0108</t>
  </si>
  <si>
    <t>978-5-227-07014-2</t>
  </si>
  <si>
    <t>16151</t>
  </si>
  <si>
    <t>Ты сам творишь свою судьбу. За гранью реальности</t>
  </si>
  <si>
    <t>978-5-227-05866-9</t>
  </si>
  <si>
    <t>11418</t>
  </si>
  <si>
    <t>Ты свободен, милый!</t>
  </si>
  <si>
    <t>978-5-9524-4568-0</t>
  </si>
  <si>
    <t>12056</t>
  </si>
  <si>
    <t>978-5-227-02248-6</t>
  </si>
  <si>
    <t>10519</t>
  </si>
  <si>
    <t>978-5-9524-3717-3</t>
  </si>
  <si>
    <t>0128</t>
  </si>
  <si>
    <t>Ты свое получишь</t>
  </si>
  <si>
    <t>978-5-227-07015-9</t>
  </si>
  <si>
    <t>21060</t>
  </si>
  <si>
    <t>Херрера А.</t>
  </si>
  <si>
    <t>Ты только мой</t>
  </si>
  <si>
    <t>978-5-227-10474-8</t>
  </si>
  <si>
    <t>Эсмеральда Самбрано-Пенья привыкла всю жизнь добиваться всего сама, хотя ее отец — основатель крупнейшей телевизионной сети. Следуя по стопам великого отца, она пытается продвинуть свои идеи на телевидении, но терпит неудачу. У Эсмеральды есть только один близкий человек — мать. А еще в ее жизни был Родриго — лучший друг и любовник, предавший ее десять лет назад. Вся жизнь Эсмеральды переворачивается после смерти отца. Теперь она может сама стать главой телекомпании. Но проблема в том, что на это же место претендует Родриго Альманзар...</t>
  </si>
  <si>
    <t>16167</t>
  </si>
  <si>
    <t>Ты только моя</t>
  </si>
  <si>
    <t>978-5-227-06142-3</t>
  </si>
  <si>
    <t>0129</t>
  </si>
  <si>
    <t>Ты шутишь, наверное?</t>
  </si>
  <si>
    <t>978-5-227-07016-6</t>
  </si>
  <si>
    <t>13884</t>
  </si>
  <si>
    <t>Тысяча поцелуев</t>
  </si>
  <si>
    <t>978-5-227-03981-1</t>
  </si>
  <si>
    <t>5694</t>
  </si>
  <si>
    <t>Дингуэлл</t>
  </si>
  <si>
    <t>Тысяча свечей</t>
  </si>
  <si>
    <t>5-9524-1652-7</t>
  </si>
  <si>
    <t>15144</t>
  </si>
  <si>
    <t>Тысячелистник, кипрей. Природные лекарства</t>
  </si>
  <si>
    <t>978-5-227-04763-2</t>
  </si>
  <si>
    <t>18056</t>
  </si>
  <si>
    <t>Горячев И.</t>
  </si>
  <si>
    <t>Тьма кромешная</t>
  </si>
  <si>
    <t>978-5-227-07818-6</t>
  </si>
  <si>
    <t>19999</t>
  </si>
  <si>
    <t>Бартман Э.</t>
  </si>
  <si>
    <t>Тяжелые бои на восточном фронте</t>
  </si>
  <si>
    <t>978-5-227-09679-1</t>
  </si>
  <si>
    <t>20583</t>
  </si>
  <si>
    <t>Люббеке В.</t>
  </si>
  <si>
    <t>У ворот Ленинграда. История солдата группы армий «Север». 1941—1945</t>
  </si>
  <si>
    <t>978-5-227-10254-6</t>
  </si>
  <si>
    <t>Солдат вермахта Вильгельм Люббеке начал военную службу в 1939 г. рядовым и окончил ее командиром роты в чине обер-лейтенанта в 1945 г. Он воевал в Польше, во Франции, в Бельгии, в России, где участвовал в боях на реке Волхов, в коридоре Демянского котла, у Новгорода и Ладожского озера. А в 1944 г. вместе со своей ротой с изматывающими боями отступал через Прибалтику в направлении Восточной Пруссии. Автор подробно рассказывает о тяжелых фронтовых буднях и подробностях солдатского быта, размышляет о том, чего ждала Германия и что получила в результате этой войны. Воспоминания Люббеке — это взгляд на опыт немецких солдат на фронтах Второй мировой войны выжившего свидетеля событий. _x000D_
Книга снабжена картами и фотоматериалами.</t>
  </si>
  <si>
    <t>5756</t>
  </si>
  <si>
    <t>У грехов длинные тени</t>
  </si>
  <si>
    <t>5-9524-1667-5</t>
  </si>
  <si>
    <t>10304</t>
  </si>
  <si>
    <t>Демидова С.</t>
  </si>
  <si>
    <t>У каждого своё проклятье</t>
  </si>
  <si>
    <t>978-5-9524-3401-1</t>
  </si>
  <si>
    <t>15969</t>
  </si>
  <si>
    <t>У любви твои глаза</t>
  </si>
  <si>
    <t>978-5-227-05926-0</t>
  </si>
  <si>
    <t>17814</t>
  </si>
  <si>
    <t>Рёстлунд Б</t>
  </si>
  <si>
    <t>У подножия Монмартра</t>
  </si>
  <si>
    <t>978-5-227-07794-3</t>
  </si>
  <si>
    <t>19813</t>
  </si>
  <si>
    <t>У старых грехов тени длинные</t>
  </si>
  <si>
    <t>978-5-227-09582-4</t>
  </si>
  <si>
    <t>12490</t>
  </si>
  <si>
    <t>У трех Суздальских озер</t>
  </si>
  <si>
    <t>978-5-227-02576-0</t>
  </si>
  <si>
    <t>20500</t>
  </si>
  <si>
    <t>Убежище ледяной страсти</t>
  </si>
  <si>
    <t>978-5-227-10193-8</t>
  </si>
  <si>
    <t>Случай свел Ронни Форрестер и Реда Брэннигана на скользкой дороге во время ледяного дождя. Автомобиль Ронни занесло, и она оказалась в кювете. Ред пришел на помощь. Из-за разбушевавшейся стихии Ронни вынуждена принять предложение Реда переночевать в его особняке… Ни один не хочет признаться себе, что их неумолимо тянет друг к другу, оба сопротивляются неожиданному чувству, так как у каждого есть печальный опыт расставания и разбитого сердца. И Ред, и Ронни поклялись не искать новых отношений. Но от судьбы не уйдешь.</t>
  </si>
  <si>
    <t>18343</t>
  </si>
  <si>
    <t>Убежище страсти</t>
  </si>
  <si>
    <t>978-5-227-08333-3</t>
  </si>
  <si>
    <t>8861</t>
  </si>
  <si>
    <t>Убийственно жив</t>
  </si>
  <si>
    <t>978-5-952-43143-0</t>
  </si>
  <si>
    <t>10978</t>
  </si>
  <si>
    <t>Убийственно красиво</t>
  </si>
  <si>
    <t>978-595--24-4125-5</t>
  </si>
  <si>
    <t>10975</t>
  </si>
  <si>
    <t>Убийственно просто</t>
  </si>
  <si>
    <t>978-5-9524-4122-4</t>
  </si>
  <si>
    <t>5869</t>
  </si>
  <si>
    <t>Убийство в Кантоне</t>
  </si>
  <si>
    <t>5-9524-1765-5</t>
  </si>
  <si>
    <t>17660</t>
  </si>
  <si>
    <t>Убийство в приличном обществе</t>
  </si>
  <si>
    <t>978-5-227-07693-9</t>
  </si>
  <si>
    <t>15239</t>
  </si>
  <si>
    <t>О Рейлли Б, Дугард М.</t>
  </si>
  <si>
    <t>Убийство Кеннеди. Конец Камелота.</t>
  </si>
  <si>
    <t>978-5-227-05241-4</t>
  </si>
  <si>
    <t>0130</t>
  </si>
  <si>
    <t>Убийство кинозвезды</t>
  </si>
  <si>
    <t>978-5-227-07017-3</t>
  </si>
  <si>
    <t>19619</t>
  </si>
  <si>
    <t>Убийство с гарантией</t>
  </si>
  <si>
    <t>978-5-227-09393-6</t>
  </si>
  <si>
    <t>21809</t>
  </si>
  <si>
    <t>Дитерихс М.К.</t>
  </si>
  <si>
    <t>Убийство царской семьи и членов Дома Романовых на Урале</t>
  </si>
  <si>
    <t>978-5-227-10874-6</t>
  </si>
  <si>
    <t>Генерал-лейтенант Михаил Константинович Дитерихс – участник Русско-японской, Первой мировой, Гражданской войн и один из руководителей Белого движения в Сибири и на Дальнем Востоке. Когда в 1918 году белые вошли в Екатеринбург, Дитерихс по поручению адмирала Колчака курировал ведение следствия об убийстве царской семьи. В 1922 году во Владивостоке он опубликовал книгу «Убийство царской семьи и членов Дома Романовых на Урале», в которой не только подробно рассказал о ходе и результатах следствия, но и изложил ряд собственных выводов. Конечно, в условиях Гражданской войны не все выводы генерала опирались на документальные данные, хотя он всеми силами старался соблюдать объективность и учитывать выявленные факты. Свидетельство человека, причастного к событиям, всегда представляет большой интерес.</t>
  </si>
  <si>
    <t>19392</t>
  </si>
  <si>
    <t>Убийцы Мидаса</t>
  </si>
  <si>
    <t>978-5-227-09220-5</t>
  </si>
  <si>
    <t>21003</t>
  </si>
  <si>
    <t>Горон М.</t>
  </si>
  <si>
    <t>Убийцы, мошенники и анархисты. Мемуары начальника сыскной полиции Парижа 1880­х годов</t>
  </si>
  <si>
    <t>978-5-227-10537-0</t>
  </si>
  <si>
    <t>Мемуары Мари-Франсуа Горона, начальника парижской сыскной полиции с 1886 по 1895 г., — это история расследований реальных преступлений, совершенных в Париже в конце XIX в. Жестокие убийцы, грабители, мошенники, фальшивомонетчики, наркоторговцы, падшие женщины – целая галерея портретов нарушителей закона представлена автором и участником расследования запутанных преступлений. Но его книга интересна не только описанием деяний злоумышленников и проведения сыскных мероприятий, здесь много бытовых подробностей жизни добропорядочного парижского общества и обитателей криминального мира. Кроме того, автор делится своими мыслями о вреде и пользе деятельности прессы, социальном неравенстве, о сложностях полицейской службы и действенности наказаний, в частности о высшей мере за совершенное тяжкое преступление. В книге помещены оригинальные портреты убийц.</t>
  </si>
  <si>
    <t>21052</t>
  </si>
  <si>
    <t>Филатов Н. А., Ширяев В. В.</t>
  </si>
  <si>
    <t>Убитая монета. Нумизматический детектив</t>
  </si>
  <si>
    <t>978-5-227-10549-3</t>
  </si>
  <si>
    <t>Термин нумизматов «убитая монета» означает монету, утратившую в процессе обращения признаки подлинности. На одном из крупнейших европейских аукционов неожиданно выставляются редкие и очень дорогие российские монеты из коллекции, которая долгие годы считалась утраченной. На коллекцию сразу же начинают претендовать и законные наследники последнего известного владельца, и могущественный олигарх, утверждающий, что он выкупил ее в свое время, и даже бывшие сотрудники советской внешней разведки. Однако новые обладатели драгоценных монет также не намерены отказываться от своих прав, и вся эта история начинает затрагивать интересы могущественных аукционных домов и европейских спецслужб…_x000D_
Новый роман признанного мастера остросюжетного детектива Никиты Филатова и эксперта с мировым именем Вадима Ширяева увлекательно и абсолютно достоверно приподнимает завесу, которая укрывает криминальное прошлое советской нумизматики, непростой мир современных коллекционеров и закулисную сторону деятельности западных аукционных домов.</t>
  </si>
  <si>
    <t>3748</t>
  </si>
  <si>
    <t>Убить клоуна</t>
  </si>
  <si>
    <t>5-9524-0209-7</t>
  </si>
  <si>
    <t>18453</t>
  </si>
  <si>
    <t>Увертюра к пылкой встрече</t>
  </si>
  <si>
    <t>978-5-227-08394-4</t>
  </si>
  <si>
    <t>7863</t>
  </si>
  <si>
    <t>Удар в спину</t>
  </si>
  <si>
    <t>978-5-9524-2796-9</t>
  </si>
  <si>
    <t>0116</t>
  </si>
  <si>
    <t>Ударь по больному месту</t>
  </si>
  <si>
    <t>978-5-227-07018-0</t>
  </si>
  <si>
    <t>17493</t>
  </si>
  <si>
    <t>Удержать любой ценой</t>
  </si>
  <si>
    <t>978-5-227-07477-5</t>
  </si>
  <si>
    <t>14834</t>
  </si>
  <si>
    <t>Удивительная женщина</t>
  </si>
  <si>
    <t>978-5-227-04743-4</t>
  </si>
  <si>
    <t>16579</t>
  </si>
  <si>
    <t>Удивительный подарок</t>
  </si>
  <si>
    <t>978-5-227-06498-1</t>
  </si>
  <si>
    <t>16677</t>
  </si>
  <si>
    <t>Удобрения и подкормка для приусадебного участка. Гарантия высокого урожая</t>
  </si>
  <si>
    <t>978-5-227-06668-8</t>
  </si>
  <si>
    <t>14641</t>
  </si>
  <si>
    <t>Уже не игра</t>
  </si>
  <si>
    <t>978-5-227-04633-8</t>
  </si>
  <si>
    <t>17737</t>
  </si>
  <si>
    <t>ЕДА</t>
  </si>
  <si>
    <t>Расстегаев И.</t>
  </si>
  <si>
    <t>Узбекская кухня</t>
  </si>
  <si>
    <t>978-5-227-07668-7</t>
  </si>
  <si>
    <t>18239</t>
  </si>
  <si>
    <t>Узнай ее взгялд из тысячи</t>
  </si>
  <si>
    <t>978-5-227-08225-1</t>
  </si>
  <si>
    <t>15829</t>
  </si>
  <si>
    <t>Узнай меня, если сможешь</t>
  </si>
  <si>
    <t>978-5-227-05718-1</t>
  </si>
  <si>
    <t>16191</t>
  </si>
  <si>
    <t>Узнай свое будущее. Заставь Фортуну работать на себя</t>
  </si>
  <si>
    <t>978-5-227-05872-0</t>
  </si>
  <si>
    <t>20757</t>
  </si>
  <si>
    <t>978-5-227-09730-9</t>
  </si>
  <si>
    <t>Книга Елены Коровиной — уникальное пособие по управлению пространством и временем с помощью чисел. Прочитав ее, вы узна­ете, как собрать бонусы, уготованные вам Судьбой, достичь поставленных целей и реализовать скрытые способности. Вы сможете заставить ­время работать на себя, сделать его надежным союзником на пути к Успеху._x000D_
Книга предназначена для всех, кто хочет увеличить потенциал своей жизненной энергии и выстроить собственную жизнь так, чтобы достичь внутренней и внешней гармонии.</t>
  </si>
  <si>
    <t>15915</t>
  </si>
  <si>
    <t>Уик-энд в Городе грехов</t>
  </si>
  <si>
    <t>978-5-227-05928-4</t>
  </si>
  <si>
    <t>17944</t>
  </si>
  <si>
    <t>Уик-энд феерической страсти</t>
  </si>
  <si>
    <t>978-5-227-07998-5</t>
  </si>
  <si>
    <t>20898</t>
  </si>
  <si>
    <t>Манчестер У., Рейд Пол</t>
  </si>
  <si>
    <t>Уинстон Спенсер Черчилль. Защитник королевства. Вершина политической карьеры. 1940—1965</t>
  </si>
  <si>
    <t>978-5-227-10528-8</t>
  </si>
  <si>
    <t>Сэр Уинстон Спенсер Черчилль – британский государственный и политический деятель, премьер­министр Великобритании в 1940–1945 и 1951–1955 годах, военный, журналист, писатель, почетный член Британской академии, лауреат Нобелевской премии, по данным опроса, проведенного в 2002 году компанией Би­би­си, величайший британец в истории._x000D__x000D_
  Черчилль, представленный Уильямом Манчестером и Полом Ридом, – это человек несгибаемого мужества, острого ума и невероятного стремления к действию. Эта книга – блистательный рассказ о том, как Черчилль организовал свою нацию для обороны и военного отпора нацистской Германии, вынудив Рузвельта оказать поддержку Британии поставками вооружения. Именно он настоял на оказании помощи Советскому Союзу, что не мешало ему оставаться его убежденным идейным врагом  В Старике, как называли его сотрудники, уживалось несколько, иногда противоречащих друг другу личностей. Он непозволительно много работал, был эгоистичен, придирчив, вспыльчив, груб, невнимателен к людям и в то же время преисполнен сострадания к тем, кто попал в трудное положение. Но что бы ни происходило с ним и с его страной, которой он был бесконечно предан, он всегда поступал в соответствии со своим девизом: «Никогда не сдавайся!»</t>
  </si>
  <si>
    <t>10439</t>
  </si>
  <si>
    <t>Уйти красиво и с деньгами</t>
  </si>
  <si>
    <t>978-5-9524-3620-6</t>
  </si>
  <si>
    <t>17731</t>
  </si>
  <si>
    <t>Уйти, чтобы остаться</t>
  </si>
  <si>
    <t>978-5-227-07720-2</t>
  </si>
  <si>
    <t>17613</t>
  </si>
  <si>
    <t>Украденная невеста</t>
  </si>
  <si>
    <t>978-5-227-07627-4</t>
  </si>
  <si>
    <t>20956</t>
  </si>
  <si>
    <t>Украденная страсть</t>
  </si>
  <si>
    <t>978-5-227-10452-6</t>
  </si>
  <si>
    <t>Дарси Милн готова на все ради опеки над дочерью подруги, даже на фиктивный брак, однако ее властный потрясающе красивый босс разрушает безупречный план. Приехав в мэрию, Элиас Грейсон срывает церемонию, а затем, чтобы исправить ситуацию, делает Дарси предложение. Как станут развиваться их отношения после свадьбы? Сохранятся ли договоренности? И смогут ли они открыть друг другу свои истинные чувства?..</t>
  </si>
  <si>
    <t>16234</t>
  </si>
  <si>
    <t>Украденный поцелуй</t>
  </si>
  <si>
    <t>978-5-227-06163-8</t>
  </si>
  <si>
    <t>17031</t>
  </si>
  <si>
    <t>Марголин А.Д.</t>
  </si>
  <si>
    <t>Украина и политика Антанты. Записки еврея и гражданина</t>
  </si>
  <si>
    <t>978-5-227-06596-4</t>
  </si>
  <si>
    <t>20300</t>
  </si>
  <si>
    <t>Армстронг Джон</t>
  </si>
  <si>
    <t>Украинский национализм. Факты и исследования</t>
  </si>
  <si>
    <t>978-5-9524-5816-1</t>
  </si>
  <si>
    <t>20688</t>
  </si>
  <si>
    <t>Парфирьев Д.С.</t>
  </si>
  <si>
    <t>Украинское движение в Австро-Венгрии в годы Первой мировой войны. Между Веной, Берлином и Киевом. 19</t>
  </si>
  <si>
    <t>978-5-227-10369-7</t>
  </si>
  <si>
    <t>В книге показано то, как Первая мировая война катализировала развитие украинского национального движения в империи Габсбургов. Обострение конфронтации с поляками, разгром русофильского движения, уступки имперского центра и поддержка со стороны Германии свелись к тому, что украинский национальный проект стал безальтернативным для русинского населения Галиции и Буковины. Главным средством экспансии украинского движения была национальная мобилизация, охватившая русинов на передовой, в тылу и на прифронтовых территориях. Украинские политики, чьей целью до самого распада Австро-Венгрии была автономия в составе империи, не заметили, как чаяния населения опередили их намерения, — к концу 1918 г. на местах господствовала идея независимого украинского государства.</t>
  </si>
  <si>
    <t>15867</t>
  </si>
  <si>
    <t>Украинское национальное движение. УССР 1920-1930-е годов</t>
  </si>
  <si>
    <t>978-5-227-05824-9</t>
  </si>
  <si>
    <t>21034</t>
  </si>
  <si>
    <t>Украсть собственную жену</t>
  </si>
  <si>
    <t>978-5-227-09673-9</t>
  </si>
  <si>
    <t>Леона по любви вышла замуж за Хасана Бен Халифа, принца небольшой, но богатой арабской страны. Спустя пять лет она покинула дворец своего супруга и решила развестись, потому что не смогла подарить ему наследника. Но Хасан и не думал сдаваться, он вернул жену, и, как прежде, покорил ее своей любовью и нежностью. Леона снова сгорает от страсти в его объятиях, вот только проблемы никуда не делись…</t>
  </si>
  <si>
    <t>16291</t>
  </si>
  <si>
    <t>Укрощение ловеласа</t>
  </si>
  <si>
    <t>978-5-227-06189-8</t>
  </si>
  <si>
    <t>14212</t>
  </si>
  <si>
    <t>Укрощение повесы</t>
  </si>
  <si>
    <t>978-5-227-04285-9</t>
  </si>
  <si>
    <t>16880</t>
  </si>
  <si>
    <t>Укрощенный холостяк</t>
  </si>
  <si>
    <t>978-5-227-06937-5</t>
  </si>
  <si>
    <t>21762</t>
  </si>
  <si>
    <t>Улица роз</t>
  </si>
  <si>
    <t>978-5-227-11122-7</t>
  </si>
  <si>
    <t>В Кедровой Бухте жизнь бьет ключом. Полгода назад при таинственных обстоятельствах пропал Даниэль, муж Грейс Шерман. Последний раз его видели с женщиной. Найти его не удалось, и Грейс решила, что Дэн подло сбежал от семьи. Ее дочь Мэрилин и подруга Оливия, как могли, помогали Грейс начать новую жизнь. Судьба предоставила удобный случай: официантка в кафе перепутала кредитки, и Грейс волей-неволей пришлось познакомиться с Клифом Хардингом, очень милым, обходительным мужчиной. Однако она не готова ответить на его чувство. У Оливии тоже не все в порядке: ее мать Шарлота слабеет день ото дня, а друг ревнует к бывшему мужу. Новый знакомый Мэрилин почему-то старательно скрывает свое прошлое. Но дружба и любовь помогут расставить все по местам. И на улице роз снова поселится счастье.</t>
  </si>
  <si>
    <t>20872</t>
  </si>
  <si>
    <t>Улица Рубинштейна и вокруг нее. Графский и Щербаков переулки</t>
  </si>
  <si>
    <t>978-5-227-09600-5</t>
  </si>
  <si>
    <t>Эта книга — продолжение серии своеобразных путеводителей по улицам, площадям и набережным Петербурга. Сегодня речь пойдет об улице Рубинштейна и примыкающих к ней Графском и Щербаковом переулках. Публикации, посвященные им, не многочисленны, между тем их история очень интересна и связана с многими поколениями петербуржцев, принадлежавших к разным сословиям, национальностям и профессиям, живших, служивших или бывавших здесь: военных и чиновников, купцов и мещан, литераторов и артистов, художников и архитекторов… Перед вами пройдут истории судеб более двухсот пятидесяти известных людей, а авторы попытаются раскрыть тайны, которые хранят местные дома. Возникновение этой небольшой улицы, протянувшейся на 700 метров от Невского проспекта до пересечения с Загородным проспектом и улицей Ломоносова, относится еще ко времени императрицы Анны Иоанновны! На рубеже веков улица Рубинштейна была и остается одним из центров театральной и музыкальной жизни Северной столицы. Сегодня улица продолжает жить и развиваться, прогуливаясь по ней, мы как будто вместе с вами оказываемся в европейском городе с разной архитектурой и кухнями многих стран.</t>
  </si>
  <si>
    <t>10359</t>
  </si>
  <si>
    <t>Дубин</t>
  </si>
  <si>
    <t>Улица Рылеева</t>
  </si>
  <si>
    <t>978-5-9524-3555-1</t>
  </si>
  <si>
    <t>20953</t>
  </si>
  <si>
    <t>Улица Тверская. Прогулки по центру Москвы</t>
  </si>
  <si>
    <t>978-5-227-10548-6</t>
  </si>
  <si>
    <t>Что может быть интереснее прогулки по самой главной и древней улице Москвы? Стоящие на ней дома поведают нам свою историю, назовут имена живших в них когда-то людей. Прислушаемся к этому рассказу, ведь в нем так много неизвестного и загадочного. Вместе с автором мы почувствуем запах филипповских калачей, осмотрим интерьеры Елисеевского магазина, погостим в отеле «Националь». Потанцуем на балу у князя Долгорукова, обратим внимание на переехавшие дома и памятники. А еще нам встретятся те, кто когда-то здесь жил и бывал, — поэты Пушкин и Лермонтов, генерал Скобелев и издатель Сытин, архитекторы Казаков и Шехтель, писатели Гоголь и Булгаков, купец-душегуб Мазурин и террорист Савинков…</t>
  </si>
  <si>
    <t>19763</t>
  </si>
  <si>
    <t>Аксельрод В.И., Исаченко В.Г.</t>
  </si>
  <si>
    <t>Улица Чехова</t>
  </si>
  <si>
    <t>978-5-227-09476-6</t>
  </si>
  <si>
    <t>18529</t>
  </si>
  <si>
    <t>Ультиматум безрассудной ночи</t>
  </si>
  <si>
    <t>978-5-227-08415-6</t>
  </si>
  <si>
    <t>20249</t>
  </si>
  <si>
    <t>Умереть на сцене</t>
  </si>
  <si>
    <t>978-5-227-09818-4</t>
  </si>
  <si>
    <t>18663</t>
  </si>
  <si>
    <t>Дэорсе А.</t>
  </si>
  <si>
    <t>Умереть тысячу раз</t>
  </si>
  <si>
    <t>978-5-227-08656-3</t>
  </si>
  <si>
    <t>21134</t>
  </si>
  <si>
    <t>Умная книга для развития мозга. Плохая память не приговор! Простые упражнения для «прокачки» мозга. Эффективные способы улучшения мышления и интеллекта</t>
  </si>
  <si>
    <t>978-5-227-10707-7</t>
  </si>
  <si>
    <t>Наш мозг способен работать намного эффективнее, чем мы можем себе представить. Благодаря скрытым возможностям разума мы совершаем открытия, добиваемся поставленных целей, воплощаем самые заветные мечты. Активизация умственной деятельности необходима сегодня всё большему числу людей — прогресс не стоит на месте, и для многих учебных или рабочих процессов требуется высокий уровень интеллекта. Хотите сохранить на долгие годы ясный ум и твёрдую память? Читайте книгу! Из неё вы узнаете, какие отделы мозга связаны с памятью, какие нарушения памяти выделяют, как можно укрепить и тренировать память. Также автор рассказывает, какие лекарственные травы и упражнения помогут. Вы получите информацию, какие заболевания снижают умственные способности, ведь гипертония и сахарный диабет нарушают обмен веществ и ухудшают работу мозга! Вы прочтёте, почему происходят нарушения мозговой деятельности, что можно и нужно сделать для профилактики нарушений памяти, получите список полезных и вредных для мозга продуктов и множество рецептов блюд и напитков, которые взбодрят ваш разум.</t>
  </si>
  <si>
    <t>19937</t>
  </si>
  <si>
    <t>Митчелл М.</t>
  </si>
  <si>
    <t>Унесенные ветром т.1</t>
  </si>
  <si>
    <t>978-5-227-09662-3</t>
  </si>
  <si>
    <t>19938</t>
  </si>
  <si>
    <t>Унесенные ветром т.2</t>
  </si>
  <si>
    <t>978-5-227-09664-7</t>
  </si>
  <si>
    <t>15290</t>
  </si>
  <si>
    <t>Унесенные магией</t>
  </si>
  <si>
    <t>978-5-227-05308-4</t>
  </si>
  <si>
    <t>15993</t>
  </si>
  <si>
    <t>Унесенные ураганом</t>
  </si>
  <si>
    <t>978-5-227-05945-1</t>
  </si>
  <si>
    <t>18171</t>
  </si>
  <si>
    <t>Универсальный лекарь калган. При болезнях сердца, почек, печени, кожи, суставов, половой системы</t>
  </si>
  <si>
    <t>978-5-227-07192-7</t>
  </si>
  <si>
    <t>18169</t>
  </si>
  <si>
    <t>Универсальный многослов. Книга для тех, кому интересно жить осмысленно</t>
  </si>
  <si>
    <t>978-5-227-07833-9</t>
  </si>
  <si>
    <t>17687</t>
  </si>
  <si>
    <t>Уникальное лекарство малина. При атеросклерозе, простуде, бесплодии, гипертонии, ожирении…</t>
  </si>
  <si>
    <t>978-5-227-07642-7</t>
  </si>
  <si>
    <t>11018</t>
  </si>
  <si>
    <t>СИ</t>
  </si>
  <si>
    <t>Алешина Н.</t>
  </si>
  <si>
    <t>Уникальные рецепты народных целителей</t>
  </si>
  <si>
    <t>978-5-9524-4150-7</t>
  </si>
  <si>
    <t>17830</t>
  </si>
  <si>
    <t>Уникальный целитель береза. Чага, сок, дёготь, уголь, эфирное масло, бетулин, ­щёлок, настойки, отвары для вашего здоровья</t>
  </si>
  <si>
    <t>978-5-227-07955-8</t>
  </si>
  <si>
    <t>17583</t>
  </si>
  <si>
    <t>Уникальный целитель Черника</t>
  </si>
  <si>
    <t>978-5-227-07521-5</t>
  </si>
  <si>
    <t>17127</t>
  </si>
  <si>
    <t>Уничтожаем зло, возвращаем здоровье. Нетрадиционные способы лечения</t>
  </si>
  <si>
    <t>978-5-227-07097-5</t>
  </si>
  <si>
    <t>11146</t>
  </si>
  <si>
    <t>НМЦЙ</t>
  </si>
  <si>
    <t>978-5-9524-4215-3</t>
  </si>
  <si>
    <t>19649</t>
  </si>
  <si>
    <t>Нуртазин С.</t>
  </si>
  <si>
    <t>Уничтожить Бессмертного</t>
  </si>
  <si>
    <t>978-5-227-09436-0</t>
  </si>
  <si>
    <t>16447</t>
  </si>
  <si>
    <t>Управленец</t>
  </si>
  <si>
    <t>978-5-227-06376-2</t>
  </si>
  <si>
    <t>21709</t>
  </si>
  <si>
    <t>Управляем энергией мысли. Овладеваем возможностями своего Ментала</t>
  </si>
  <si>
    <t>978-5-227-11102-9</t>
  </si>
  <si>
    <t>Книга поможет вам понять, почему зачастую нам не удается достичь желанных целей, почему определенные события происходят именно с нами, от чего это зависит и можем ли мы повлиять на свою собственную судьбу. Вы научитесь прислушиваться к своему внутреннему миру, наконец, избавитесь от жестких ментальных конструкций, которые долгое время сковывали ваше сознание, а самое главное — научитесь мыслить правильно. Наши мысли — зеркало внутреннего мира. Через изменение мыслей можно изменить свою жизнь! Дерзайте, и, быть может, уже завтра ваша жизнь кардинально изменится…</t>
  </si>
  <si>
    <t>10948</t>
  </si>
  <si>
    <t>Кильдишев О.</t>
  </si>
  <si>
    <t>Управляя мужчиной - управляешь жизнью</t>
  </si>
  <si>
    <t>978-5-9524-4128-6</t>
  </si>
  <si>
    <t>16075</t>
  </si>
  <si>
    <t>Упрямый рыцарь</t>
  </si>
  <si>
    <t>978-5-227-06062-4</t>
  </si>
  <si>
    <t>18156</t>
  </si>
  <si>
    <t>Урок беспроигрошного соблазнения</t>
  </si>
  <si>
    <t>978-5-227-08135-3</t>
  </si>
  <si>
    <t>20755</t>
  </si>
  <si>
    <t>Урок для бизнесвумен</t>
  </si>
  <si>
    <t>978-5-227-10454-0</t>
  </si>
  <si>
    <t>Арсений Ратников был страшно недоволен появлением Елены Векшиной в его отделе. Надеясь избавиться от нее, он стал выискивать недостатки в работе молодой сотрудницы. Но, присмотревшись к несносной выскочке внимательнее, Ратников обнаружил, что молодая женщина профессиональна и умна, а кроме того, в ее личности обнаружились загадочные глубины. Иногда Арсений замечал в ее глазах печаль, а то вдруг скромница и отличница показывала зубы и демонстрировала стальную волю. Ратников уговаривал себя, что у него к Векшиной чисто исследовательский интерес, но хитрая Елена умудрилась проникнуть в душу и в мысли Арсения, и не стало ему от нее покоя ни днем  ни ночью…</t>
  </si>
  <si>
    <t>17020</t>
  </si>
  <si>
    <t>Уроки любви для повесы</t>
  </si>
  <si>
    <t>978-5-227-07039-5</t>
  </si>
  <si>
    <t>18127</t>
  </si>
  <si>
    <t>Уроки обольщения</t>
  </si>
  <si>
    <t>978-5-227-08142-1</t>
  </si>
  <si>
    <t>16223</t>
  </si>
  <si>
    <t>Уроки плейбоя</t>
  </si>
  <si>
    <t>978-5-227-06239-0</t>
  </si>
  <si>
    <t>21816</t>
  </si>
  <si>
    <t>Котельникова А.А.</t>
  </si>
  <si>
    <t>Уроки предсказания с Марией Ленорман</t>
  </si>
  <si>
    <t>978-5-227-10712-1</t>
  </si>
  <si>
    <t>Это ценное пособие по изучению и применению системы гадания Марии Ленорман, личной гадалки императрицы Жозефины. Книга научит читать карты и говорить на языке образов. Она послужит хорошим подспорьем не только ученику, впервые взявшему карты в руки, но и мастеру, ищущему Истину.</t>
  </si>
  <si>
    <t>18924</t>
  </si>
  <si>
    <t>Ускользающее притяжение</t>
  </si>
  <si>
    <t>978-5-227-08775-1</t>
  </si>
  <si>
    <t>10746</t>
  </si>
  <si>
    <t>Ускоренный курс омоложения без подтяжек и операций. Здоровье и красота за 8 недель</t>
  </si>
  <si>
    <t>978-5-9524-3758-6</t>
  </si>
  <si>
    <t>20822</t>
  </si>
  <si>
    <t>Кеннеди С.</t>
  </si>
  <si>
    <t>Услышь свое сердце</t>
  </si>
  <si>
    <t>978-5-227-10371-0</t>
  </si>
  <si>
    <t>Получив задание редакции, Аделин Харлоу отправляется в родной городок взять интервью у Колтера Уорда, в которого она была тайно влюблена в школьные годы. Вспыхнувшая между ними страсть быстро перерождается в глубокие чувства. Но ситуация осложняется тем, что Колтер не готов оставить семейное ранчо, а Аделин не намерена покидать Нью­Йорк. Смогут ли они достигнуть компромисса и обрести счастье?</t>
  </si>
  <si>
    <t>16326</t>
  </si>
  <si>
    <t>Уилсон Б., Якобович С.</t>
  </si>
  <si>
    <t>Утерянное Евангелие</t>
  </si>
  <si>
    <t>978-5-227-06213-0</t>
  </si>
  <si>
    <t>15794</t>
  </si>
  <si>
    <t>Лонг Д.</t>
  </si>
  <si>
    <t>Утки тоже делают "это". Путешествие во времени к истокам сексуальности</t>
  </si>
  <si>
    <t>978-5-227-05806-5</t>
  </si>
  <si>
    <t>20220</t>
  </si>
  <si>
    <t>Утонуть в его глазах</t>
  </si>
  <si>
    <t>978-5-227-09750-7</t>
  </si>
  <si>
    <t>11534</t>
  </si>
  <si>
    <t>Зимина Н.</t>
  </si>
  <si>
    <t>Утренники в детском саду Лучшие сценарии праздников для малышей</t>
  </si>
  <si>
    <t>978-5-9524-4643-4</t>
  </si>
  <si>
    <t>17989</t>
  </si>
  <si>
    <t>Учись любить и быть любимой</t>
  </si>
  <si>
    <t>978-5-227-07673-1</t>
  </si>
  <si>
    <t>19933</t>
  </si>
  <si>
    <t>Фавориты императорского двора. От Василия Голицына до Матильды Кшесинской</t>
  </si>
  <si>
    <t>978-5-227-09557-2</t>
  </si>
  <si>
    <t>18353</t>
  </si>
  <si>
    <t>Факел сатаны</t>
  </si>
  <si>
    <t>978-5-9524-5305-0</t>
  </si>
  <si>
    <t>14575</t>
  </si>
  <si>
    <t>Фактор страсти</t>
  </si>
  <si>
    <t>978-5-227-04628-4</t>
  </si>
  <si>
    <t>20749</t>
  </si>
  <si>
    <t>Фантазии на тему… Собрание сочинений. Том 6.</t>
  </si>
  <si>
    <t>978-5-227-10387-1</t>
  </si>
  <si>
    <t>Михаил Задорнов — всеми горячо любимый писатель-сатирик, драматург и эссеист. Замечательный, остроумный, невероятно образованный и очень увлечённый родной историей человек. Его устное творчество знает вся наша огромная страна и жители зарубежья, его книги мгновенно разлетаются с прилавков, а многие выражения ушли в народ и стали крылатыми._x000D_
Впервые читателям предоставляется уникальная возможность приобрести собрание сочинений этого удивительного человека. В шестой том вошли работы, посвящённые значению чисел, букв, сказок и родственных связей. Также здесь опубликованы избранные пародии, афоризмы, наблюдения и забавные изречения, как «отпочковавшиеся» от основного творчества, так и подсмотренные в жизни.</t>
  </si>
  <si>
    <t>19696</t>
  </si>
  <si>
    <t>Фантазии о счастье</t>
  </si>
  <si>
    <t>978-5-227-09295-3</t>
  </si>
  <si>
    <t>14519</t>
  </si>
  <si>
    <t>Фантазии феи</t>
  </si>
  <si>
    <t>978-5-227-04465-5</t>
  </si>
  <si>
    <t>16631</t>
  </si>
  <si>
    <t>Фантастическая женщина</t>
  </si>
  <si>
    <t>978-5-227-06540-7</t>
  </si>
  <si>
    <t>14172</t>
  </si>
  <si>
    <t>Бьюкенен К.</t>
  </si>
  <si>
    <t>Фарландер</t>
  </si>
  <si>
    <t>978-5-227-04302-3</t>
  </si>
  <si>
    <t>4988</t>
  </si>
  <si>
    <t>Фарш Мендельсона</t>
  </si>
  <si>
    <t>5-9524-1155-X</t>
  </si>
  <si>
    <t>15792</t>
  </si>
  <si>
    <t>Носатов В.И.</t>
  </si>
  <si>
    <t>Фарьябский дневник</t>
  </si>
  <si>
    <t>978-5-227-05557-6</t>
  </si>
  <si>
    <t>20969</t>
  </si>
  <si>
    <t>Вейнер Т.</t>
  </si>
  <si>
    <t>ФБР. Правдивая история</t>
  </si>
  <si>
    <t>978-5-227-10561-5</t>
  </si>
  <si>
    <t>Провокационная, чрезвычайно интересная, скрупулезно выверенная книга лауреата Пулитцеровской премии Тима Вейнера посвящена вековой истории ФБР и может по праву считаться исчерпывающей энциклопедией деятельности этой тайной разведывательной службы США. Опираясь на рассекреченные в последние годы досье, автор представляет в истинном свете отца-основателя ФБР Дж. Эдгара Гувера. Рассказывает, как создавалась и совершенствовалась агентурная сеть. Как Гувер выполнял  почти немыслимые задания: осуществлял слежку за руководителями Советского Союза и Китая в самый мрачный период холодной войны, контролировал государственные перевороты против демократически избранных лидеров иностранных государств, искусно дестабилизировал положение президентов Соединенных Штатов. Как вел политическую войну и управлял государственными делами в целях национальной безопасности, зачастую действуя в ущерб морали. Подвергая анализу усилия руководителей ФБР в войне с террористами, шпионами, анархистами и наемными убийцами, Тим Вейнер поднимает важный нравственный вопрос о том, готово ли общество отказаться от гарантий свободы, допустить незаконное проникновение агентов спецслужб в личную жизнь граждан ради обещаний безопасности.</t>
  </si>
  <si>
    <t>21220</t>
  </si>
  <si>
    <t>Федор Достоевский. Единство личной жизни и творчества автора гениальных романов-трагедий</t>
  </si>
  <si>
    <t>978-5-227-10617-9</t>
  </si>
  <si>
    <t>Книга видного литературоведа и критика Константина Васильевича Мочульского посвящена одному из лучших романистов мирового значения Федору Михайловичу Достоевскому. Автор прослеживает жизненный путь одного из самых читаемых писателей в мире с детских лет и до последних его дней, рассказывает о творчестве мыслителя и философа, анализирует его произведения, оказавшие влияние на мировую литературу, уделяя внимание становлению психологической прозы и экзистенциализму. Монография переведена на многие языки мира.</t>
  </si>
  <si>
    <t>18255</t>
  </si>
  <si>
    <t>Феерия чувств</t>
  </si>
  <si>
    <t>978-5-227-08221-3</t>
  </si>
  <si>
    <t>19526</t>
  </si>
  <si>
    <t>Фейерверк желаний</t>
  </si>
  <si>
    <t>978-5-227-09178-9</t>
  </si>
  <si>
    <t>16432</t>
  </si>
  <si>
    <t>Фейерверк нашей страсти</t>
  </si>
  <si>
    <t>978-5-227-06297-0</t>
  </si>
  <si>
    <t>20799</t>
  </si>
  <si>
    <t>Долгов В.В</t>
  </si>
  <si>
    <t>Феномен Александра Невского. Русь XIII века между Западом и Востоком</t>
  </si>
  <si>
    <t>978-5-227-10468-7</t>
  </si>
  <si>
    <t>Александр Невский — один из самых противоречивых деятелей эпохи русского Средневековья. Способность решать сложные «политические уравнения» снискала князю уважение современников и потомков. Однако это же его качество стало причиной обвинений в беспринципности и даже предательстве интересов Руси. За столетия политическая биография князя обросла весьма причудливыми пластами «нарратива». В исторической памяти документальная основа знаний о жизни и деяниях Александра Невского оказалась практически полностью сокрыта текстами и художественными образами позднейшего происхождения. Вскрыть эти напластования, отделить исторические факты от гипотез — цель новой книги доктора исторических наук, профессора В.В. Долгова.</t>
  </si>
  <si>
    <t>21689</t>
  </si>
  <si>
    <t>Феодора. Всевластная императрица Византии</t>
  </si>
  <si>
    <t>978-5-9524-6411-7</t>
  </si>
  <si>
    <t>Оригинальное беллетризованное жизнеописание константинопольской циркачки, ставшей великой императрицей, и пастуха, принявшего императорскую власть из рук бездетного родственника. В книге воссозданы реалии Византии эпохи реформ Юстиниана Великого, на фоне которых разворачивается история любви порфироносной четы.</t>
  </si>
  <si>
    <t>17798</t>
  </si>
  <si>
    <t>Крил Х.</t>
  </si>
  <si>
    <t>Философская мысль Китая. От Конфуция до Мао Цзэдуна</t>
  </si>
  <si>
    <t>978-5-9524-5268-8</t>
  </si>
  <si>
    <t>21853</t>
  </si>
  <si>
    <t>Балакшин П.П.</t>
  </si>
  <si>
    <t>Финал в Китае: Возникновение, развитие и исчезновение белой эмиграции на Дальнем Востоке</t>
  </si>
  <si>
    <t>978-5-227-10875-3</t>
  </si>
  <si>
    <t>Петр Петрович Балакшин принадлежит к числу белых эмигрантов, так и не сумевших забыть родину, сохраняя в душе связь с ее историей и культурой. Во время Первой мировой войны восторженным мальчишкой он поступил в военное училище и после краткого трехмесячного курса отправился на фронт с погонами прапорщика… Тяжелые испытания на Румынском фронте, потом революция, Брестский мир, Гражданская война, эмиграция в Маньчжурию… Через несколько лет ему удалось перебраться в США, получить образование, стать журналистом и литератором, но интерес к судьбам русской дальневосточной эмиграции не оставлял его никогда. Он кропотливо, по крупицам собирал сведения о русских, оказавшихся в азиатском изгнании, и посвятил этой теме документальное исследование «Финал в Китае», охватывающее период с 1920-х по 1950-е годы. Этот труд, опубликованный в Сан-Франциско в 1958 году, Балакшин считал делом своей жизни.</t>
  </si>
  <si>
    <t>18972</t>
  </si>
  <si>
    <t>Финал курортной сказки</t>
  </si>
  <si>
    <t>978-5-227-08838-3</t>
  </si>
  <si>
    <t>20424</t>
  </si>
  <si>
    <t>Харден Д.</t>
  </si>
  <si>
    <t>Финикийцы. Основатели Карфагена</t>
  </si>
  <si>
    <t>978-5-9524-5568-9</t>
  </si>
  <si>
    <t>Книга посвящена истории финикийцев — маленького воинственного народа, который заставил считаться с собой все могущественные государства древнего Средиземноморья. Подробно повествуется о нравах и обычаях, религиозных и светских обрядах финикийцев, о великолепных мастерах ювелирного и оружейного дела, резьбы по слоновой кости, камню, металлу, а также изложена история создания древнейшего алфавита — высшего достижения финикийской культуры, которое оказало мощное влияние на все последующие цивилизации Старого Света.</t>
  </si>
  <si>
    <t>21208</t>
  </si>
  <si>
    <t>Пельтье М.</t>
  </si>
  <si>
    <t>Финляндия в противостоянии Советскому Союзу. Воспоминания военно­морского атташе Франции в Хельсинки и Москве</t>
  </si>
  <si>
    <t>978-5-9524-6155-0</t>
  </si>
  <si>
    <t>Направленный в качестве военно-морского атташе в Хельсинки в январе 1940 года, адмирал Пельтье стал свидетелем советско-финской, так называемой Зимней, войны 1939—1940 гг., а затем советско-финских столкновений в ходе Второй мировой войны в 1941—1944 гг. Пельтье анализирует сложную политическую обстановку на международной арене, события, предшествующие началу военных действий, причины и результаты обеих войн. Адмирал рассказывает о бесконечных переговорах с союзниками, осложнении германо-финских отношений, надежде Финляндии на возвращение территорий, утраченных в результате Зимней войны, оценивает вооружение советских и финских соединений, описывает ход боевых действий, причины первых неудач Красной армии, а затем ее победных наступлений. В заключение автор рассматривает итоги и последствия мирного договора СССР и Финляндии 1944 г._x000D_
В книге представлены карты и сравнительные таблицы вооружения противоборствующих сторон.</t>
  </si>
  <si>
    <t>16916</t>
  </si>
  <si>
    <t>Фирман султана</t>
  </si>
  <si>
    <t>978-5-227-06573-5</t>
  </si>
  <si>
    <t>18980</t>
  </si>
  <si>
    <t>Фитотерапия при заболеваниях печени. Травы жизни</t>
  </si>
  <si>
    <t>978-5-227-08637-2</t>
  </si>
  <si>
    <t>19283</t>
  </si>
  <si>
    <t>Фитотерапия при заболеваниях сердца. Травы жизни</t>
  </si>
  <si>
    <t>978-5-227-09185-7</t>
  </si>
  <si>
    <t>18992</t>
  </si>
  <si>
    <t>Флаг, барабан и паровоз</t>
  </si>
  <si>
    <t>978-5-227-08678-5</t>
  </si>
  <si>
    <t>13733</t>
  </si>
  <si>
    <t>Скрицкий Н.В.</t>
  </si>
  <si>
    <t>Флагманы Победы</t>
  </si>
  <si>
    <t>978-5-227-03745-9</t>
  </si>
  <si>
    <t>6486</t>
  </si>
  <si>
    <t>Донелли</t>
  </si>
  <si>
    <t>Флирт и ревность</t>
  </si>
  <si>
    <t>5-9524-2166-0</t>
  </si>
  <si>
    <t>9032</t>
  </si>
  <si>
    <t>Флирт со смертью</t>
  </si>
  <si>
    <t>978-5-9524-3184-3</t>
  </si>
  <si>
    <t>20807</t>
  </si>
  <si>
    <t>Флот в Белой борьбе</t>
  </si>
  <si>
    <t>978-5-227-10015-3</t>
  </si>
  <si>
    <t>Книга «Флот в Белой борьбе» представляет собой девятый том серии, посвященной истории Белого движения в России, и описывает участие в Гражданской войне русских военных моряков. В книге приведены воспоминания участников Белой борьбы на морях, крупных озерах и реках России. Рассмотрены судьбы русских эскадр, которые вынуждены были интернироваться и разоружиться за рубежом, а также эмигрантские организации моряков._x000D_
За небольшим исключением помещенные в томе материалы в России никогда не издавались, а опубликованные за рубежом представляют собой библиографическую редкость._x000D_
Том снабжен предисловием и обширными комментариями, содержащими несколько сот публикуемых впервые биографических справок об авторах и героях очерков.</t>
  </si>
  <si>
    <t>21726</t>
  </si>
  <si>
    <t>Скарн Д</t>
  </si>
  <si>
    <t>Фокусы. Трюки с картами и подручными предметами</t>
  </si>
  <si>
    <t>978-5-9524-6082-9</t>
  </si>
  <si>
    <t>Джон Скарн собрал воедино более трехсот удивительных фокусов с картами и подручными предметами, которые может продемонстрировать каждый из вас, даже не имея специальных навыков, подготовки или оборудования. Автор раскрывает секреты, маленькие хитрости и уловки, лежащие в основе множества фокусов. В своем описании Скарн предельно упростил и обработал сложные фокусы так, чтобы они были эффектны и просты в исполнении — на детском празднике, в компании друзей и даже на сцене.</t>
  </si>
  <si>
    <t>11237</t>
  </si>
  <si>
    <t>Фонтан с шоколадом</t>
  </si>
  <si>
    <t>978-5-9524-4346-4</t>
  </si>
  <si>
    <t>18747</t>
  </si>
  <si>
    <t>Фонтанный дом его сиятельства графа Шереметева. Жизнь и быт обитателей и служителей</t>
  </si>
  <si>
    <t>978-5-227-08283-1</t>
  </si>
  <si>
    <t>16016</t>
  </si>
  <si>
    <t>Формула Жизни (голубая)</t>
  </si>
  <si>
    <t>978-5-227-06016-7</t>
  </si>
  <si>
    <t>20078</t>
  </si>
  <si>
    <t>978-5-227-09793-4</t>
  </si>
  <si>
    <t>16795</t>
  </si>
  <si>
    <t>Харт Д.</t>
  </si>
  <si>
    <t>Формула идеального мужчины</t>
  </si>
  <si>
    <t>978-5-227-06751-7</t>
  </si>
  <si>
    <t>18441</t>
  </si>
  <si>
    <t>Формула личного счастья</t>
  </si>
  <si>
    <t>978-5-227-08404-0</t>
  </si>
  <si>
    <t>94</t>
  </si>
  <si>
    <t>Комарова А.</t>
  </si>
  <si>
    <t>Формула нелюбви</t>
  </si>
  <si>
    <t>978-5-9524-3211-6</t>
  </si>
  <si>
    <t>18772</t>
  </si>
  <si>
    <t>ТП ТРАНСФОРМАЦИЯ</t>
  </si>
  <si>
    <t>Дубянский С.</t>
  </si>
  <si>
    <t>Формула успеха</t>
  </si>
  <si>
    <t>978-5-227-08622-8</t>
  </si>
  <si>
    <t>71</t>
  </si>
  <si>
    <t>Фотография с обложки</t>
  </si>
  <si>
    <t>978-5-9524-3185-0</t>
  </si>
  <si>
    <t>21064</t>
  </si>
  <si>
    <t>Бернс Д.М.</t>
  </si>
  <si>
    <t>Франклин Рузвельт. Человек и политик</t>
  </si>
  <si>
    <t>978-5-9524-5825-3</t>
  </si>
  <si>
    <t>Автор книги о Франклине Рузвельте, впервые в истории США избранного президентом на третий (в 1940 г.), а затем и на четвертый (в 1944 г.) срок, — историк, профессор Джеймс Макгрегор Бернс, в 40­е годы работал помощником конгрессмена в Белом доме и изнутри познакомился с политической кухней Америки, в частности с деятельностью администрации президента. В своей книге Бернс дает подробную характеристику президенту и как человеку, и как политику. Огромный пласт малоизвестного у нас исторического материала с неожиданной точки зрения показывает большую игру как захватывающую интригу борьбы интеллектов и характеров.</t>
  </si>
  <si>
    <t>21892</t>
  </si>
  <si>
    <t>Ховард М.</t>
  </si>
  <si>
    <t>Франко-прусская война. Отто Бисмарк против Наполеона III. 1870—1871</t>
  </si>
  <si>
    <t>978-5-9524-6564-0</t>
  </si>
  <si>
    <t>Британский военный историк, профессор Оксфордского университета посвятил свой труд военному конфликту между империей Наполеона III и германскими государствами во главе с Пруссией. Война, спровоцированная прусским канцлером О. Бисмарком и формально начатая Наполеоном III, закончилась поражением и крахом Франции, в результате чего Пруссия сумела преобразовать Северогерманский союз в единую Германскую империю. Работая над книгой, автор исследовал и привлек колоссальный объем научного и документального материала и предложил свой взгляд на причины и последствия этой войны. Ховард проанализировал состояние войск противников, включая структуру, вооружение и технику, дал яркое описание сражений и представил галерею портретов ключевых фигур событий, среди них Вильгельм I, Бисмарк, Леопольд Гогенцоллерн, Бенедетти и другие. В заключение ученый отмечает, что великая победа Германии впоследствии обернулась бедствием, как для нее самой, так и для остального мира.</t>
  </si>
  <si>
    <t>21804</t>
  </si>
  <si>
    <t>Престон П.</t>
  </si>
  <si>
    <t>Франко. Самая подробная биография испанского диктатора, который четыре десятилетия единовластно правил страной</t>
  </si>
  <si>
    <t>978-5-9524-6522-0</t>
  </si>
  <si>
    <t>Увенчавшая многолетний труд ученого книга по-своему уникальна: автор не замыкается на жизнеописании конкретного человека, а дает цельную картину развития Испании, Европы и мира на протяжении многих десятилетий, приводит на страницах своего исследования богатейшую палитру мнений современников одной из самых загадочных личностей XX века._x000D_
Пройдя вместе с автором весь жизненный путь героя, читатель, думается, сам сможет ответить на вопрос, какими чертами должен обладать и чего не должен иметь в характере человек, который в цивилизованной стране может, поднявшись на самый верх иерархии власти, подавить все общество, единолично вершить судьбу целого народа, казнить и миловать по своей прихоти, другими словами, стать тоталитарным правителем.</t>
  </si>
  <si>
    <t>21332</t>
  </si>
  <si>
    <t>Брод М.</t>
  </si>
  <si>
    <t>Франц Кафка. Узник абсолюта</t>
  </si>
  <si>
    <t>978-5-9524-6248-9</t>
  </si>
  <si>
    <t>М. Брод, биограф и друг Франца Кафки, ярко и всеобъемлюще воссоздал трудный жизненный путь автора всемирно известных «Замка», «Процесса», «Америки». Комплексы нервного ребенка, завидовавшего своему отцу, му¬чительные раздумья о судьбе соотечественников на перекрестке еврейской, немецкой и славянской культур некогда могучей имперской Австрии, подробности частной жизни литературного гения, портреты кумиров и противников, связь размышлений литературного гения с теориями Фрейда — эти и многие другие по¬дробности жизни и творчества Франца Кафки нашли отражение в многогранном труде Макса Брода.</t>
  </si>
  <si>
    <t>20563</t>
  </si>
  <si>
    <t>Холлингдейл Р. Д.</t>
  </si>
  <si>
    <t>Фридрих Ницше. Трагедия неприкаянной души</t>
  </si>
  <si>
    <t>978-5-9524-5845-1</t>
  </si>
  <si>
    <t>Известный переводчик и почитатель творчества Ницше Р.Дж. Холлингдейл создал ясную и умную книгу об этом философе. Автор проводит четкую границу между реальными фактами и легендами, между философией и ее профанацией._x000D_
Ницше — знаковая фигура конца XIX — начала XX века, переломной вехи в истории человечества. Актуальны его идеи и в наше непростое и тоже переломное время.</t>
  </si>
  <si>
    <t>15977</t>
  </si>
  <si>
    <t>Стопалов С.Г</t>
  </si>
  <si>
    <t>Фронтовые будни артиллериста. С гаубицей от Сожа до Эльбы. 1941-1945</t>
  </si>
  <si>
    <t>978-5-227-05936-9</t>
  </si>
  <si>
    <t>20391</t>
  </si>
  <si>
    <t>ФСБ-2, или Фарши, супы, барбекю. Самые вкусные блюда для родных и близких</t>
  </si>
  <si>
    <t>978-5-227-09910-5</t>
  </si>
  <si>
    <t>И вновь наши старые друзья Илья Лазерсон и Михаил Спичка дарят нам красивую, вкусную книгу. Так как трилогия — КГБ, ФСБ, МВД полюбилась читателям, авторы запустили эти известные аббревиатуры по второму кругу. Книга, которую вы держите в руках, посвящена блюдам с использованием фаршей, супам и барбекю._x000D_
Блюда с фаршем очень разнообразны: вареники, пельмени, колдуны, пироги, котлеты, рулеты… Из рыбы, курицы, морепродуктов и разных видов мяса._x000D_
Раздел супов тоже богат — заправочные супы, прозрачные, супы-пюре… Рыбные, с морепродуктами, мясные, из птицы и супы без животных продуктов._x000D_
Раздел барбекю — рецепты блюд, приготовленных над тлеющими углями. Так как такой способ приготовления предполагает предварительное маринование продуктов, особенное внимание авторы обратили на маринады и соусы для подачи._x000D_
Вас ждут: скобелевские биточки, якутские колдуны, чебуреки, гамбургеры; кулеш, калья, уха, дэшхолэпс; ананасы на решетке, медальоны из вырезки, кесадилья с сыром, люля-кебаб… Пальчики оближешь!</t>
  </si>
  <si>
    <t>21097</t>
  </si>
  <si>
    <t>ФСБ, или Фирменные секреты бабушек.Рецепты, любимые с детства</t>
  </si>
  <si>
    <t>978-5-227-10642-1</t>
  </si>
  <si>
    <t>Это вторая книга цикла, посвящённого нашим бабушкам. Первая называется «КГБ», и за этой суровой аббревиатурой скрывается доброе, жизнеутверждающее название — «Как готовили бабушки»._x000D_
На протяжении многих лет Илья Лазерсон и Михаил Спичка ведут на радио передачу, посвящённую кулинарии. В студию очень часто звонят слушатели, которые помнят то или иное блюдо, приготовленное их бабушками. Вернее, они помнят его название и вкус, знакомый с детства, а вот способ приготовления, увы, оказывается утерянным. Дать какие-либо советы в этом случае тяжело, потому что семейные рецепты индивидуальны и полны нюансов. _x000D_
Наши бабушки жили в советское время, а значит — в условиях отсутствия Интернета. В те годы люди, обмениваясь друг с другом идеями, секретами приготовления фирменных блюд, рецептами праздничными и повседневными, записывали их в особые тетрадки… Авторы бережно сохранили тетрадки своих бабушек и теперь предлагают читателям самые любимые рецепты из детства.</t>
  </si>
  <si>
    <t>17370</t>
  </si>
  <si>
    <t>Раззаков Ф.И</t>
  </si>
  <si>
    <t>Футбол, который мы потеряли. Непродажные звезды эпохи СССР</t>
  </si>
  <si>
    <t>978-5-227-06639-8</t>
  </si>
  <si>
    <t>8835</t>
  </si>
  <si>
    <t>ПС Фактор</t>
  </si>
  <si>
    <t>Юрченко В.</t>
  </si>
  <si>
    <t>Фэн-шуй для стройной фигуры</t>
  </si>
  <si>
    <t>978-5-9524-3049-5</t>
  </si>
  <si>
    <t>20977</t>
  </si>
  <si>
    <t>Ямамото Цунэтомо</t>
  </si>
  <si>
    <t>Хагакурэ. Сокрытое в листве. Кодекс чести Самурая</t>
  </si>
  <si>
    <t>978-5-227-10584-4</t>
  </si>
  <si>
    <t>«Хагакурэ» — наиболее авторитетный трактат, посвященный бусидо — кодексу чести самурая. Так называли в древней Японии свод правил и установлений, регламентирующих поведение и повседневную жизнь самураев — воинского сословия, определяющего историю своей страны на протяжении столетий. Чистота и ясность языка, глубина мысли и предельная искренность переживаний характеризуют произведение Ямамото Цунэтомо — великого самурая, пытавшегося по-своему ответить на вопрос: «Как мы живем? Как мы умираем?»</t>
  </si>
  <si>
    <t>16030</t>
  </si>
  <si>
    <t>Хватит и взгляда</t>
  </si>
  <si>
    <t>978-5-227-05949-9</t>
  </si>
  <si>
    <t>16020</t>
  </si>
  <si>
    <t>Тараборелли Дж. Рэнди</t>
  </si>
  <si>
    <t>Хилтоны. Прошлое и настоящиее знаменитой американской династии</t>
  </si>
  <si>
    <t>978-5-227-05955-0</t>
  </si>
  <si>
    <t>18898</t>
  </si>
  <si>
    <t>Химчистка на вашей кухне. Все для идеальной чистоты дома. Моем, чистим, полируем своими руками</t>
  </si>
  <si>
    <t>978-5-227-08845-1</t>
  </si>
  <si>
    <t>21902</t>
  </si>
  <si>
    <t>Хиромантия — искусство чтения судьбы. Толкование знаков на ладони от древности до наших дней</t>
  </si>
  <si>
    <t>978-5-227-11203-3</t>
  </si>
  <si>
    <t>Книга знаменитого британского хироманта Луиса Хамона, известного в европейских столицах под псевдонимом Кайро, содержит сведения о хиромантии, а также обширную базу любопытных фактов и жизненных историй людей, в разное время бывших клиентами маэстро. Значительная часть текста — практическое руководство со специальными методиками, которые позволят вам в короткое время овладеть искусством чтения знаков, начертанных судьбой на ваших ладонях.</t>
  </si>
  <si>
    <t>15543</t>
  </si>
  <si>
    <t>Моттола Т</t>
  </si>
  <si>
    <t>Хитмейкер. Последний музыкальный магнат</t>
  </si>
  <si>
    <t>978-5-227-05449-4</t>
  </si>
  <si>
    <t>21835</t>
  </si>
  <si>
    <t>Хитросплетения судьбы, или В каком измерении ты живешь? Методы преобразования сознания.</t>
  </si>
  <si>
    <t>978-5-227-11165-4</t>
  </si>
  <si>
    <t>Ты держишь в руках книгу, которая поможет тебе изменить свою жизнь. Она поможет правильно оценить все обстоятельства и события, которые привели к результату сегодняшнего дня. Поможет разобраться в хитросплетениях судьбы. Поможет понять причину болезни и устранить ее. Поможет понять, как реализуются мысли в этом мире и что нужно делать, чтобы желания исполнялись.</t>
  </si>
  <si>
    <t>18526</t>
  </si>
  <si>
    <t>Хищники</t>
  </si>
  <si>
    <t>978-5-9524-5304-3</t>
  </si>
  <si>
    <t>14176</t>
  </si>
  <si>
    <t>ТОДД</t>
  </si>
  <si>
    <t>Тодд Ч.</t>
  </si>
  <si>
    <t>Хладнокровное предательство</t>
  </si>
  <si>
    <t>978-5-227-04234-7</t>
  </si>
  <si>
    <t>5993</t>
  </si>
  <si>
    <t>Лазерсон Андреев</t>
  </si>
  <si>
    <t>Хлеб всему голова</t>
  </si>
  <si>
    <t>5-9524-1854-6</t>
  </si>
  <si>
    <t>20675</t>
  </si>
  <si>
    <t>Хлебный вопрос. Юмористические рассказы</t>
  </si>
  <si>
    <t>978-5-227-10240-9</t>
  </si>
  <si>
    <t>В этом сборнике юмористических рассказов Николай Александрович Лейкин касается как тем актуальных во все времена, так и характерных для конца XIX — начала XX века. Это финансовые трудности, постигшие героев по тем или иным причинам, и их старания справиться с тяжелыми жизненными обстоятельствами или просто обогатиться. Это проблемы с коммунальными услугами, работой прислуги и прочих наемных тружеников, интересно раскрывающие приметы времени. Цель персонажей большей части рассказов, в том числе и заглавного «Хлебного вопроса», — удачно жениться или выйти замуж, и к каким только ухищрениям люди не прибегают, чтобы достичь желаемого. Погрузиться в быт прошедшей эпохи и подивиться человеческой изобретательности и приглашает писатель-острослов.</t>
  </si>
  <si>
    <t>19028</t>
  </si>
  <si>
    <t>Болховский Д.Л.</t>
  </si>
  <si>
    <t>Ход в Шаолинь</t>
  </si>
  <si>
    <t>978-5-227-08955-7</t>
  </si>
  <si>
    <t>10305</t>
  </si>
  <si>
    <t>Ход Корбюзье</t>
  </si>
  <si>
    <t>978-5-9524-3235-2</t>
  </si>
  <si>
    <t>5960</t>
  </si>
  <si>
    <t>Ходит конь по бережку</t>
  </si>
  <si>
    <t>5-9524-1715-9</t>
  </si>
  <si>
    <t>20738</t>
  </si>
  <si>
    <t>Хозяин места. Духи места и Хозяева земли. Взаимодействие с миром природы. Тотемы. Домовые</t>
  </si>
  <si>
    <t>978-5-227-10418-2</t>
  </si>
  <si>
    <t>Магия… Невидимая и таинственная…Сегодня мы вновь приподнимем её завесу, чтобы стать мудрее и многое понять. Перед вами вторая книга серии «Магия в вопросах и ответах», и каждая из них поможет читателю узнать что­то сокровенное._x000D_
Книги необычные, авторов у них много: это основатель Школы Ксения Евгеньевна Меньшикова, преподаватели Школы и её ученики. В тексте использована живая переписка с форума «Магия едина»: реальные люди, невыдуманные проблемы, животрепещущие вопросы… Предыдущая книга была посвящена теме рода и силы рода. Настоящая — разбирает тему духов места и Хозяев земли, учит взаимодействию с миром природы и поискам своей тотемной силы. Вас ждут ответы на следующие вопросы: Как правильно наладить связь с Хозяином места, будь то огромная столица или тихая лесная поляна? Почему иногда не принимает земля? Как воспринимать нищих в городе? Как правильно приносить дары, чтобы они были приняты? Вечные кочевники цыгане: в чём их сила? Знаки, которые подают птицы и животные — как их читать? Тотем: в чём его сила и как найти свой? Как подружиться с домовым?..</t>
  </si>
  <si>
    <t>15684</t>
  </si>
  <si>
    <t>Хозяин Стоунгрейв-Холл</t>
  </si>
  <si>
    <t>978-5-227-05498-2</t>
  </si>
  <si>
    <t>3990</t>
  </si>
  <si>
    <t>Майклз Б.</t>
  </si>
  <si>
    <t>Хозяин черной башни</t>
  </si>
  <si>
    <t>5-9524-0421-9</t>
  </si>
  <si>
    <t>21514</t>
  </si>
  <si>
    <t>САГИ</t>
  </si>
  <si>
    <t>Иноуэ Я.</t>
  </si>
  <si>
    <t>Хозяйка замка Ёдо</t>
  </si>
  <si>
    <t>978-5-9524-6302-8</t>
  </si>
  <si>
    <t>Роман знаменитого японского писателя Ясуси Иноуэ (1907—1991) посвящен реальным событиям одного из самых ярких и драматических периодов японской истории. Подходит к концу XVI век. Полководец Нобунага Ода ведет борьбу за объединение разрозненных княжеств в централизованное государство, ему на смену приходит Хидэёси Тоётоми и достигает вершин власти, а после его смерти наступает черед Иэясу Токугавы — основателя новой династии сёгунов. В разгар междоусобных войн, на фоне пылающих замков, под шум кровопролитных сражений взрослеет, постигает понятия чести и долга княжна Тятя, дочь Нагамасы Асаи и племянница Нобунаги Оды. Ей предстоит стать наложницей злейшего врага клана Асаи — тайко Хидэёси, родить ему наследника, воспитать отважного воина и проводить его в последний путь на развалинах пылающего Осакского замка.</t>
  </si>
  <si>
    <t>19844</t>
  </si>
  <si>
    <t>Кермель Э.д</t>
  </si>
  <si>
    <t>Хозяйка книжной лавки на площади Трав</t>
  </si>
  <si>
    <t>978-5-227-09661-6</t>
  </si>
  <si>
    <t>19050</t>
  </si>
  <si>
    <t>Хозяйка острова любви</t>
  </si>
  <si>
    <t>978-5-227-08914-4</t>
  </si>
  <si>
    <t>17462</t>
  </si>
  <si>
    <t>Хокуман-отель</t>
  </si>
  <si>
    <t>978-5-227-05782-2</t>
  </si>
  <si>
    <t>15052</t>
  </si>
  <si>
    <t>Боссарт А.</t>
  </si>
  <si>
    <t>Холера</t>
  </si>
  <si>
    <t>978-5-227-05085-4</t>
  </si>
  <si>
    <t>18068</t>
  </si>
  <si>
    <t>Камминг Ч</t>
  </si>
  <si>
    <t>Холоднее войны</t>
  </si>
  <si>
    <t>978-5-227-08082-0</t>
  </si>
  <si>
    <t>16736</t>
  </si>
  <si>
    <t>978-5-227-06723-4</t>
  </si>
  <si>
    <t>20915</t>
  </si>
  <si>
    <t>Холодное оружие Европы. Приемы великих мастеров фехтования</t>
  </si>
  <si>
    <t>978-5-9524-6054-6</t>
  </si>
  <si>
    <t>Книга знаменитого английского фехтовальщика, капитана Альфреда Хаттона, станет ценным подарком любому, кто увлекается историей холодного оружия, а также любителям боя на мечах, рапирах или саблях. Этот классический труд обобщает трехсотлетний опыт искусства фехтования периода XVII—XIX веков. Хаттон создал уникальную систему, включающую как «дуэльное» фехтование, так и военное, а также приемы самообороны без оружия.</t>
  </si>
  <si>
    <t>17381</t>
  </si>
  <si>
    <t>Холодное сердце</t>
  </si>
  <si>
    <t>978-5-227-06067-9</t>
  </si>
  <si>
    <t>16872</t>
  </si>
  <si>
    <t>Холодное сердце, горячий поцелуй</t>
  </si>
  <si>
    <t>978-5-227-06841-5</t>
  </si>
  <si>
    <t>18896</t>
  </si>
  <si>
    <t>Холодные сердца</t>
  </si>
  <si>
    <t>978-5-227-08801-7</t>
  </si>
  <si>
    <t>16236</t>
  </si>
  <si>
    <t>Холодные супы. Свежо, вкусно, недорого</t>
  </si>
  <si>
    <t>978-5-227-05867-6</t>
  </si>
  <si>
    <t>14299</t>
  </si>
  <si>
    <t>Хорошая девочка</t>
  </si>
  <si>
    <t>978-5-227-04309-2</t>
  </si>
  <si>
    <t>21721</t>
  </si>
  <si>
    <t>Хакетт К.</t>
  </si>
  <si>
    <t>Хорошее зрение за 12 недель. Быстро и навсегда</t>
  </si>
  <si>
    <t>978-5-9524-6196-3</t>
  </si>
  <si>
    <t>Книга знакомит с двенадцатинедельной программой Клары Хакетт – простых и очень эффективных тренировок и упражнений, основанных на прославленном методе Уильяма Бейтса, которые рекомендуются для исправления близорукости, дальнозоркости, косоглазия, плохого различения цветов и оттенков. Благодаря регулярным занятиям по этой программе вы легко скорректируете любые дефекты, сможете не только остановить начало многих заболеваний, но и обойтись без очков, контактных линз и оперативного вмешательства.</t>
  </si>
  <si>
    <t>19436</t>
  </si>
  <si>
    <t>Гулевич А.М</t>
  </si>
  <si>
    <t>Хортарианский ястреб</t>
  </si>
  <si>
    <t>978-5-227-09266-3</t>
  </si>
  <si>
    <t>0179</t>
  </si>
  <si>
    <t>Хотите остаться в живых</t>
  </si>
  <si>
    <t>978-5-227-07019-7</t>
  </si>
  <si>
    <t>20151</t>
  </si>
  <si>
    <t>Хочу быть твоей</t>
  </si>
  <si>
    <t>978-5-227-09603-6</t>
  </si>
  <si>
    <t>2783</t>
  </si>
  <si>
    <t>Храм саламандры</t>
  </si>
  <si>
    <t>5-227-01284-9</t>
  </si>
  <si>
    <t>16089</t>
  </si>
  <si>
    <t>Никитин Д.Е. (Архимандрит Августин)</t>
  </si>
  <si>
    <t>Храмы Невского проспекта. Из истории инославных и правослвной общин Петербурга</t>
  </si>
  <si>
    <t>978-5-227-06018-1</t>
  </si>
  <si>
    <t>17356</t>
  </si>
  <si>
    <t>ТП ПИ</t>
  </si>
  <si>
    <t>Синельников В.В., Ивашко А.Н.</t>
  </si>
  <si>
    <t>Хранители древних знаний. Тайна переписи Даррунга</t>
  </si>
  <si>
    <t>978-5-227-07388-4</t>
  </si>
  <si>
    <t>17901</t>
  </si>
  <si>
    <t>Хранительница пламенного сердца</t>
  </si>
  <si>
    <t>978-5-227-07988-6</t>
  </si>
  <si>
    <t>20348</t>
  </si>
  <si>
    <t>Кацман И.</t>
  </si>
  <si>
    <t>Хрен с Горы</t>
  </si>
  <si>
    <t>978-5-227-10064-1</t>
  </si>
  <si>
    <t>15410</t>
  </si>
  <si>
    <t>Хроника одного полка 1915 год</t>
  </si>
  <si>
    <t>978-5-227-05113-4</t>
  </si>
  <si>
    <t>18007</t>
  </si>
  <si>
    <t>Хроники ближнего бомбардировщика</t>
  </si>
  <si>
    <t>978-5-227-07776-9</t>
  </si>
  <si>
    <t>18823</t>
  </si>
  <si>
    <t>Вереснев И.</t>
  </si>
  <si>
    <t>Хроники Максима Волгина</t>
  </si>
  <si>
    <t>978-5-227-08786-7</t>
  </si>
  <si>
    <t>5390</t>
  </si>
  <si>
    <t>Архипов</t>
  </si>
  <si>
    <t>Хроническая венозная недостаточность</t>
  </si>
  <si>
    <t>5-9524-1447-8</t>
  </si>
  <si>
    <t>17365</t>
  </si>
  <si>
    <t>Джойс К</t>
  </si>
  <si>
    <t>Худеем без соли. Сбалансированная бессолевая диета</t>
  </si>
  <si>
    <t>978-5-227-07433-1</t>
  </si>
  <si>
    <t>11161</t>
  </si>
  <si>
    <t>Худеем легко и быстро. Минус 5 размеров за 5 месяцев</t>
  </si>
  <si>
    <t>978-5-9524-4264-1</t>
  </si>
  <si>
    <t>17663</t>
  </si>
  <si>
    <t>Бовин А.Е.</t>
  </si>
  <si>
    <t>ХХ Век как жизнь. Воспоминания.</t>
  </si>
  <si>
    <t>978-5-227-07506-2</t>
  </si>
  <si>
    <t>21728</t>
  </si>
  <si>
    <t>Царица Клеопатра. Вершительница судеб античного мира</t>
  </si>
  <si>
    <t>978-5-9524-6448-3</t>
  </si>
  <si>
    <t>Жизнь Клеопатры — один из самых захватывающих сюжетов мировой истории. Майкл Грант излагает свою оригинальную версию жизнеописания Клеопатры, затрагивая как ее общественную деятельность, так и отношения с Цезарем и Марком Антонием. В книге воссозданы реалии политики, экономики, быта и тайных религиозных культов Египта, Греции и Рима.</t>
  </si>
  <si>
    <t>21609</t>
  </si>
  <si>
    <t>Царская работа. XIX-начало XXвв. Повседневная жизнь Российского императорского двора</t>
  </si>
  <si>
    <t>978-5-227-11019-0</t>
  </si>
  <si>
    <t>Автор представляет четвертую книгу из серии «Повседневная жизнь Российского императорского двора». В ней рассказывается о внешней стороне жизни царственных семей, о том, что предназначалось для посторонних взоров, — об интерьерах и рабочих кабинетах монархов, о придворных церемониалах, о личной охране императоров, а также о такой крайне любопытной теме, как императорская кухня.</t>
  </si>
  <si>
    <t>21754</t>
  </si>
  <si>
    <t>Царские деньги. Доходы и расходы Дома Романовых. Повседневная жизнь Российского императорского двора</t>
  </si>
  <si>
    <t>978-5-227-11116-6</t>
  </si>
  <si>
    <t>Доктор исторических наук, профессор Игорь Викторович Зимин представляет третью книгу из серии «Повседневная жизнь Российского императорского двора». В ней с документальной точностью реконструирована «денежная» сторона жизни императорской семьи. Речь идет об уровне материального благосостояния представителей Дома Романовых, о размерах их личных состояний, повседневных расходах. Вы узнаете, что произошло с собственностью императорской семьи после октябрьского переворота и о следах исчезнувшего «царского золота»… Книга не имеет аналогов на современном рынке и заслуживает внимания самого широкого круга читателей.</t>
  </si>
  <si>
    <t>19012</t>
  </si>
  <si>
    <t>Царские сокровища, или Любовь безумная</t>
  </si>
  <si>
    <t>978-5-227-07911-4</t>
  </si>
  <si>
    <t>18217</t>
  </si>
  <si>
    <t>Семенова Г.</t>
  </si>
  <si>
    <t>Царское Село:Знакомое и незнакомое</t>
  </si>
  <si>
    <t>978-5-227-08189-6</t>
  </si>
  <si>
    <t>20794</t>
  </si>
  <si>
    <t>Царство мертвых. Обряды и культы древних египтян</t>
  </si>
  <si>
    <t>978-5-227-10034-4</t>
  </si>
  <si>
    <t>Уоллис Бадж представляет величественную эпопею духовной эволюции древних египтян, в основе которой лежит неистребимая вера в вечную жизнь. Основываясь на религиозных текстах разных эпох, проводя сравнительный анализ гимнов и плачей, разбирая погребальные церемонии, поминальные обряды и таинства, автор раскрывает значение древних мифов о самопорожденном и самосущем Боге и его видимом воплощении — светозарном Ра. Рассказывает о культе Осириса, так много страдавшего после загробного суда и обещавшего бессмертие в преображенном теле каждому умершему праведнику.</t>
  </si>
  <si>
    <t>20758</t>
  </si>
  <si>
    <t>Бивен Э. Р.</t>
  </si>
  <si>
    <t>Царство селевкидов. Величайшее наследие Александра Македонского</t>
  </si>
  <si>
    <t>978-5-227-10204-1</t>
  </si>
  <si>
    <t>Книга Эдвина Роберта Бивена посвящена истории самого обширного и могущественного государства эллинистического мира, основанного Селевком I Никатором на Ближнем Востоке после распада империи Александра Македонского. Историк рассматривает политическое и административное устройство государства Селевкидов, описывает жизненный путь и свершения его правителей, а также рассказывает о борьбе за власть преемников Александра Великого и их потомков, которая ослабила Сирийское царство и сделала его легкой добычей для Римской республики.</t>
  </si>
  <si>
    <t>21388</t>
  </si>
  <si>
    <t>Ольденбург С.С.</t>
  </si>
  <si>
    <t>Царствование императора Николая II</t>
  </si>
  <si>
    <t>978-5-227-10777-0</t>
  </si>
  <si>
    <t>Сергей Сергеевич Ольденбург был эрудитом и знатоком истории, и именно поэтому Высший монархический совет поручил ему написать историю царствования императора Николая II. _x000D_
Автор имел доступ к уникальным документам. Копии оригиналов подлинных исторических актов Российской империи в целях предосторожности стали отправлять на хранение в русское посольство в Париже еще задолго до Первой мировой войны. _x000D_
Глубокое исследование истории России конца XIX — начала XX в. создает многогранный законченный образ мощной державы со всеми ее экономическими, политическими, социальными потрясениями.</t>
  </si>
  <si>
    <t>21899</t>
  </si>
  <si>
    <t>Тибергер Ф.</t>
  </si>
  <si>
    <t>Царь Соломон Мудрейший из мудрых</t>
  </si>
  <si>
    <t>978-5-9524-6569-5</t>
  </si>
  <si>
    <t>Царь Соломон, мудрейший из мудрых, — символ мудрости всего рода человеческого. Эпоха его царствования была проникнута обаянием образа величественного правителя. Народ переживал период мирного строительства, были доведены до совершенства торговые связи, создан Храм, объединивший в духовное целое народ Израиля и Иудеи, составлены основные книги Ветхого Завета. В сознании людей укоренялись чувства законности и справедливости. Автор книги Фридрих Тибергер — всемирно известный ученый-гебраист, друг и собеседник Франца Кафки — не ставит задач необоснованного возвеличивания. Он критически оценивает источники с позиций современных исторических знаний, а его тонкий и глубокий анализ древних текстов раскрывает пронзительный трагизм непреодолимого одиночества мудрейшего из мудрых.</t>
  </si>
  <si>
    <t>12592</t>
  </si>
  <si>
    <t>Цвет страсти</t>
  </si>
  <si>
    <t>978-5-227-02731-3</t>
  </si>
  <si>
    <t>16863</t>
  </si>
  <si>
    <t>Цветок для счастливого дома</t>
  </si>
  <si>
    <t>978-5-227-06804-0</t>
  </si>
  <si>
    <t>16764</t>
  </si>
  <si>
    <t>Цветок орхидеи</t>
  </si>
  <si>
    <t>978-5-227-06725-8</t>
  </si>
  <si>
    <t>17630</t>
  </si>
  <si>
    <t>Цветочный гороскоп. Растения талисманы о вашем характере, судьбе и здоровье</t>
  </si>
  <si>
    <t>978-5-227-07537-6</t>
  </si>
  <si>
    <t>20802</t>
  </si>
  <si>
    <t>Цветы лазоревые. Юмористические рассказы</t>
  </si>
  <si>
    <t>978-5-227-10419-9</t>
  </si>
  <si>
    <t>Известный писатель конца XIX — начала XX века Николай Александрович Лейкин внимательно подмечает и ярко описывает в своих рассказах характерные приметы времени, что делает его произведения не только водоворотом образов и ситуаций, но и своеобразной энциклопедией российской жизни на рубеже столетий. В этом сборнике охвачена жизнь во всем ее многообразии, и многие иронично обыгранные темы, такие как суеверия, сплетни, семейные дрязги, бедность и нищета, бюрократия, показуха в благотворительности и повсеместное пьянство, отзываются в читателях и сейчас. Разыгрываются и сценки, характерные именно для того периода: отношения обнищавшего дворянства и новых хозяев жизни — купцов. Высмеивается, хотя, скорее, и по-доброму, ограниченность последних и желание решить любую проблему с помощью денег — например, купить главную роль в пьесе.</t>
  </si>
  <si>
    <t>14680</t>
  </si>
  <si>
    <t>Цветы на его похороны</t>
  </si>
  <si>
    <t>978-5-227-04685-7</t>
  </si>
  <si>
    <t>17336</t>
  </si>
  <si>
    <t>Халиф Л. Я.</t>
  </si>
  <si>
    <t>ЦДЛ</t>
  </si>
  <si>
    <t>978-5-227-06632-9</t>
  </si>
  <si>
    <t>18945</t>
  </si>
  <si>
    <t>Лаврова Р.</t>
  </si>
  <si>
    <t>Целебная сила эфирных масел для красоты и здоровья</t>
  </si>
  <si>
    <t>978-5-227-08849-9</t>
  </si>
  <si>
    <t>17633</t>
  </si>
  <si>
    <t>Целебные свойства топинамбура. При сахарном диабете, ожирении, анемии, желудочно-кишечных заболеваний</t>
  </si>
  <si>
    <t>978-5-227-07264-1</t>
  </si>
  <si>
    <t>21261</t>
  </si>
  <si>
    <t>Цели и ценности. Как перестать быть таким, как все</t>
  </si>
  <si>
    <t>978-5-227-10763-3</t>
  </si>
  <si>
    <t>Судьбу человека определяют его ценности. Если у людей одинаковые ценности, то и сценарий их жизни будет очень похож. Но если такая жизнь не нравится и перспектива повторить судьбу родителей тоже не радует, можно ли что-то изменить? Можно! Для этого нужно переписать ценности и растворить события, которые прописаны в жизни как обязательные. Сделать это трудно, но реально. Ключ — в правильной методике. Он заключается в специальной перезаписи лежащих в сознании, но скрытых от своего владельца связей между ценностями и целями. Такие связи — тайные программы: они есть, просто вы о них не знаете. Если все сделать правильно, то жизнь будущего освобождается от обязательств идти по прописанному сценарию и исправлять своей жизнью ошибки родителей. Снимается жесткое влияние системы._x000D_
Данная книга написана по результатам работы, которая проводится в Школе Меньшиковой по магическому развитию сознания. Все ученики, которые изменили себя через этот метод, достигли серьезных успехов в жизни, полностью или частично переписав свою судьбу и изменив карму как программу построения событий.</t>
  </si>
  <si>
    <t>6341</t>
  </si>
  <si>
    <t>Целитель</t>
  </si>
  <si>
    <t>5-9524-2099-0</t>
  </si>
  <si>
    <t>10822</t>
  </si>
  <si>
    <t>Целитель в банке. Чайный гриб</t>
  </si>
  <si>
    <t>978-5-9524-3914-6</t>
  </si>
  <si>
    <t>17867</t>
  </si>
  <si>
    <t>Целительная брусника. От ожирения, диабета, артрита, ревматизма, подагры, туберкулеза… </t>
  </si>
  <si>
    <t>978-5-227-07942-8</t>
  </si>
  <si>
    <t>16576</t>
  </si>
  <si>
    <t>Целуй меня в ответ</t>
  </si>
  <si>
    <t>978-5-227-06490-5</t>
  </si>
  <si>
    <t>17014</t>
  </si>
  <si>
    <t>Целуй меня крепче</t>
  </si>
  <si>
    <t>978-5-227-07037-1</t>
  </si>
  <si>
    <t>17916</t>
  </si>
  <si>
    <t>Целься сразу в сердце</t>
  </si>
  <si>
    <t>978-5-227-07997-8</t>
  </si>
  <si>
    <t>16280</t>
  </si>
  <si>
    <t>Цена его коварства</t>
  </si>
  <si>
    <t>978-5-227-06187-4</t>
  </si>
  <si>
    <t>15642</t>
  </si>
  <si>
    <t>Бэрд Ж.</t>
  </si>
  <si>
    <t>Цена ее невинности</t>
  </si>
  <si>
    <t>978-5-227-05058-8</t>
  </si>
  <si>
    <t>18181</t>
  </si>
  <si>
    <t>Цена любви и мести</t>
  </si>
  <si>
    <t>978-5-227-08210-7</t>
  </si>
  <si>
    <t>14746</t>
  </si>
  <si>
    <t>Цена мести</t>
  </si>
  <si>
    <t>978-5-227-04714-4</t>
  </si>
  <si>
    <t>18290</t>
  </si>
  <si>
    <t>Дворник Ф.</t>
  </si>
  <si>
    <t>Центральная и Восточная Европа в средние века. История возниковения славянских государств</t>
  </si>
  <si>
    <t>978-5-9524-5324-1</t>
  </si>
  <si>
    <t>18574</t>
  </si>
  <si>
    <t>Центральный комитет. Высшее партийное руководство от Ленина и Плеханова до Хрущева. 1890—1964 гг.</t>
  </si>
  <si>
    <t>978-5-227-07872-8</t>
  </si>
  <si>
    <t>20864</t>
  </si>
  <si>
    <t>Центурионы Ивана Грозного. Воеводы и головы московского войска второй половины XVI в.</t>
  </si>
  <si>
    <t>978-5-227-10516-5</t>
  </si>
  <si>
    <t>В этой книге доктора исторических наук, профессора В.В. Пенского на основе скрупулезного анализа широкого круга источников и литературы проанализированы судьбы русских служилых людей XVI в., занимавших средние командные посты в военной иерархии Русского государства той эпохи. Их можно назвать «центурионами» московского войска. До последнего времени люди, подобные героям очерков этой книги, крайне редко становились объектом внимания историков. Однако такая невнимательность по отношению к «центурионам» явно несправедлива. Шаг за шагом автор исследования, рассказывая о жизни своих героев, раскрывает картину истории Русского государства в сложную и неоднозначную эпоху, творцами которой являлись не только государи, бояре, церковные иерархи и другие, «жадною толпою стоящие у трона», но прежде всего «начальные люди» средней руки. Они водили в бой конные сотни детей боярских, выполняли дипломатические поручения, строили и защищали крепости, наместничали в городах. Их трудами, потом и ­кровью строилась великая держава, но сами они при этом были обделены вниманием и современников, и потомков. Исправить эту несправедливость хотя бы отчасти и призвана данная работа. Написанное живым, но вместе с тем научным языком, исследование предназначено преподавателям, студентам и всем, кто интересуется военной историей России XVI в., историей русского военного дела и повседневной жизнью русского общества той эпохи.</t>
  </si>
  <si>
    <t>21408</t>
  </si>
  <si>
    <t>Церемониалы Российской империи. XVIII — начало XX века</t>
  </si>
  <si>
    <t>978-5-227-10768-8</t>
  </si>
  <si>
    <t>Важное место в жизни общества занимает этикет, протокол, различные церемонии. Они сопровождают человека на протяжении всей его жизни. В последние годы увеличилось внимание к истории церемониальной составляющей жизни российского общества. Прежде всего к истории церемоний при императорском дворе, официальным церемониям. Книги Оксаны Юрьевны Захаровой занимают заметное место среди исследований на эту тему. Вы держите в руках новый труд этого автора, раскрывающий очередные страницы истории нашего Отечества._x000D_
Каждая эпоха создает свои церемониальные действа и отражается в них как в зеркале. Для правящей элиты церемониал — это способ преподнести себя миру, продемонстрировать свои представления о должном и почетном, о прекрасном и благородном. Книга посвящена таким явлениям жизни российского общества, как выходы высочайших особ, конные карусели, военные парады, церемониальные марши, придворные балы, дипломатические приемы, коронации, бракосочетания, которые рассматриваются как особые акты общественного представительства. Подчеркивается, что церемониалы в России — сложные, изящные, всегда с подтекстом — представляли собой внешнюю оболочку богатой духовной внутренней природы общественной жизни, отражали уровень нравственности и добродетелей их участников._x000D_
Книга рассчитана на широкий круг читателей, интересующихся отечественной историей, и будет особенно полезна государственным и общественно-политическим деятелям, причастным к формированию национальных идей, доктрин и новых духовных ценностей возрождающейся России.</t>
  </si>
  <si>
    <t>21684</t>
  </si>
  <si>
    <t>Цивилизации Древнего Востока. Исторические связи народов Месопотамии, Египта, Палестины, Сирии, Аравии, Анатолии и Ирана</t>
  </si>
  <si>
    <t>978-5-9524-6440-7</t>
  </si>
  <si>
    <t>Книга знаменитого итальянского историка Сабатино Москати кратко, но полно освещает историю Древнего Востока. Автор проводит сравнительное исследование существенных и характерных черт древневосточных цивилизаций. Вы узнаете о шумерах и египтянах, вавилонянах и ассирийцах, хеттах и хурритах, ханаанеях и арамеях, израильтянах и персах..._x000D_
Все многообразие культур, их взаимное влияние, четко обозначенное Москати, складывается в неповторимый и прекрасный лик Древнего Востока.</t>
  </si>
  <si>
    <t>21727</t>
  </si>
  <si>
    <t>Цивилизация Древнего Рима. Государство и общество, верования и обряды, архитектура и искусство</t>
  </si>
  <si>
    <t>978-5-9524-6449-0</t>
  </si>
  <si>
    <t>В книге известного писателя и историка Майкла Гранта содержатся обширные сведения о внутреннем устройстве римского государства и повседневной жизни его граждан. Исследуется сфера их общественных интересов — наука, религия, философия, искусство, литература и архитектура. Анализируется фундаментальное влияние римской цивилизации на последующие исторические формации.</t>
  </si>
  <si>
    <t>16390</t>
  </si>
  <si>
    <t>Цикорий от ста недугов</t>
  </si>
  <si>
    <t>978-5-227-06322-9</t>
  </si>
  <si>
    <t>19435</t>
  </si>
  <si>
    <t>Старинщиков Н.А</t>
  </si>
  <si>
    <t>Цифры нации</t>
  </si>
  <si>
    <t>978-5-227-09227-4</t>
  </si>
  <si>
    <t>20970</t>
  </si>
  <si>
    <t>ЦРУ Правдивая история</t>
  </si>
  <si>
    <t>978-5-227-10540-0</t>
  </si>
  <si>
    <t>Провокационная, весьма поучительная и чрезвычайно интересная книга лауреата Пулитцеровской премии Тима Вейнера посвящена 60-летней истории ЦРУ. В основу исследования легли тысячи архивных документов, интервью с действующими агентами, ветеранами и бывшими руководителями главного американского шпионского ведомства. Автор без прикрас описывает военные операции ЦРУ на Кубе, во Вьетнаме, Афганистане, Ираке и множестве других стран, раскрывает тайные стороны отношений двух великих держав — СССР и США — в период холодной войны. Повествует об ошибках управления внутри ведомства, бездумном распылении колоссального бюджета и о том, как просчеты ЦРУ повлияли на состояние национальной безопасности США, следствием которых стала трагедия 11 сентября 2001 года. Предупреждает об опасной неспособности видеть мир таким, какой он есть, что недопустимо при угрозе мирового терроризма.</t>
  </si>
  <si>
    <t>21561</t>
  </si>
  <si>
    <t>ЦРУ против КГБ. Искусство шпионажа</t>
  </si>
  <si>
    <t>978-5-9524-6376-9</t>
  </si>
  <si>
    <t>Аллен Даллес, директор ЦРУ в 50—60-х гг., когда шла холодная война между Советским Союзом и США, как никто другой знал о тонкостях борьбы КГБ и ЦРУ и о том, какими методами пользовался КГБ на политической арене мира, где столкнулись в поединке две общественные системы — коммунизм и капитализм. В таких обстоятельствах разведывательные организации обеих стран делали все, чтобы доставить друг другу как можно больше хлопот. Естественно поэтому, что мнение непосредственного участника «войны спецслужб» о знаменитых шпионских операциях будет интересно всем.</t>
  </si>
  <si>
    <t>18578</t>
  </si>
  <si>
    <t>Цунами неумолимой страсти</t>
  </si>
  <si>
    <t>978-5-227-08441-5</t>
  </si>
  <si>
    <t>19090</t>
  </si>
  <si>
    <t>Цунами соблазнов</t>
  </si>
  <si>
    <t>978-5-227-08943-4</t>
  </si>
  <si>
    <t>5842</t>
  </si>
  <si>
    <t>Цыпленок шел в куд-кудаки</t>
  </si>
  <si>
    <t>5-9524-1661-6</t>
  </si>
  <si>
    <t>19098</t>
  </si>
  <si>
    <t>Чары Мареллы</t>
  </si>
  <si>
    <t>978-5-227-08688-4</t>
  </si>
  <si>
    <t>5437</t>
  </si>
  <si>
    <t>Час абсента</t>
  </si>
  <si>
    <t>5-9524-1455-9</t>
  </si>
  <si>
    <t>6128</t>
  </si>
  <si>
    <t>5-9524-1643-8</t>
  </si>
  <si>
    <t>19929</t>
  </si>
  <si>
    <t>Час на соблазнение</t>
  </si>
  <si>
    <t>978-5-227-09619-7</t>
  </si>
  <si>
    <t>16668</t>
  </si>
  <si>
    <t>Частная жизнь знаменитости</t>
  </si>
  <si>
    <t>978-5-227-06543-8</t>
  </si>
  <si>
    <t>5927</t>
  </si>
  <si>
    <t>Чау чау</t>
  </si>
  <si>
    <t>5-9524-1837-6</t>
  </si>
  <si>
    <t>2603</t>
  </si>
  <si>
    <t>Кип Копач</t>
  </si>
  <si>
    <t>5-227-01238-5</t>
  </si>
  <si>
    <t>4297</t>
  </si>
  <si>
    <t>20912</t>
  </si>
  <si>
    <t>Рехинальдо Устарис-Арсе</t>
  </si>
  <si>
    <t>Че Гевара. Жизнь, смерть и воскрешение из мифа</t>
  </si>
  <si>
    <t>978-5-227-10530-1</t>
  </si>
  <si>
    <t>Рехинальдо Устарис-Арсе, боливийский врач и журналист, посвятил свою книгу легендарной личности — героическому революционеру Эрнесто Че Геваре. Автор провел многолетнее исчерпывающее расследование, на основе которого представил достоверную историю жизни и смерти этого удивительного человека. Он встретился с людьми, которые так или иначе оказались вовлеченными в деятельность революционера. Изучил массу документальных материалов: дневники, письма, радиограммы, сводки, военные приказы и воспоминания людей, лично знавших Че Гевару. Устарис-Арсе был тем человеком, который доказал, что легендарный Че не погиб в бою, а попал в плен и был хладнокровно расстрелян солдатами боливийской армии._x000D__x000D_
Свой труд автор снабдил бесценными и суровыми по содержанию фотоматериалами.</t>
  </si>
  <si>
    <t>15697</t>
  </si>
  <si>
    <t>Чего не знали папарацци</t>
  </si>
  <si>
    <t>978-5-227-05660-3</t>
  </si>
  <si>
    <t>16888</t>
  </si>
  <si>
    <t>Чего ты ждешь?</t>
  </si>
  <si>
    <t>978-5-227-06828-6</t>
  </si>
  <si>
    <t>16495</t>
  </si>
  <si>
    <t>Чего хочет принц?</t>
  </si>
  <si>
    <t>978-5-227-06398-4</t>
  </si>
  <si>
    <t>15161</t>
  </si>
  <si>
    <t>Клостерман Ч</t>
  </si>
  <si>
    <t>Человек видимый</t>
  </si>
  <si>
    <t>978-5-227-05008-3</t>
  </si>
  <si>
    <t>8704</t>
  </si>
  <si>
    <t>Буйокас П.</t>
  </si>
  <si>
    <t>Человек который хотел выпить море</t>
  </si>
  <si>
    <t>978-5-9524-2959-8</t>
  </si>
  <si>
    <t>21115</t>
  </si>
  <si>
    <t>Человек с двумя жизнями. 33 мистические, бьющие в самое сердце, истории о войне</t>
  </si>
  <si>
    <t>978-5-227-10637-7</t>
  </si>
  <si>
    <t>Амброз Гуиннет Бирс — признанный мастер американской прозы, участник судьбоносных событий, происходящих в США, журналист, писатель, автор «страшных» мистических рассказов, доводящих ужас до самого предела, был яркой своеобразной личностью. На поле боя, в обычной жизни, в статьях, в художественной прозе он был резок и прямолинеен, за что заработал прозвище Беспощадный Бирс. Воевал писатель в рядах северян, но в своих произведениях не высказывает предпочтения ни одной из воюющих сторон, — с обезоруживающей прямотой и шокирующей правдой он создает убийственно яркую, окрашенную мистическим туманом, картину войны с ее жестокостью, разрухой, гибелью людей и безрассудной, порой абсурдной храбростью.</t>
  </si>
  <si>
    <t>16355</t>
  </si>
  <si>
    <t>Арбатов  Г.А</t>
  </si>
  <si>
    <t>Человек системы</t>
  </si>
  <si>
    <t>978-5-227-05772-3</t>
  </si>
  <si>
    <t>5118</t>
  </si>
  <si>
    <t>Человек страха</t>
  </si>
  <si>
    <t>5-9524-1247-5</t>
  </si>
  <si>
    <t>19162</t>
  </si>
  <si>
    <t>Ньюман Р.</t>
  </si>
  <si>
    <t>Человек-радар</t>
  </si>
  <si>
    <t>978-5-227-09103-1</t>
  </si>
  <si>
    <t>18206</t>
  </si>
  <si>
    <t>Кант И.</t>
  </si>
  <si>
    <t>Чем больше привычек, тем меньше свободы</t>
  </si>
  <si>
    <t>978-5-227-08061-5</t>
  </si>
  <si>
    <t>16377</t>
  </si>
  <si>
    <t>Чемпион по разбиванию сердец</t>
  </si>
  <si>
    <t>978-5-227-06252-9</t>
  </si>
  <si>
    <t>17385</t>
  </si>
  <si>
    <t>Трояновский О.А.</t>
  </si>
  <si>
    <t>Через годы и расстояния. История одной семьи</t>
  </si>
  <si>
    <t>978-5-227-06637-4</t>
  </si>
  <si>
    <t>19542</t>
  </si>
  <si>
    <t>Тюленев И.В.</t>
  </si>
  <si>
    <t>Через три войны. Воспоминания командующего Южным и Закавказским фронтами. 1941—1945</t>
  </si>
  <si>
    <t>978-5-227-07920-6</t>
  </si>
  <si>
    <t>18958</t>
  </si>
  <si>
    <t>Черепа</t>
  </si>
  <si>
    <t>978-5-227-08922-9</t>
  </si>
  <si>
    <t>20870</t>
  </si>
  <si>
    <t>Фёр А.</t>
  </si>
  <si>
    <t>Черная вода</t>
  </si>
  <si>
    <t>978-5-227-10502-8</t>
  </si>
  <si>
    <t>Черная полоса в жизни обермейстера полиции Лео Кройтнера, казалось, подходит к концу. Совсем недавно при производстве домашнего шнапса он едва не сжег дом, а за лихую езду на время лишился прав. И вот на костюмированном балу в пивной мельницы Мангфалль на его ухаживания ответила женщина, на взаимность которой он не смел и надеяться. Вечер обещал завершиться вожделенной близостью, но куда привести возлюбленную? Авантюрист Кройтнер быстро находит решение. Берет  у знакомых ключ от особняка местного жителя, который сейчас в отъезде. Подбивает отца своего начальника Валльнера пуститься во все тяжкие, и на машине старика троица отправляется в пустующий дом. В спальне вместо женских ласк Кройтнера ждет неприятный сюрприз — труп хозяина особняка. А неадекватная девица с пистолетом в руке, появившаяся из соседней комнаты, ранит полицейского в голову. Казалось бы, преступление банальное, и убийца в руках правосудия, но блестящий дуэт двух полицейских, Валльнера и Кройтнера, не позволит увести расследование в неверном направлении.</t>
  </si>
  <si>
    <t>18777</t>
  </si>
  <si>
    <t>978-5-227-08737-9</t>
  </si>
  <si>
    <t>17133</t>
  </si>
  <si>
    <t>Черная дюжина. Общество смелых</t>
  </si>
  <si>
    <t>978-5-227-06604-6</t>
  </si>
  <si>
    <t>17125</t>
  </si>
  <si>
    <t>Черная кукуруза, или Панацея от всех болезней. Эффективное лечение онкологии, ожирения, диабета.</t>
  </si>
  <si>
    <t>978-5-227-07162-0</t>
  </si>
  <si>
    <t>20801</t>
  </si>
  <si>
    <t>Зиглер Ф.</t>
  </si>
  <si>
    <t>Черная смерть. Как эпидемия чумы изменила средневековую Европу</t>
  </si>
  <si>
    <t>978-5-9524-5977-9</t>
  </si>
  <si>
    <t>Книга британского историка и писателя Филипа Зиглера представляет собой исследование распространения Черной смерти, или чумы, на территории средневековой Европы. Автор пишет об истоках и причинах возникновения мора, процессах и способах его передачи, заражения. Рассматривая и сопоставляя множество свидетельств средневековых хронистов и работы по изучению эпидемии более поздних историков, Зиглер в своей книге характеризует состояние медицины, предрассудки общества того времени и ту роль, которую сыграла «великая чума» на экономическую и социальную жизнь Европы.</t>
  </si>
  <si>
    <t>2369</t>
  </si>
  <si>
    <t>Попов В.</t>
  </si>
  <si>
    <t>Чернильный ангел</t>
  </si>
  <si>
    <t>5-227-01083-8</t>
  </si>
  <si>
    <t>15960</t>
  </si>
  <si>
    <t>Памми Т.</t>
  </si>
  <si>
    <t>Черное сердце</t>
  </si>
  <si>
    <t>978-5-227-05925-3</t>
  </si>
  <si>
    <t>19133</t>
  </si>
  <si>
    <t>Черные крылья. Глубокий поиск</t>
  </si>
  <si>
    <t>978-5-227-09088-1</t>
  </si>
  <si>
    <t>15418</t>
  </si>
  <si>
    <t>ЗАРУБ ДЕТЕК №1</t>
  </si>
  <si>
    <t>Соларес Мартин</t>
  </si>
  <si>
    <t>Черные минуты</t>
  </si>
  <si>
    <t>978-5-227-05383-1</t>
  </si>
  <si>
    <t>13382</t>
  </si>
  <si>
    <t>Шеховцов А.А.</t>
  </si>
  <si>
    <t>Черный властелин</t>
  </si>
  <si>
    <t>978-5-227-03490-8</t>
  </si>
  <si>
    <t>17112</t>
  </si>
  <si>
    <t>Черный всадник</t>
  </si>
  <si>
    <t>978-5-227-06600-8</t>
  </si>
  <si>
    <t>12254</t>
  </si>
  <si>
    <t>Стюарт Э.</t>
  </si>
  <si>
    <t>Черный лед</t>
  </si>
  <si>
    <t>978-5-227-02389-6</t>
  </si>
  <si>
    <t>10274</t>
  </si>
  <si>
    <t>Болле М.</t>
  </si>
  <si>
    <t>Черный риелтор</t>
  </si>
  <si>
    <t>978-5-9524-3449-3</t>
  </si>
  <si>
    <t>18915</t>
  </si>
  <si>
    <t>Черный телефон</t>
  </si>
  <si>
    <t>978-5-227-08595-5</t>
  </si>
  <si>
    <t>17557</t>
  </si>
  <si>
    <t>Черный треугольник</t>
  </si>
  <si>
    <t>978-5-9524-5297-8</t>
  </si>
  <si>
    <t>8801</t>
  </si>
  <si>
    <t>Волошина А., Волошина О.</t>
  </si>
  <si>
    <t>Чертополох в хрустальной вазе</t>
  </si>
  <si>
    <t>978-5-9524-3003-7</t>
  </si>
  <si>
    <t>21195</t>
  </si>
  <si>
    <t>Черчилль. Рузвельт. Сталин. Война, которую они вели, и мир, которого они добились</t>
  </si>
  <si>
    <t>978-5-9524-6150-5</t>
  </si>
  <si>
    <t>Всеобъемлющее собрание документальной хроники отражает роль лидеров ведущих мировых держав в процессе формирования и деятельности антигитлеровской коалиции с января 1942­го по май 1945 года. Огромный массив официальных документов, умело подобранный исторический материал, воспоминания, дневники и личная переписка Черчилля, Рузвельта, Сталина и их окружения, малоизвестные факты об антигитлеровской коалиции, тонкий психологический анализ личностей лидеров ушедшей эпохи делают издание поистине уникальным.</t>
  </si>
  <si>
    <t>5344</t>
  </si>
  <si>
    <t>Чеснок ваш домашний доктор</t>
  </si>
  <si>
    <t>5-9524-1402-8</t>
  </si>
  <si>
    <t>12214</t>
  </si>
  <si>
    <t>Чеснок. Чудо-целитель</t>
  </si>
  <si>
    <t>978-5-227-02309-4</t>
  </si>
  <si>
    <t>14295</t>
  </si>
  <si>
    <t>KNIGOMANIA</t>
  </si>
  <si>
    <t>Кондон</t>
  </si>
  <si>
    <t>Честь семьи Прицци</t>
  </si>
  <si>
    <t>978-5-227-04157-9</t>
  </si>
  <si>
    <t>18943</t>
  </si>
  <si>
    <t>Баркер Д. Д</t>
  </si>
  <si>
    <t>Четвертая обезьяна</t>
  </si>
  <si>
    <t>978-5-227-08905-2</t>
  </si>
  <si>
    <t>17580</t>
  </si>
  <si>
    <t>978-5-227-07621-2</t>
  </si>
  <si>
    <t>21289</t>
  </si>
  <si>
    <t>Крамон А.ф.</t>
  </si>
  <si>
    <t>Четыре года в австро-венгерском Генштабе. Воспоминания полномочного представителя германского Верховного командования о боевых операциях и закулисных соглашениях. 1914—1918</t>
  </si>
  <si>
    <t>978-5-9524-6212-0</t>
  </si>
  <si>
    <t>Август фон Крамон (1861—1940) в годы Первой мировой войны был назначен полномочным представителем Германии при Генеральном штабе австро-венгерской армии. Будучи связующим звеном между ставками двух держав, генерал-майор фон Крамон принимал непосредственное участие в разработке и проведении военных операций, поддерживал контакты между союзниками и высшим руководством армий, а потому смог с документальной точностью отобразить положение дел в Австро-Венгрии в 1914—1918 гг. Автор достоверно и беспристрастно описывает не только крупные сражения, переговоры о мире, падение монархии в России и другие значительные события Первой мировой войны, но и интриги в верховном командовании, дипломатические уловки и неоднозначные политические соглашения, определившие ход войны.</t>
  </si>
  <si>
    <t>21163</t>
  </si>
  <si>
    <t>Бальфур Майкл, Мейр Джон</t>
  </si>
  <si>
    <t>Четырехсторонняя оккупация Германии и Австрии. Побежденные страны под управлением военных администраций СССР, Великобритании, США и Франции. 1945–1946</t>
  </si>
  <si>
    <t>978-5-9524-6143-7</t>
  </si>
  <si>
    <t>В настоящем издании представлены работы двух авторов о разделе Германии и Австрии на оккупационные зоны союзными войсками держав-победительниц во Второй мировой войне. Автор первой из них — историк Майкл Бальфур имеет долголетний опыт изучения Германии. В 1945—1947 гг. он занимал пост в Британском элементе Комиссии по контролю. Его рассказ касается одного из самых трудных и мрачных периодов истории страны — 1945—1946 гг. после более чем десятилетнего нацистского правления. Джон Мейр, сотрудник политического отдела Британского элемента Комиссии, затрагивает то же время, но относится к положению в Австрии. Обе работы дополняют друг друга, проливая свет на четырехсторонний (СССР, Великобритании, США и Франции) контроль над двумя поверженными странами.</t>
  </si>
  <si>
    <t>18486</t>
  </si>
  <si>
    <t>Куприянов Д.В.</t>
  </si>
  <si>
    <t>Четырнадцать - в цель!</t>
  </si>
  <si>
    <t>978-5-227-08503-0</t>
  </si>
  <si>
    <t>19840</t>
  </si>
  <si>
    <t>Чеченский этап. Вангол­5</t>
  </si>
  <si>
    <t>978-5-227-09446-9</t>
  </si>
  <si>
    <t>21708</t>
  </si>
  <si>
    <t>Бадмаев П.</t>
  </si>
  <si>
    <t>Чжуд-ши. Главное руководство по врачебной науке Тибета</t>
  </si>
  <si>
    <t>978-5-227-11073-2</t>
  </si>
  <si>
    <t>Тибетская медицина – это нечто малодоступное нашему пониманию, нечто таинственное, но, безусловно, вызывающее доверие. Врачебная наука, названная ее создателями – тибетскими ламами – чжуд-ши, что означает «четыре основы», несет собой практическую ценность и сегодня, несмотря на примитивные по современным меркам средства и способы лечения: травами, минералами, очищенной водой. Чжуд-ши трудами и мудростью создавали целители в монастырях, отгороженных от остального мира. Расшифровал, адаптировал и сделал чжуд-ши достоянием врачебной науки Петр Александрович Бадмаев – человек незаурядный и, без преувеличения сказать, легендарный.</t>
  </si>
  <si>
    <t>21148</t>
  </si>
  <si>
    <t>Чингисхан. Властелин мира</t>
  </si>
  <si>
    <t>978-5-9524-6147-5</t>
  </si>
  <si>
    <t>Семьсот лет назад изгою Чингисхану удалось вернуть свое ханство и изменить ход мировой истории. Он покорил три сильнейшие империи и вошел в историю как великий воин и жестокий основатель татаро-монгольского ига. В книге ярко и живо повествуется обо всех значительных событиях эпохи правления Чингисхана, о жестокости и прогрессивных преобразованиях великого правителя, заставившего пятьдесят народов жить по своим законам.</t>
  </si>
  <si>
    <t>21551</t>
  </si>
  <si>
    <t>Хоппер В.Ф.</t>
  </si>
  <si>
    <t>Числовая символика Средневековья. Тайный смысл и форма выражения</t>
  </si>
  <si>
    <t>978-5-9524-6299-1</t>
  </si>
  <si>
    <t>Числовой символизм был широко распространен и глубоко укоренился в мировой культуре. Мыслители Средневековья и поэт Ренессанса Данте вкладывали в числа глубокий смысл. Автор данной книги Винсент Фостер Хоппер, преподаватель английской словесности, профессор Нью-Йоркского университета, показывает, что в средневековом сознании человека числовая символика была не просто математическим инструментом наподобие игровых фишек, а основой понимания мира, ясной по форме выражения. Автор исследует главные источники числового символизма: элементарные символы (например, пальцы), вавилонскую астрологию, пифагорейскую систему соотношения чисел и искусную комбинацию всех этих элементов гностиками при разработке числовой философии Отцами Церкви, выраженной, в частности, в красоте порядка в «Божественной комедии» Данте.</t>
  </si>
  <si>
    <t>18035</t>
  </si>
  <si>
    <t>Чистилище</t>
  </si>
  <si>
    <t>978-5-227-08124-7</t>
  </si>
  <si>
    <t>12208</t>
  </si>
  <si>
    <t>Чисто русское преступление</t>
  </si>
  <si>
    <t>978-5-227-02286-8</t>
  </si>
  <si>
    <t>12730</t>
  </si>
  <si>
    <t>Чистотел. Лучшее средство от 250 болезней</t>
  </si>
  <si>
    <t>978-5-227-02580-7</t>
  </si>
  <si>
    <t>5158</t>
  </si>
  <si>
    <t>Опаленко</t>
  </si>
  <si>
    <t>Читаем газеты по английски</t>
  </si>
  <si>
    <t>5-9524-1192-4</t>
  </si>
  <si>
    <t>21467</t>
  </si>
  <si>
    <t>Читаем язык тела, или слушаем глазами. О чем говорят позы, мимика, жесты. Учимся понимать взрослых и малышей</t>
  </si>
  <si>
    <t>978-5-227-10833-3</t>
  </si>
  <si>
    <t>За счёт мимики, жестов и прочих невербальных сигналов мы получаем около 80% информации. Умение читать язык тела особенно ценно для представителей определённых профессий: психологов, педагогов, бизнесменов, политиков. Язык тела — это особый способ коммуникации. Основные его элементы: жесты, мимика, позы и осанка. Язык тела помогает выражать эмоции и настроение без использования слов. Вы легко сможете понять, как к вам относится собеседник, говорит ли он правду, комфортно ли вашему ребёнку…_x000D_
Обладателю знаний языка телодвижений открываются невероятные возможности. Это можно сравнить с магией или волшебством. В жизни очень важно понимать людей. Например, обладателю знаний языка телодвижений легче устроиться на работу, выгоднее что-то продать или купить, легче выиграть в споре или начать отношения._x000D_
Наша книга ознакомит вас с основными элементами языка тела взрослых и детей. Надеемся, что эти знания помогут сосуществовать в современном мире.</t>
  </si>
  <si>
    <t>20483</t>
  </si>
  <si>
    <t>Агабеков Г.С.</t>
  </si>
  <si>
    <t>ЧК за работой. Уникальные свидетельства первого крупного советского разведчика-чекиста, бежавшего на Запад</t>
  </si>
  <si>
    <t>978-5-227-10229-4</t>
  </si>
  <si>
    <t>Долгое время имя Георгия Сергеевича Агабекова находилось под запретом. Автор книги — один из первых высокопоставленных сотрудников ОГПУ, порвавших со сталинским режимом и совершивших побег из СССР на Запад. Будучи резидентом в Турции, в 1930 году перестал выходить на связь и перебрался в Париж. В течение семи лет Агабеков находился в бегах и за это время написал несколько книг, в которых рассказал о методах работы советской разведки. Попытки уничтожить предателя в 1931 и 1934 годах успехом не увенчались; пользуясь своими знаниями работы ВЧК ОГПУ, предатель смог избежать ликвидации. Однако в 1937 году был устранен спецгруппой НКВД во Франции. В предлагаемой книге Агабеков рассказывает свою историю работы в ЧК, а также предлагает собственную версию событий, толкнувших его на предательство.</t>
  </si>
  <si>
    <t>12068</t>
  </si>
  <si>
    <t>РП</t>
  </si>
  <si>
    <t>Свияш</t>
  </si>
  <si>
    <t>Что вам мешает быть богатым</t>
  </si>
  <si>
    <t>978-5-9524-4932-9</t>
  </si>
  <si>
    <t>19232</t>
  </si>
  <si>
    <t>Нерсисян А.</t>
  </si>
  <si>
    <t>Что придумали армяне. Легендарные личности и великие изобретения. От соломинки для коктейля до подводной лодки</t>
  </si>
  <si>
    <t>978-5-227-09182-6</t>
  </si>
  <si>
    <t>17756</t>
  </si>
  <si>
    <t>Что придумали евреи</t>
  </si>
  <si>
    <t>978-5-227-07644-1</t>
  </si>
  <si>
    <t>16468</t>
  </si>
  <si>
    <t>Что скрывает ночь?</t>
  </si>
  <si>
    <t>978-5-227-06392-2</t>
  </si>
  <si>
    <t>0117</t>
  </si>
  <si>
    <t>Что скрывалось за фиговым листом</t>
  </si>
  <si>
    <t>978-5-227-07021-0</t>
  </si>
  <si>
    <t>15873</t>
  </si>
  <si>
    <t>Что случилось в Вегасе...</t>
  </si>
  <si>
    <t>978-5-227-05830-0</t>
  </si>
  <si>
    <t>15527</t>
  </si>
  <si>
    <t>Что-то вроде романа</t>
  </si>
  <si>
    <t>978-5-227-05607-8</t>
  </si>
  <si>
    <t>17080</t>
  </si>
  <si>
    <t>Чувственное приключение</t>
  </si>
  <si>
    <t>978-5-227-07069-2</t>
  </si>
  <si>
    <t>14671</t>
  </si>
  <si>
    <t>Чувственный рай</t>
  </si>
  <si>
    <t>978-5-227-04665-9</t>
  </si>
  <si>
    <t>19858</t>
  </si>
  <si>
    <t>Чувственный рождественский сюрприз</t>
  </si>
  <si>
    <t>978-5-227-09417-9</t>
  </si>
  <si>
    <t>14642</t>
  </si>
  <si>
    <t>Чувствительная особа</t>
  </si>
  <si>
    <t>978-5-227-04634-5</t>
  </si>
  <si>
    <t>16748</t>
  </si>
  <si>
    <t>Чудеса возможны</t>
  </si>
  <si>
    <t>978-5-227-06738-8</t>
  </si>
  <si>
    <t>20086</t>
  </si>
  <si>
    <t>Чудесный мир цветов</t>
  </si>
  <si>
    <t>978-5-9524-5708-9</t>
  </si>
  <si>
    <t>16898</t>
  </si>
  <si>
    <t>Чудо-оружие люфтваффе</t>
  </si>
  <si>
    <t>978-5-227-06852-1</t>
  </si>
  <si>
    <t>18315</t>
  </si>
  <si>
    <t>Чудовище в плену красавицы</t>
  </si>
  <si>
    <t>978-5-227-08246-6</t>
  </si>
  <si>
    <t>19409</t>
  </si>
  <si>
    <t>Чудодейственные заговоры и обряды на любовь. Правила проведения. Избавление от одиночества. Счастье в браке. Для верности и преданности. От разлуки и измен. Вернуть любимого</t>
  </si>
  <si>
    <t>978-5-9524-5366-1</t>
  </si>
  <si>
    <t>21615</t>
  </si>
  <si>
    <t>Чудодейственные молитвы на разные случаи жизни. От нищеты, о возврате украденного, найти потерянное,</t>
  </si>
  <si>
    <t>978-5-227-11015-2</t>
  </si>
  <si>
    <t>Святые помощники слышат любую нашу молитву, и не важно, сказана она своими словами или каноническим текстом. Молитесь горячо и светло и да исполнятся ваши прошения! Иногда человек, попавший в какую-то жизненную ситуацию, растерявшись, не знает, к какому святому обратиться с той или иной просьбой… В этой книге мы даем подборку чудодейственных молитв на самые разные случаи жизни. Здесь есть молитвы к святым, которые окажут помощь в делах и бизнесе, молитвы о трудоустройстве, для успешной продажи или покупки, о возвращении долгов, украденного и потерянной вещи, о тех, кто в армии и на войне, о преуспевании в учебе и успешной сдаче экзаменов, от бед, сглаза и нищеты, неприятностей на работе и измен в семье. Также молитвы о преодолении разных болезней, онкологии, о детях, внуках и тех, кто в пути, близких, подверженных пагубным зависимостям, о мире на Земле и даже о спасении и процветании нашей горячо любимой Родины….</t>
  </si>
  <si>
    <t>19991</t>
  </si>
  <si>
    <t>Чудотворные дары природы для вашего здоровья. Ягоды и фрукты от старости и болезней</t>
  </si>
  <si>
    <t>978-5-227-09739-2</t>
  </si>
  <si>
    <t>4565</t>
  </si>
  <si>
    <t>Чужая война</t>
  </si>
  <si>
    <t>5-9524-0830-3</t>
  </si>
  <si>
    <t>4906</t>
  </si>
  <si>
    <t>5-9524-1048-0</t>
  </si>
  <si>
    <t>7923</t>
  </si>
  <si>
    <t>Чужая игра</t>
  </si>
  <si>
    <t>978-5-9524-2816-4</t>
  </si>
  <si>
    <t>18023</t>
  </si>
  <si>
    <t>Чужая страна</t>
  </si>
  <si>
    <t>978-5-227-07080-7</t>
  </si>
  <si>
    <t>17055</t>
  </si>
  <si>
    <t>978-5-227-07109-5</t>
  </si>
  <si>
    <t>14602</t>
  </si>
  <si>
    <t>Чужестранка в Кастонбери</t>
  </si>
  <si>
    <t>978-5-227-04659-8</t>
  </si>
  <si>
    <t>21062</t>
  </si>
  <si>
    <t>Благов С.</t>
  </si>
  <si>
    <t>Чужие среди своих. Польское население в советском партизанском движении на территории Белорусской ССР. 1941—1944</t>
  </si>
  <si>
    <t>978-5-227-10576-9</t>
  </si>
  <si>
    <t>Словосочетание «польские партизаны» периода Второй мировой войны традиционно ассоциируется с бойцами подразделений Армии крайовой, подчинявшейся польскому правительству в эмиграции. В 1944 г. под эгидой левых сил возникла еще одна партизанская сила — Армия людова. Но в этой книге речь пойдет о еще об одной, наименее известной категории польских партизан — советских. В 1943—1944 гг. политическим и партизанским руководством БССР предпринимались активные попытки вовлечь многочисленное польское население Белоруссии в советское партизанское движение. Отчасти на территории Пинской, Барановичской и Вилейской областей БССР эти усилия увенчались успехом. Работа кандидата исторических наук С.В. Благова основана на документальном материале российских, белорусских и польских архивов, а также опубликованных документах и электронных базах данных белорусских партизан.</t>
  </si>
  <si>
    <t>8846</t>
  </si>
  <si>
    <t>Чужое дело</t>
  </si>
  <si>
    <t>978-5-9524-3090-7</t>
  </si>
  <si>
    <t>19397</t>
  </si>
  <si>
    <t>Чужое лицо</t>
  </si>
  <si>
    <t>978-5-227-09046-1</t>
  </si>
  <si>
    <t>10262</t>
  </si>
  <si>
    <t>Ш-ш-а</t>
  </si>
  <si>
    <t>978-5-9524-3427-1</t>
  </si>
  <si>
    <t>20186</t>
  </si>
  <si>
    <t>Быков С.Н.</t>
  </si>
  <si>
    <t>Шаг в палеолит</t>
  </si>
  <si>
    <t>978-5-227-09941-9</t>
  </si>
  <si>
    <t>15564</t>
  </si>
  <si>
    <t>Шаг навстречу</t>
  </si>
  <si>
    <t>978-5-227-05616-0</t>
  </si>
  <si>
    <t>19643</t>
  </si>
  <si>
    <t>Шаг навстречу любви</t>
  </si>
  <si>
    <t>978-5-227-09276-2</t>
  </si>
  <si>
    <t>14469</t>
  </si>
  <si>
    <t>Шалфей от ста болезней</t>
  </si>
  <si>
    <t>978-5-227-04184-5</t>
  </si>
  <si>
    <t>19554</t>
  </si>
  <si>
    <t>Шампиньоны. Сажаем, выращиваем, заготавливаем. Уникальные лечебные свойства и кулинарные рецепты</t>
  </si>
  <si>
    <t>978-5-227-09372-1</t>
  </si>
  <si>
    <t>19947</t>
  </si>
  <si>
    <t>Шанс все изменить</t>
  </si>
  <si>
    <t>978-5-227-09620-3</t>
  </si>
  <si>
    <t>18927</t>
  </si>
  <si>
    <t>Шанс переписать прошлое</t>
  </si>
  <si>
    <t>978-5-227-08831-4</t>
  </si>
  <si>
    <t>18989</t>
  </si>
  <si>
    <t>Шантаж с оттенком страсти</t>
  </si>
  <si>
    <t>978-5-227-08840-6</t>
  </si>
  <si>
    <t>18400</t>
  </si>
  <si>
    <t>Шатун</t>
  </si>
  <si>
    <t>978-5-227-08406-4</t>
  </si>
  <si>
    <t>18939</t>
  </si>
  <si>
    <t>Шафер и свадебная фея</t>
  </si>
  <si>
    <t>978-5-227-08791-1</t>
  </si>
  <si>
    <t>8684</t>
  </si>
  <si>
    <t>Шелковая девушка</t>
  </si>
  <si>
    <t>978-5-9524-2962-8</t>
  </si>
  <si>
    <t>14703</t>
  </si>
  <si>
    <t>Шелковый соблазн</t>
  </si>
  <si>
    <t>978-5-227-04673-4</t>
  </si>
  <si>
    <t>6056</t>
  </si>
  <si>
    <t>Шесть лебедей</t>
  </si>
  <si>
    <t>5-9524-1853-8</t>
  </si>
  <si>
    <t>17243</t>
  </si>
  <si>
    <t>Тай-гун</t>
  </si>
  <si>
    <t>Шесть секретных учений. Наставления для эффективного свержения династии</t>
  </si>
  <si>
    <t>978-5-227-06609-1</t>
  </si>
  <si>
    <t>17429</t>
  </si>
  <si>
    <t>Жовнерчук Е.В</t>
  </si>
  <si>
    <t>Шизофреники повсюду, или Как отличить причуды от болезни</t>
  </si>
  <si>
    <t>978-5-227-06626-8</t>
  </si>
  <si>
    <t>11917</t>
  </si>
  <si>
    <t>Шикарный цветник из многолетника</t>
  </si>
  <si>
    <t>978-5-227-02034-5</t>
  </si>
  <si>
    <t>12253</t>
  </si>
  <si>
    <t>12392</t>
  </si>
  <si>
    <t>978-5-227-02563-0</t>
  </si>
  <si>
    <t>12687</t>
  </si>
  <si>
    <t>21016</t>
  </si>
  <si>
    <t>Кастл Э.</t>
  </si>
  <si>
    <t>Школы и мастера фехтования. Благородное искусство владения клинком</t>
  </si>
  <si>
    <t>978-5-9524-6113-0</t>
  </si>
  <si>
    <t>Данное исследование полно самых ценных и разнообразных сведений по развитию фехтовального искусства. Вы узнаете, как со временем менялась форма гард и клинков, о том, сколько поколений практиков потребовалось, чтобы определить основополагающие принципы фехтования, идеально соответствующие возможностям человеческого тела. Книга будет интересна любителям старинного оружия и знатокам фехтования.</t>
  </si>
  <si>
    <t>5079</t>
  </si>
  <si>
    <t>Тушева</t>
  </si>
  <si>
    <t>Школьникам о грамматике английского языка</t>
  </si>
  <si>
    <t>5-9524-1175-4</t>
  </si>
  <si>
    <t>11596</t>
  </si>
  <si>
    <t>ШС</t>
  </si>
  <si>
    <t>Москвин А.Ю.</t>
  </si>
  <si>
    <t>Школьный англо-русский и русско-английский словарь</t>
  </si>
  <si>
    <t>978-5-9524-4670-0</t>
  </si>
  <si>
    <t>17038</t>
  </si>
  <si>
    <t>978-5-227-07098-2</t>
  </si>
  <si>
    <t>12418</t>
  </si>
  <si>
    <t>Медведев А.А.</t>
  </si>
  <si>
    <t>Школьный словарь иностранных слов</t>
  </si>
  <si>
    <t>978-5-227-02479-4</t>
  </si>
  <si>
    <t>11266</t>
  </si>
  <si>
    <t>Школьный словарь слитно-раздельно</t>
  </si>
  <si>
    <t>978-5-9524-4372-3</t>
  </si>
  <si>
    <t>10634</t>
  </si>
  <si>
    <t>Школьный словарь трудностей русского языка</t>
  </si>
  <si>
    <t>978-5-9524-3768-5</t>
  </si>
  <si>
    <t>14583</t>
  </si>
  <si>
    <t>978-5-227-04594-2</t>
  </si>
  <si>
    <t>10629</t>
  </si>
  <si>
    <t>Николаев В.И.</t>
  </si>
  <si>
    <t>Школьный словообразовательный словарь</t>
  </si>
  <si>
    <t>978-5-9524-3767-8</t>
  </si>
  <si>
    <t>13952</t>
  </si>
  <si>
    <t>Воронкова Л.М.</t>
  </si>
  <si>
    <t>Школьный толковый словарь русского языка</t>
  </si>
  <si>
    <t>978-5-227-03951-4</t>
  </si>
  <si>
    <t>14560</t>
  </si>
  <si>
    <t>15464</t>
  </si>
  <si>
    <t>978-5-227-05071-7</t>
  </si>
  <si>
    <t>14685</t>
  </si>
  <si>
    <t>Понятин</t>
  </si>
  <si>
    <t>Школьный французско - русский и русско - французский словарь</t>
  </si>
  <si>
    <t>978-5-227-04531-7</t>
  </si>
  <si>
    <t>19582</t>
  </si>
  <si>
    <t>Шокированный любовник</t>
  </si>
  <si>
    <t>978-5-227-09206-9</t>
  </si>
  <si>
    <t>0158</t>
  </si>
  <si>
    <t>Шоковая терапия</t>
  </si>
  <si>
    <t>978-5-227-07022-7</t>
  </si>
  <si>
    <t>17407</t>
  </si>
  <si>
    <t>Шоссе Энтузиастов. Дорога великих свершений</t>
  </si>
  <si>
    <t>978-5-227-06621-3</t>
  </si>
  <si>
    <t>20485</t>
  </si>
  <si>
    <t>Лотц В.</t>
  </si>
  <si>
    <t>Шпион в шампанском. Превратности судьбы израильского Джеймса Бонда</t>
  </si>
  <si>
    <t>978-5-9524-5860-4</t>
  </si>
  <si>
    <t>Вольфганг Лотц — большой любитель шампанского, знаток лошадей и одновременно нелегальный разведчик Моссад — одной из самых закрытых спецслужб мира. Откровения автора о своей секретной работе и дальнейшем провале в Египте стали настоящей сенсацией. В течение четырех лет он, используя взятки и подкупы, успешно вживался в элитные круги египетского генералитета и занимался сбором разведывательной информации, пока не был арестован местной контрразведкой. В Израиле его почитают как героя и преподносят в качестве эталона удачливого шпиона, этакого Джеймса Бонда нашего времени._x000D_
При всей остроте сюжета книга не перегружена ни политической риторикой, ни специальной терминологией и может вызвать заслуженный интерес у читателей, которые узнают также множество любопытных подробностей о разведывательном сообществе Израиля.</t>
  </si>
  <si>
    <t>20397</t>
  </si>
  <si>
    <t>Гимпель Э.</t>
  </si>
  <si>
    <t>Шпион для Германии</t>
  </si>
  <si>
    <t>978-5-9524-5846-8</t>
  </si>
  <si>
    <t>Мемуары шпиона, больше похожие на исповедь человека, верой и правдой служившего гитлеровскому режиму. Самое важное в его жизни задание оказалось для Гимпеля роковым: он должен был сорвать производство атомной бомбы в США, но из-за предательства напарника был схвачен и приговорен к повешению. По решению президента Трумэна смертная казнь была заменена на пожизненное заключение. После амнистии Эрих Гимпель вернулся в Германию и написал эту книгу.</t>
  </si>
  <si>
    <t>21347</t>
  </si>
  <si>
    <t>Даллин Д.</t>
  </si>
  <si>
    <t>Шпионаж по-советски. Объекты и агенты советской разведки</t>
  </si>
  <si>
    <t>978-5-9524-6247-2</t>
  </si>
  <si>
    <t>Автор собрал обширный материал о деятельности советской разведки в 20—50-х годах ХХ века. По обилию фактуры и имен этот труд даже превосходит нашумевшую книгу английского историка Кристофера Эндрю и бывшего полковника советской внешней разведки Олега Гордиевского «КГБ: разведывательные операции от Ленина до Горбачева». По словам Дэвида Даллина, ему удалось рассказать о работе советских спецслужб за рубежом настолько объективно и точно, насколько это было возможно в существовавших условиях. Некоторые описываемые автором события носят поистине уникальный характер, поскольку прежде никогда не предавались гласности.</t>
  </si>
  <si>
    <t>21576</t>
  </si>
  <si>
    <t>Шпионская леска</t>
  </si>
  <si>
    <t>978-5-9524-6371-4</t>
  </si>
  <si>
    <t>Бернард Сэмсон, офицер разведки, сотрудник британской секретной службы, после ложного обвинения в госизмене (события описаны в первом романе трилогии «Крючок, леска и грузило») вынужден скрываться в Берлине. Однако Лондон не намерен отпускать своего самого ценного агента. В обмен на свободу и восстановление репутации Бернард по заданию Центра отправляется с новой миссией в Вену, где ему предстоит сделать непростой выбор и решить, что для него важнее — профессиональный долг или личное счастье?..</t>
  </si>
  <si>
    <t>21581</t>
  </si>
  <si>
    <t>Шпионский крючок</t>
  </si>
  <si>
    <t>978-5-9524-6370-7</t>
  </si>
  <si>
    <t>Департамент отправляет агента Бернарда Сэмсона в Вашингтон, чтобы разыскать пропавшие миллионы. В ходе миссии Сэмсон переправляется из Лондона в Берлин, затем с юга Франции в Лос-Анджелес, в эпицентр водоворота, и раскрывает масштабную финансовую аферу британской секретной службы.  Но даже это открытие не поможет, если сам Департамент намерен свести с ним счеты. В первой части трилогии шпионских романов «Крючок, леска и грузило» друзья становятся врагами, преследователь — жертвой, и все причастные к делу, даже сам Бернард, под подозрением...</t>
  </si>
  <si>
    <t>18304</t>
  </si>
  <si>
    <t>Шпионский тайник</t>
  </si>
  <si>
    <t>978-5-227-08369-2</t>
  </si>
  <si>
    <t>15888</t>
  </si>
  <si>
    <t>978-5-227-05822-5</t>
  </si>
  <si>
    <t>Макс Флинн — агент под прикрытием, и работа у него незавидная — шпионить за своими. Когда убить, кого убить, убить или сохранить жизнь — решения требуется принимать мгновенно, если хочешь сам остаться в живых. Но на этот раз Макс оказался в запутанной ситуации. Кто он, этот незнакомец, проникший в его квартиру посреди ночи только для того, чтобы пустить пулю себе в голову? Чем так важен билет на место 14В? И так ли уж невинна прекрасная подруга самого Макса? Мир шпионажа и контршпионажа не оставляет места для ошибок, и Флинн знает, что один­единственный неверный шаг означает смерть.</t>
  </si>
  <si>
    <t>16719</t>
  </si>
  <si>
    <t>978-5-227-06775-3</t>
  </si>
  <si>
    <t>Макс Флинн — агент под прикрытием, и работа у него незавидная — шпионить за своими. Когда убить, кого убить, убить или сохранить жизнь — решения требуется принимать мгновенно, если хочешь сам остаться в живых. Но на этот раз Макс оказался в запутанной ситуации. Кто он, этот незнакомец, проникший в его квартиру посреди ночи только для того, чтобы пустить пулю себе в голову? Чем так важен билет на место 14В? И так ли уж невинна прекрасная подруга самого Макса? Мир шпионажа и контршпионажа не оставляет места для ошибок, и Флинн знает, что один-единственный неверный шаг означает смерть.</t>
  </si>
  <si>
    <t>21565</t>
  </si>
  <si>
    <t>Шпионское грузило</t>
  </si>
  <si>
    <t>978-5-9524-6372-1</t>
  </si>
  <si>
    <t>В третьем романе трилогии «Крючок, леска и грузило» распутывается паутина обмана, погубившая карьеру и брак офицера разведки Бернарда Сэмсона, несправедливо обвиненного в госизмене. Фиона Сэмсон — кто она: неверная супруга и перебежчица или суперагент секретной службы, вынужденная играть вдолгую, чтобы с честью выполнить миссию?..</t>
  </si>
  <si>
    <t>18969</t>
  </si>
  <si>
    <t>Штаб­офицеры и генералы белых армий. Энциклопедический словарь участников Гражданской войны</t>
  </si>
  <si>
    <t>978-5-227-07168-2</t>
  </si>
  <si>
    <t>21717</t>
  </si>
  <si>
    <t>Крамер С.</t>
  </si>
  <si>
    <t>Шумеры. Первая цивилизация на Земле</t>
  </si>
  <si>
    <t>978-5-9524-6399-8</t>
  </si>
  <si>
    <t>В книге представлено полное содержание всех расшифрованных глиняных табличек, повествующих о богах, героях и царях таинственного народа «черноголовых», шумеров, который положил начало мифологии, экономике, астрономии, математике, медицине и кому принадлежит трагический эпос первого героя человечества — Гильгамеша; проводятся параллели с Библией, античными мифами, историей Ассирии и Вавилона.</t>
  </si>
  <si>
    <t>17348</t>
  </si>
  <si>
    <t>Шунгит. Уникальное средство против артира, гастрита, аллергии, псориаза, диабета...</t>
  </si>
  <si>
    <t>978-5-227-07171-2</t>
  </si>
  <si>
    <t>16966</t>
  </si>
  <si>
    <t>Шутки судьбы</t>
  </si>
  <si>
    <t>978-5-227-06934-4</t>
  </si>
  <si>
    <t>20379</t>
  </si>
  <si>
    <t>Шуты гороховые. Картинки с натуры</t>
  </si>
  <si>
    <t>978-5-227-09740-8</t>
  </si>
  <si>
    <t>В этом сборнике рассказов перед читателем предстает парад мест, событий, действующих лиц и ситуаций, характерных для конца XIX века и изображенных в свойственном известному сатирику-классику Н.А. Лейкину ироническом ключе. Во всем можно найти смешную сторону, и все люди, можно сказать, шуты гороховые, если взглянуть с определенного угла, а герои зарисовок-наблюдений автора-юмориста — так уж точно. Однако рассказы отнюдь не однобоки, они не демонстрируют только веселые и до смешного неприглядные стороны человеческой натуры, но и показывают грустные, лирические сцены. Как в прошлом, так и  теперь жизнь на удивление многогранна, и творчество Н.А. Лейкина в полной мере раскрывает ее разносторонность.</t>
  </si>
  <si>
    <t>16130</t>
  </si>
  <si>
    <t>Щедрое сердце</t>
  </si>
  <si>
    <t>978-5-227-06114-0</t>
  </si>
  <si>
    <t>16644</t>
  </si>
  <si>
    <t>Беверли Э</t>
  </si>
  <si>
    <t>Щедрый дар</t>
  </si>
  <si>
    <t>978-5-227-06541-4</t>
  </si>
  <si>
    <t>19563</t>
  </si>
  <si>
    <t>Щедрый подарок судьбы</t>
  </si>
  <si>
    <t>978-5-227-09210-6</t>
  </si>
  <si>
    <t>19303</t>
  </si>
  <si>
    <t>Щенок. Дневничок</t>
  </si>
  <si>
    <t>978-5-227-09303-5</t>
  </si>
  <si>
    <t>2163</t>
  </si>
  <si>
    <t>Мэри Мейн</t>
  </si>
  <si>
    <t>Эвита Женщина с хлыстом</t>
  </si>
  <si>
    <t>5-227-00924-4</t>
  </si>
  <si>
    <t>20748</t>
  </si>
  <si>
    <t>Дэйви М.</t>
  </si>
  <si>
    <t>Эволюция войн. Психологические, социальные и национальные причины военных конфликтов</t>
  </si>
  <si>
    <t>978-5-9524-5996-0</t>
  </si>
  <si>
    <t>В своей книге Морис Дэйви вскрывает психологические, социальные и национальные причины военных конфликтов на заре цивилизации. Автор объясняет сущность межплеменных распрей. Рассказывает, как различия физиологии и психологии полов провоцируют войны. Отчего одни народы воинственнее других и существует ли объяснение известного факта, что в одних регионах царит мир, тогда как в других нескончаемы столкновения. Как повлияло на характер конфликтов совершенствование оружия. Каковы первопричины каннибализма, рабства и кровной мести. В чем состоит религиозная подоплека войн. Где и почему была популярна охота за головами. Как велись войны за власть. И наконец, как войны сказались на развитии общества.</t>
  </si>
  <si>
    <t>21679</t>
  </si>
  <si>
    <t>Эволюция вооружения Европы. От походов викингов до Наполеоновских войн</t>
  </si>
  <si>
    <t>978-5-9524-6375-2</t>
  </si>
  <si>
    <t>Книга известного ученого Джека Коггинса представляет подробнейший обзор эволюции вооружения Европы. Исследование включает историю развития оружия, обмундирования и классификацию военных чинов, характерных для ведущих мировых держав. Применение различных видов оружия рассматривается на примере ведения боя у викингов, испанцев, британцев, шведов и французов._x000D_
Перед читателем возникает целостная картина развития военного дела Европы, важным этапом которого стало появление огнестрельного оружия.</t>
  </si>
  <si>
    <t>21436</t>
  </si>
  <si>
    <t>Эволюция оружия. От каменной дубинки до гаубицы</t>
  </si>
  <si>
    <t>978-5-9524-6261-8</t>
  </si>
  <si>
    <t>В основу оригинальной классификации автора этой книги Оливера Хогга легла теория мотивированной агрессии, проявляемой человеком на протяжении всего исторического развития. Он рассматривает виды личного вооружения (мечи, копья, дубины, луки), доспехов (кольчуги, туники, шлемы), роды военных машин (катапульты, арбалеты, гаубицы), различные типы пушек, кораблей (биремы, триремы и др.), разновидности взрывчатых веществ (инициирующие, метательные, бризантные). Хогг описывает военные организации Древнего мира: египетские отряды ополченцев, «царский полк» Ассирии, флот Карфагена, греческие фаланги и легионы Рима — одна из лучших армий мира. Книга включает в себя большое количество редких иллюстраций.</t>
  </si>
  <si>
    <t>21638</t>
  </si>
  <si>
    <t>Эгрегоры и система управления реальностью</t>
  </si>
  <si>
    <t>978-5-227-11018-3</t>
  </si>
  <si>
    <t>Построение системы внутренней и внешней свободы — кропотливый труд. Никто не подарит вам свободу, её нужно добывать, завоёвывать и отстаивать. Данная книга — серьёзное подспорье для тех, кто идёт по пути обретения прав — настоящих, а не данных взаймы._x000D_
В первой части вы найдёте важную информацию об устройстве миросети и откроете для себя реальность со стороны управления ею. Систематизация собственных ценностей и убеждений в иной иерархии позволит изменить течение судьбы._x000D_
Вторая часть посвящена эгрегорам как системным образованиям, которые управляют жизнью людей, подчиняя их себе. Можно ли этого избежать? Понять принцип и цель? Научиться управлять?_x000D_
Третья часть поможет в познании потоков сил и позволит вам увидеть мир, в котором выдалось жить, несколько шире. Увидеть и почувствовать течение силы, научиться взаимодействовать с нею — истинная свобода. Тот, кто познал её хоть раз, не сможет более хотеть ничего иного._x000D_
Ищите свою силу, зовите её. Проявленная однажды, она откликнется снова. А найдя, больше не теряйте._x000D_
Прежде чем откроете эту книгу, вы должны знать следующее. В этом мире идут процессы, цель которых не вращается вокруг человека. И он, человек, лишь малая часть огромного организма сил. Постигнуть наш мир человеческому сознанию невозможно в одночасье — всему нужно учиться. Процесс обучения труден порой, но он нужен — в любой форме, в любом виде. Отрицание чего-либо всегда происходит от недостатка знаний, а невозможность принять познанное и найти ему применение — от недостатка любви. Это не вина человека, но необходимость научиться правильно смотреть на вещи. Не читайте эту книгу, если считаете иначе. Читайте эту книгу, если согласны.</t>
  </si>
  <si>
    <t>18443</t>
  </si>
  <si>
    <t>Эзотерика успеха. Раскрываем свои потенциалы, таланты, предназначение</t>
  </si>
  <si>
    <t>978-5-227-08291-6</t>
  </si>
  <si>
    <t>17463</t>
  </si>
  <si>
    <t>Экзамен для плейбоя</t>
  </si>
  <si>
    <t>978-5-227-07470-6</t>
  </si>
  <si>
    <t>18637</t>
  </si>
  <si>
    <t>Экзотическое искушение</t>
  </si>
  <si>
    <t>978-5-227-08512-2</t>
  </si>
  <si>
    <t>21511</t>
  </si>
  <si>
    <t>Пири А.</t>
  </si>
  <si>
    <t>Экономическая диверсия нацистской Германии. Операция «Бернхард». 1941—1945</t>
  </si>
  <si>
    <t>978-5-9524-6324-0</t>
  </si>
  <si>
    <t>Для дестабилизации британской экономики, оплаты важного импорта и работ агентов германской разведки во время Второй мировой войны в Германии была разработана и секретно введена в действие операция по массовому изготовлению поддельных банкнотов. Руководитель ее штурмбаннфюрер СС Бернхард Крюгер подобрал среди заключенных-евреев из концлагерей команду из граверов, печатников, художников и фальшивомонетчиков. По окончании проекта всех участников операции «Бернхард» гитлеровцы собирались уничтожить, но не успели, заключенные были освобождены американскими войсками. Антони Пири сделал попытку реконструировать события этой нацистской авантюры.</t>
  </si>
  <si>
    <t>4062</t>
  </si>
  <si>
    <t>Котляров</t>
  </si>
  <si>
    <t>Экономические отношения КНР с США</t>
  </si>
  <si>
    <t>5-9524-0479-0</t>
  </si>
  <si>
    <t>19146</t>
  </si>
  <si>
    <t>Эксклюзивное соблазнение</t>
  </si>
  <si>
    <t>978-5-227-08963-2</t>
  </si>
  <si>
    <t>17376</t>
  </si>
  <si>
    <t>Экспансия</t>
  </si>
  <si>
    <t>978-5-227-07442-3</t>
  </si>
  <si>
    <t>18776</t>
  </si>
  <si>
    <t>Экстаз случайной встречи</t>
  </si>
  <si>
    <t>978-5-227-08667-9</t>
  </si>
  <si>
    <t>14688</t>
  </si>
  <si>
    <t>Экстремальная любовь</t>
  </si>
  <si>
    <t>978-5-227-04667-3</t>
  </si>
  <si>
    <t>8849</t>
  </si>
  <si>
    <t>Экстремальная Маргарита</t>
  </si>
  <si>
    <t>978-5-9824-3066-2</t>
  </si>
  <si>
    <t>18213</t>
  </si>
  <si>
    <t>Пало А.</t>
  </si>
  <si>
    <t>Экстремальные ласки</t>
  </si>
  <si>
    <t>978-5-22708201-5</t>
  </si>
  <si>
    <t>16654</t>
  </si>
  <si>
    <t>Экстремальные отношения</t>
  </si>
  <si>
    <t>978-5-227-06542-1</t>
  </si>
  <si>
    <t>16889</t>
  </si>
  <si>
    <t>Экстремальный соблазн</t>
  </si>
  <si>
    <t>978-5-227-06832-3</t>
  </si>
  <si>
    <t>13094</t>
  </si>
  <si>
    <t>Эль Сид</t>
  </si>
  <si>
    <t>978-5-227-03184-6</t>
  </si>
  <si>
    <t>19452</t>
  </si>
  <si>
    <t>Бектурганов А.</t>
  </si>
  <si>
    <t>Энуэмент</t>
  </si>
  <si>
    <t>978-5-227-09279-3</t>
  </si>
  <si>
    <t>21822</t>
  </si>
  <si>
    <t>Энциклопедия всенародной глупости</t>
  </si>
  <si>
    <t>978-5-227-11158-6</t>
  </si>
  <si>
    <t>Представляем вашему вниманию новую книгу горячо люби¬мого жителями России писателя-сатирика, драматурга, юмориста — Михаила Задорнова. В «¬Энциклопедии всенародной глупости» речь пойдёт, несмотря на название, о вполне серьёзных вещах. Понаблюдайте, над чем смеются ваши приятели, коллеги на работе, и вы многое о них узнаете: что им дорого, что их тревожит, чем они живут и чего не понимают… Ведь хохот — это голос души. К тому же не секрет, что благодаря шутке может разрешиться давний конфликт, а может и возникнуть новый. Поэтому, разделив книгу на два полюса: «Они» и «Мы», автор хотел утвердить читателя в мысли, что нет ничего благотворнее умения человека, будь он русский или американец, в первую очередь смеяться над собой! А уж потом…_x000D_
Авторство этой книги Михаил Николаевич разделяет со всеми своими читателями и зрителями, теми, кто присылает на его элект¬ронную почту свои забавные случаи из собственного опыта, и не исключено, что кто-то увидит в этой книге историю из своей жизни._x000D_
Приятного чтения!</t>
  </si>
  <si>
    <t>16779</t>
  </si>
  <si>
    <t>Михайлова Л.И.</t>
  </si>
  <si>
    <t>Энциклопедия народной медицины</t>
  </si>
  <si>
    <t>978-5-227-06673-2</t>
  </si>
  <si>
    <t>21691</t>
  </si>
  <si>
    <t>Э УВЛ</t>
  </si>
  <si>
    <t>Белл Р.</t>
  </si>
  <si>
    <t>Энциклопедия настольных игр народов мира</t>
  </si>
  <si>
    <t>978-5-9524-5606-8</t>
  </si>
  <si>
    <t>Вы держите в руках уникальное издание, где можно найти детальное описание около ста игр всех времен и народов — как широко распространенных (шахматы, шашки), так и малоизвестных (манкала, тафл). Эта книга, где собраны игры на любой вкус, доставит вам немало приятных минут при чтении и станет прекрасным пополнением вашей домашней библиотеки.</t>
  </si>
  <si>
    <t>7949</t>
  </si>
  <si>
    <t>Энциклопедия подарков и поздравлений</t>
  </si>
  <si>
    <t>978-5-9524-2778-5</t>
  </si>
  <si>
    <t>11626</t>
  </si>
  <si>
    <t>Энциклопедия счастливых имен</t>
  </si>
  <si>
    <t>978-5-9524-4678-6</t>
  </si>
  <si>
    <t>21651</t>
  </si>
  <si>
    <t>ЭТИКЕТ НОВ</t>
  </si>
  <si>
    <t>Энциклопедия этикета. Все о правилах хорошего тона</t>
  </si>
  <si>
    <t>978-5-9524-6416-2</t>
  </si>
  <si>
    <t>«Энциклопедия этикета» — настольная книга для тех, кто хочет знать, как правильно вести себя в самых разных ситуациях и не совершать оплошностей, иметь хорошие манеры и безупречный внешний вид, быть приятным собеседником и уверенным в себе человеком дома, на работе и в гостях как в своей стране, так и за границей.</t>
  </si>
  <si>
    <t>21335</t>
  </si>
  <si>
    <t>Чу А.Ф.</t>
  </si>
  <si>
    <t>Эпопея советско-финской Зимней войны 1939—1940 годов. Сухопутные, воздушные и морские операции</t>
  </si>
  <si>
    <t>978-5-9524-6232-8</t>
  </si>
  <si>
    <t>Успешное сопротивление финских войск на первом этапе так называемой Зимней войны повлекло за собой значительные потери противоборствующих сторон. Но в результате дальнейших действий советских соединений финская армия оказалась на грани поражения, что вынудило правительство Финляндии перейти к переговорам. Американский военный историк Аллен Ф. Чу основывает свое исследование драматических военных столкновений зимой 1939—1940 гг. между Финляндией и Советским Союзом на материалах официальных финских архивов, на сведениях, полученных от участников событий, занимавших высокие военные должности, и советских источниках. Автор анализирует характер отношений СССР и Финляндии, причины инцидента, приготовления к военным действиям, ход боевых операций и результаты этой войны. Книга снабжена подробными картами, поясняющими повествование.</t>
  </si>
  <si>
    <t>19355</t>
  </si>
  <si>
    <t>Грёнбек В.</t>
  </si>
  <si>
    <t>Эпоха викингов. Мир богов и мир людей в мифах северных германцев</t>
  </si>
  <si>
    <t>978-5-9524-5461-3</t>
  </si>
  <si>
    <t>17992</t>
  </si>
  <si>
    <t>Эпоха Владимира Путина. К вопросу об исторической миссии второго президента России</t>
  </si>
  <si>
    <t>978-5-227-07829-2</t>
  </si>
  <si>
    <t>17194</t>
  </si>
  <si>
    <t>Эпоха единства Древней Руси. От Владимира Святого до Ярослава Мудрого</t>
  </si>
  <si>
    <t>978-5-227-07135-4</t>
  </si>
  <si>
    <t>21230</t>
  </si>
  <si>
    <t>Эра великих географических открытий. История европейских морских экспедиций к неизведанным континентам в XV—XVII веках</t>
  </si>
  <si>
    <t>978-5-9524-6172-7</t>
  </si>
  <si>
    <t>Известный британский ученый профессор Джон Перри представляет  историю европейских географических исследований и открытий, развития торговли и поселений за пределами Европы с начала XV до конца XVII века. Это была эра, когда Европа открывала для себя мир за пределами своей территории. Она началась с Генриха Мореплавателя и португальских путешествий и закончилась 250 лет спустя, когда «разведка» была почти завершена. Профессор Перри рассматривает политические, экономические и религиозные стимулы, побудившие европейцев к исследованиям и завоеваниям, а также анализирует природу и проблемы их поселений на колонизированных землях. Автор обращает внимание на то, что эта эпоха стала свидетелем не только самого быстрого распространения географических знаний в Европе, но и началом тесной связи чистой науки и техники с практической жизнью. И отмечает, что именно в этот период, особенно во второй его половине, европейские ученые наметили контуры физической Вселенной, которую мы знаем._x000D_
Старинные гравюры добавляют информации и украшают повествование.</t>
  </si>
  <si>
    <t>13401</t>
  </si>
  <si>
    <t>Эрик. Железом и кровью</t>
  </si>
  <si>
    <t>978-5-227-03562-2</t>
  </si>
  <si>
    <t>21663</t>
  </si>
  <si>
    <t>Этикет деловой и общегражданский. История и современность. Руководство для воспитанных людей</t>
  </si>
  <si>
    <t>978-5-227-10885-2</t>
  </si>
  <si>
    <t>Манеры, вежливость, учтивость, умение вести себя в обществе были важны во все времена, и пусть со временем правила могли поменяться, значимость их осталась неизменной. Цель этой книги — познакомить читателя с основами бытового, в том числе праздничного, и делового этикета: культурой речи и поведения, искусством комплиментов и мастерством дискуссии, правилами застолья и сервировки, этикой служебных взаимоотношений и особенностями поведения на переговорах с представителями разных стран. Помимо норм современного этикета, значительное внимание в книге уделено старинным нормам поведения в обществе, приведены обширные фрагменты из книг XVIII и XIX веков соответствующей тематики, дающие хорошее представление об истории вопроса. Возможно, некоторые из описанных там правил вызовут улыбку, но многие актуальны и на сегодняшний день.</t>
  </si>
  <si>
    <t>16466</t>
  </si>
  <si>
    <t>Это и есть любовь?</t>
  </si>
  <si>
    <t>978-5-227-06390-8</t>
  </si>
  <si>
    <t>16729</t>
  </si>
  <si>
    <t>Хадра Я.</t>
  </si>
  <si>
    <t>Это как день посреди ночи</t>
  </si>
  <si>
    <t>978-5-227-06724-1</t>
  </si>
  <si>
    <t>0118</t>
  </si>
  <si>
    <t>Это не мое дело</t>
  </si>
  <si>
    <t>978-5-227-07023-4</t>
  </si>
  <si>
    <t>0136</t>
  </si>
  <si>
    <t>Это серьезно</t>
  </si>
  <si>
    <t>978-5-227-07024-1</t>
  </si>
  <si>
    <t>15876</t>
  </si>
  <si>
    <t>Это только начало</t>
  </si>
  <si>
    <t>978-5-227-05833-1</t>
  </si>
  <si>
    <t>5260</t>
  </si>
  <si>
    <t>Этюд в багровых штанах</t>
  </si>
  <si>
    <t>5-9524-1348-X</t>
  </si>
  <si>
    <t>11550</t>
  </si>
  <si>
    <t>КНИГА-ТРЕНИНГ</t>
  </si>
  <si>
    <t>Журавлева Г.</t>
  </si>
  <si>
    <t>Эффективное управление своей жизнью на 200 % Советы для тех кто никогда ничего не успевает</t>
  </si>
  <si>
    <t>978-5-9524-4533-8</t>
  </si>
  <si>
    <t>21876</t>
  </si>
  <si>
    <t>Эхнатон. Фараон-вероотступник</t>
  </si>
  <si>
    <t>978-5-9524-6236-6</t>
  </si>
  <si>
    <t>Артур Вейгалл, принимавший участие в раскопках в Египте, избегая предвзятых оценок и непроверенных мнений, предлагает увлекательную и наиболее полную из существующих биографий египетского фараона Аменхотепа IV, который вошел в историю как религиозный реформатор. Утвердивший культ единого бога Атона, он принял имя Эхнатон — «угодный Атону».</t>
  </si>
  <si>
    <t>20866</t>
  </si>
  <si>
    <t>Эхо неугасшей любви</t>
  </si>
  <si>
    <t>978-5-227-10185-3</t>
  </si>
  <si>
    <t>Керен с детства мечтала о дальних странах и, как только окончила школу, отправилась путешествовать. Свои впечатления она выкладывала в Интернет и даже неплохо на этом зарабатывала. Однажды Керен познакомилась с красавцем Яннисом. То, что он наследник богатой аристократической семьи, не помешало молодым людям полюбить друг друга и пожениться. Родители мужа приняли Керен, несмотря на ее простое происхождение. Жизнь складывалась счастливо, но все изменилось, когда супруги потеряли дочь. Отношения разладились. Керен казалось, что муж не разделяет ее боль и слишком много внимания оказывает своей помощнице…</t>
  </si>
  <si>
    <t>19134</t>
  </si>
  <si>
    <t>Эшафот и деньги, или Ошибка Азефа</t>
  </si>
  <si>
    <t>978-5-227-07914-5</t>
  </si>
  <si>
    <t>10683</t>
  </si>
  <si>
    <t>ЮАР наизнанку</t>
  </si>
  <si>
    <t>978-5-9524-3845-3</t>
  </si>
  <si>
    <t>21527</t>
  </si>
  <si>
    <t>Ювелирные сокровища Российского императорского двора</t>
  </si>
  <si>
    <t>978-5-227-10997-2</t>
  </si>
  <si>
    <t>Сияние бесчисленных драгоценных камней на протяжении столетий было «визитной карточкой» Российского императорского двора. Все мемуаристы, особенно иностранцы, в один голос писали о ювелирном блеске, бывшем неотъемлемой частью парадных церемоний. Ослепительное сверкание бриллиантов, матовое мерцание золота и благородного серебра, жемчужные россыпи, смарагды и яхонты — вся эта роскошь ждет читателя на страницах книги. Вы прочтете о ювелирных «брендах» и ювелирах-поставщиках императорского двора, ювелирных наградах и подарках и даже о кражах в императорских резиденциях. Вас ждут реальные документы с описью коронных бриллиантов, ювелирные альбомы Марии Федоровны и Николая II с эскизами украшений и многое другое._x000D_
Книга построена на архивных документах, и поэтому авторы надеются, что читатели сумеют открыть для себя новые страницы, связанные с удивительным миром российского ювелирного искусства.</t>
  </si>
  <si>
    <t>21796</t>
  </si>
  <si>
    <t>Юлий Цезарь. Жрец Юпитера</t>
  </si>
  <si>
    <t>978-5-9524-6446-9</t>
  </si>
  <si>
    <t>Майкл Грант предлагает увлекательную и наиболее полную из существующих биографий Цезаря, избегая предвзятых оценок и непроверенных мнений. Грант использует не только свидетельства великих историков древности, но и достижения современной научной мысли. В книге воссозданы реалии политики, экономики и быта Древнего Рима.</t>
  </si>
  <si>
    <t>16448</t>
  </si>
  <si>
    <t>Гофман В.</t>
  </si>
  <si>
    <t>Юрий Анненков. Русский период. Французский период</t>
  </si>
  <si>
    <t>978-5-227-06357-1</t>
  </si>
  <si>
    <t>16828</t>
  </si>
  <si>
    <t>Боброва Н.А.</t>
  </si>
  <si>
    <t>Юрий Богатырев. Чужой среди своих</t>
  </si>
  <si>
    <t>978-5-227-06575-9</t>
  </si>
  <si>
    <t>19502</t>
  </si>
  <si>
    <t>Я - убийца</t>
  </si>
  <si>
    <t>978-5-227-09285-4</t>
  </si>
  <si>
    <t>21259</t>
  </si>
  <si>
    <t>Раневская Ф.Г.</t>
  </si>
  <si>
    <t>Я — многообразная старуха</t>
  </si>
  <si>
    <t>978-5-227-10736-7</t>
  </si>
  <si>
    <t>Фаина Георгиевна Раневская — российская и советская актриса театра и кино, народная артистка СССР, кавалер ордена Ленина, лауреат трех Сталинских премий, ее именем в 1986 году был назван астероид… Самобытная и талантливая, она долгие годы своей жизни отдала театру, однако больше знакома нам по ярким и запоминающимся киноролям. Но большинство из нас любят и помнят ее не за это. Умная и самоироничная, она колола языком как жалом, но в то же время была ранимая. Она могла запросто раздать половину зарплаты нуждающимся и подбрасывала подарки в карманы уходящим гостям… Эта удивительная женщина была воплощением противоречия: хотела любить, но была одинока. Одни искали с ней встреч, другие избегали, одни боготворили, другие боялись и впадали в ступор, попав под словесный «обстрел» ее парадоксальной натуры. Именно острословие и искрометный юмор сделали Фаину Георгиевну любимицей многих. В беседах Раневская не стеснялась в выражениях, ее гениальные фразы разбирались на цитаты и сразу разлетались по городам и весям. Она была неудобной актрисой на сцене, а иногда и человеком в быту, потому, что остро реагировала на фальшь и ложь. Ее язвительная мудрость была, есть и будет актуальной.</t>
  </si>
  <si>
    <t>17149</t>
  </si>
  <si>
    <t>Я буду говорить по-английски! I shall speak English! Ускоренный курс английского языка</t>
  </si>
  <si>
    <t>978-5-227-07112-5</t>
  </si>
  <si>
    <t>19571</t>
  </si>
  <si>
    <t>Гумилев Н.С.</t>
  </si>
  <si>
    <t>Я буду думать лишь о вас, о вас…</t>
  </si>
  <si>
    <t>978-5-227-09445-2</t>
  </si>
  <si>
    <t>21037</t>
  </si>
  <si>
    <t>Цветаева М.А</t>
  </si>
  <si>
    <t>Я Вас люблю всю жизнь и каждый день</t>
  </si>
  <si>
    <t>978-5-227-10589-9</t>
  </si>
  <si>
    <t>«Все дело в том, чтобы мы любили, чтобы у нас билось сердце — хотя бы разбивалось вдребезги! Я всегда разбивалась вдребезги, и все мои стихи — те самые серебряные сердечные дребезги» — слова одного из самых ярких и талантливых поэтов XX века Марины Цветаевой. Трогательные и дерзкие, кричащие и чуть слышные в звенящей тишине стихи Цветаевой написаны не разумом, а душой и сердцем. Ее бессмертные строфы полны внутренней свободы, лирической силы и неподдельной искренности. «Крупнее Цветаевой в нашем столетии нет поэта», — сказал Иосиф Бродский. Ее творчество знают и любят миллионы людей, и не только в России, но и по всему миру. Откройте книгу, окунитесь в волшебный мир поэзии Марины Цветаевой и насладитесь неповторимой любовной лирикой.</t>
  </si>
  <si>
    <t>19734</t>
  </si>
  <si>
    <t>Я всех их знал. История моих знакомств, серьёзных и не очень</t>
  </si>
  <si>
    <t>978-5-227-09528-2</t>
  </si>
  <si>
    <t>15278</t>
  </si>
  <si>
    <t>Я выбираю тебя</t>
  </si>
  <si>
    <t>978-5-227-05273-5</t>
  </si>
  <si>
    <t>10875</t>
  </si>
  <si>
    <t>Я и мои друзья. Психологические тесты</t>
  </si>
  <si>
    <t>978-5-9524-3987-0</t>
  </si>
  <si>
    <t>10675</t>
  </si>
  <si>
    <t>Я и моя семья. Психологические тесты</t>
  </si>
  <si>
    <t>978-5-9524-3901-6</t>
  </si>
  <si>
    <t>17224</t>
  </si>
  <si>
    <t>Пегов С.</t>
  </si>
  <si>
    <t>Я и рыжий сепар</t>
  </si>
  <si>
    <t>978-5-227-06617-6</t>
  </si>
  <si>
    <t>17950</t>
  </si>
  <si>
    <t>О' Санчес</t>
  </si>
  <si>
    <t>Я Кирпич</t>
  </si>
  <si>
    <t>978-5-227-08063-9</t>
  </si>
  <si>
    <t>0119</t>
  </si>
  <si>
    <t>Я сам похороню своих мертвых</t>
  </si>
  <si>
    <t>978-5-227-07025-8</t>
  </si>
  <si>
    <t>6006</t>
  </si>
  <si>
    <t>Сеф</t>
  </si>
  <si>
    <t>Я сделал крылья и летал</t>
  </si>
  <si>
    <t>5-9524-1756-6</t>
  </si>
  <si>
    <t>16168</t>
  </si>
  <si>
    <t>Я тебя узнала</t>
  </si>
  <si>
    <t>978-5-227-06143-0</t>
  </si>
  <si>
    <t>19865</t>
  </si>
  <si>
    <t>Я требую… свадьбу!</t>
  </si>
  <si>
    <t>978-5-227-09487-2</t>
  </si>
  <si>
    <t>7753</t>
  </si>
  <si>
    <t>ШАГАНОВ</t>
  </si>
  <si>
    <t>Шаганов А.</t>
  </si>
  <si>
    <t>Я Шаганов по Москве</t>
  </si>
  <si>
    <t>978-5-9524-2607-8</t>
  </si>
  <si>
    <t>12168</t>
  </si>
  <si>
    <t>Энцлер Ив</t>
  </si>
  <si>
    <t>Я- эмоциональное создание</t>
  </si>
  <si>
    <t>978-5-227-02335-3</t>
  </si>
  <si>
    <t>19509</t>
  </si>
  <si>
    <t>Я, Лунин…</t>
  </si>
  <si>
    <t>978-5-227-09299-1</t>
  </si>
  <si>
    <t>17241</t>
  </si>
  <si>
    <t>Макменде Д.</t>
  </si>
  <si>
    <t>Я, Рейван</t>
  </si>
  <si>
    <t>978-5-227-07307-5</t>
  </si>
  <si>
    <t>16339</t>
  </si>
  <si>
    <t>Ягоды годжи Эликсир здоровья и долголетия</t>
  </si>
  <si>
    <t>978-5-227-05549-1</t>
  </si>
  <si>
    <t>16875</t>
  </si>
  <si>
    <t>Ягоды и фрукты</t>
  </si>
  <si>
    <t>978-5-227-06915-3</t>
  </si>
  <si>
    <t>20121</t>
  </si>
  <si>
    <t>Ирвинг Д.</t>
  </si>
  <si>
    <t>Ядерное оружие Третьего рейха. Немецкие физики на службе гитлеровской Германии</t>
  </si>
  <si>
    <t>978-5-9524-5701-0</t>
  </si>
  <si>
    <t>19408</t>
  </si>
  <si>
    <t>Язва желудка и двенадцатиперстной кишки. Народные методы лечения</t>
  </si>
  <si>
    <t>978-5-227-07172-9</t>
  </si>
  <si>
    <t>5592</t>
  </si>
  <si>
    <t>Язвенная болезнь Профилактика и методы лечения</t>
  </si>
  <si>
    <t>5-9524-1590-3</t>
  </si>
  <si>
    <t>17346</t>
  </si>
  <si>
    <t>Язык сна или сила сновидений</t>
  </si>
  <si>
    <t>978-5-227-07361-7</t>
  </si>
  <si>
    <t>17327</t>
  </si>
  <si>
    <t>Янтарная сказка</t>
  </si>
  <si>
    <t>978-5-227-07318-1</t>
  </si>
  <si>
    <t>5892</t>
  </si>
  <si>
    <t>Японская кухня</t>
  </si>
  <si>
    <t>5-9524-1792-2</t>
  </si>
  <si>
    <t>14761</t>
  </si>
  <si>
    <t>Макмаон Б.</t>
  </si>
  <si>
    <t>Ярмарка чудес</t>
  </si>
  <si>
    <t>978-5-227-04716-8</t>
  </si>
  <si>
    <t>20791</t>
  </si>
  <si>
    <t>Ящик Пандоры</t>
  </si>
  <si>
    <t>978-5-227-09821-4</t>
  </si>
  <si>
    <t>Случайная находка на берегу Балтийского моря дает толчок чудовищной эпидемии, распространяющейся по России со скоростью лесного пожара. Первой жертвой болезни становится Петербург. Скорость заражения и высокая летальность вируса вынуждает власти закрыть город на жесткий карантин. Но это провоцирует рост насилия и беззакония. Предчувствие смерти высвобождает в людях порой не самые благородные чувства… Дочь Сергея Авдеева, бывшего офицера спецслужб, тоже поразил вирус. Знакомый врач сообщает, что в профильном научном институте удалось получить вакцину, но это всего лишь опытный образец, не испытанный, не сертифицированный… Отчаявшийся отец готов ухватиться за самый мизерный шанс спасти дочь. Но ему нужно доставить девушку в институт. А значит — пересечь ночной город, ставший смертельно опасной полосой препятствий…</t>
  </si>
</sst>
</file>

<file path=xl/styles.xml><?xml version="1.0" encoding="utf-8"?>
<styleSheet xmlns="http://schemas.openxmlformats.org/spreadsheetml/2006/main">
  <fonts count="12">
    <font>
      <sz val="8"/>
      <name val="Arial"/>
      <family val="2"/>
      <charset val="204"/>
    </font>
    <font>
      <sz val="6"/>
      <name val="Arial"/>
      <family val="2"/>
      <charset val="204"/>
    </font>
    <font>
      <b/>
      <i/>
      <sz val="14"/>
      <name val="Arial"/>
      <family val="2"/>
      <charset val="204"/>
    </font>
    <font>
      <sz val="6"/>
      <name val="Arial"/>
      <family val="2"/>
      <charset val="204"/>
    </font>
    <font>
      <b/>
      <sz val="8"/>
      <name val="Arial"/>
      <family val="2"/>
      <charset val="204"/>
    </font>
    <font>
      <b/>
      <sz val="8"/>
      <name val="Arial"/>
      <family val="2"/>
      <charset val="204"/>
    </font>
    <font>
      <i/>
      <sz val="8"/>
      <name val="Microsoft Sans Serif"/>
      <family val="2"/>
      <charset val="204"/>
    </font>
    <font>
      <b/>
      <u/>
      <sz val="8"/>
      <name val="Microsoft Sans Serif"/>
      <family val="2"/>
      <charset val="204"/>
    </font>
    <font>
      <i/>
      <sz val="6"/>
      <name val="Microsoft Sans Serif"/>
      <family val="2"/>
      <charset val="204"/>
    </font>
    <font>
      <b/>
      <i/>
      <u/>
      <sz val="10"/>
      <name val="Times New Roman"/>
      <family val="1"/>
      <charset val="204"/>
    </font>
    <font>
      <u/>
      <sz val="8"/>
      <color theme="10"/>
      <name val="Arial"/>
      <family val="2"/>
      <charset val="204"/>
    </font>
    <font>
      <b/>
      <u/>
      <sz val="8"/>
      <color theme="10"/>
      <name val="Arial"/>
      <family val="2"/>
      <charset val="204"/>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horizontal="left"/>
    </xf>
    <xf numFmtId="0" fontId="10" fillId="0" borderId="0" applyNumberFormat="0" applyFill="0" applyBorder="0" applyAlignment="0" applyProtection="0">
      <alignment vertical="top"/>
      <protection locked="0"/>
    </xf>
  </cellStyleXfs>
  <cellXfs count="39">
    <xf numFmtId="0" fontId="0" fillId="0" borderId="0" xfId="0" applyAlignment="1"/>
    <xf numFmtId="0" fontId="1" fillId="0" borderId="0" xfId="0" applyFont="1" applyAlignment="1"/>
    <xf numFmtId="0" fontId="0" fillId="0" borderId="0" xfId="0" applyAlignment="1">
      <alignment horizontal="left" wrapText="1"/>
    </xf>
    <xf numFmtId="0" fontId="0" fillId="0" borderId="0" xfId="0" applyFont="1" applyAlignment="1"/>
    <xf numFmtId="0" fontId="3" fillId="0" borderId="0" xfId="0" applyFont="1" applyAlignment="1">
      <alignment horizontal="left"/>
    </xf>
    <xf numFmtId="0" fontId="0" fillId="0" borderId="0" xfId="0" applyFont="1" applyAlignment="1">
      <alignment horizontal="left"/>
    </xf>
    <xf numFmtId="0" fontId="0" fillId="0" borderId="0" xfId="0" applyFont="1" applyAlignment="1">
      <alignment horizontal="left" wrapText="1"/>
    </xf>
    <xf numFmtId="0" fontId="4" fillId="0" borderId="0" xfId="0" applyFont="1" applyAlignment="1"/>
    <xf numFmtId="0" fontId="4" fillId="0" borderId="0" xfId="0" applyFont="1" applyAlignment="1">
      <alignment horizontal="left"/>
    </xf>
    <xf numFmtId="0" fontId="5"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centerContinuous"/>
    </xf>
    <xf numFmtId="0" fontId="4" fillId="0" borderId="0" xfId="0" applyFont="1" applyAlignment="1">
      <alignment horizontal="centerContinuous" wrapText="1"/>
    </xf>
    <xf numFmtId="0" fontId="3" fillId="0" borderId="0" xfId="0" applyFont="1" applyAlignment="1">
      <alignment horizontal="right"/>
    </xf>
    <xf numFmtId="0" fontId="0" fillId="0" borderId="0" xfId="0" applyFont="1" applyAlignment="1">
      <alignment horizontal="right"/>
    </xf>
    <xf numFmtId="0" fontId="8" fillId="0" borderId="0" xfId="0" applyFont="1" applyAlignment="1">
      <alignment horizontal="right" vertical="top"/>
    </xf>
    <xf numFmtId="0" fontId="9" fillId="0" borderId="0" xfId="0" applyFont="1" applyAlignment="1">
      <alignment horizontal="left" vertical="center"/>
    </xf>
    <xf numFmtId="0" fontId="0"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0" xfId="0" applyFont="1" applyAlignment="1">
      <alignment vertical="center"/>
    </xf>
    <xf numFmtId="0" fontId="2" fillId="0" borderId="0" xfId="0" applyFont="1" applyAlignment="1">
      <alignment horizontal="left"/>
    </xf>
    <xf numFmtId="0" fontId="4" fillId="0" borderId="0" xfId="0" applyFont="1" applyAlignment="1">
      <alignment horizontal="left"/>
    </xf>
    <xf numFmtId="0" fontId="6" fillId="0" borderId="0" xfId="0" applyFont="1" applyAlignment="1">
      <alignment horizontal="right"/>
    </xf>
    <xf numFmtId="0" fontId="7" fillId="0" borderId="0" xfId="0" applyFont="1" applyAlignment="1">
      <alignment horizontal="left"/>
    </xf>
    <xf numFmtId="0" fontId="4" fillId="0" borderId="0" xfId="0" applyFont="1" applyAlignment="1">
      <alignment horizontal="right"/>
    </xf>
    <xf numFmtId="0" fontId="3" fillId="0" borderId="0" xfId="0" applyFont="1" applyAlignment="1">
      <alignment horizontal="left"/>
    </xf>
    <xf numFmtId="0" fontId="0" fillId="0" borderId="0" xfId="0" applyFont="1" applyAlignment="1">
      <alignment horizontal="right"/>
    </xf>
    <xf numFmtId="0" fontId="0" fillId="0" borderId="0" xfId="0" applyFont="1" applyAlignment="1">
      <alignment horizontal="left"/>
    </xf>
    <xf numFmtId="0" fontId="0" fillId="0" borderId="2" xfId="0" applyFont="1" applyBorder="1" applyAlignment="1"/>
    <xf numFmtId="49" fontId="0" fillId="0" borderId="2" xfId="0" applyNumberFormat="1" applyFont="1" applyBorder="1" applyAlignment="1"/>
    <xf numFmtId="0" fontId="0" fillId="0" borderId="2" xfId="0" applyFont="1" applyBorder="1" applyAlignment="1">
      <alignment horizontal="left" vertical="top" wrapText="1"/>
    </xf>
    <xf numFmtId="0" fontId="11" fillId="0" borderId="2" xfId="1" applyFont="1" applyBorder="1" applyAlignment="1" applyProtection="1">
      <alignment horizontal="left" vertical="center"/>
    </xf>
    <xf numFmtId="4" fontId="0" fillId="0" borderId="2" xfId="0" applyNumberFormat="1" applyFont="1" applyBorder="1" applyAlignment="1"/>
    <xf numFmtId="0" fontId="0" fillId="0" borderId="2" xfId="0" applyFont="1" applyBorder="1" applyAlignment="1">
      <alignment wrapText="1"/>
    </xf>
    <xf numFmtId="0" fontId="0" fillId="0" borderId="3" xfId="0" applyBorder="1" applyAlignment="1"/>
    <xf numFmtId="0" fontId="1" fillId="0" borderId="3" xfId="0" applyFont="1" applyBorder="1" applyAlignment="1"/>
  </cellXfs>
  <cellStyles count="2">
    <cellStyle name="Гиперссылка" xfId="1" builtinId="8"/>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S4988"/>
  <sheetViews>
    <sheetView tabSelected="1" workbookViewId="0"/>
  </sheetViews>
  <sheetFormatPr defaultRowHeight="11.25"/>
  <cols>
    <col min="1" max="1" width="3" customWidth="1"/>
    <col min="2" max="2" width="10.33203125" customWidth="1"/>
    <col min="3" max="4" width="13.83203125" style="1" customWidth="1"/>
    <col min="5" max="5" width="21.5" customWidth="1"/>
    <col min="6" max="6" width="4.33203125" customWidth="1"/>
    <col min="7" max="7" width="8" customWidth="1"/>
    <col min="8" max="9" width="4.6640625" customWidth="1"/>
    <col min="10" max="10" width="17.33203125" customWidth="1"/>
    <col min="11" max="11" width="12.6640625" customWidth="1"/>
    <col min="12" max="12" width="10.33203125" customWidth="1"/>
    <col min="13" max="16" width="7" customWidth="1"/>
    <col min="17" max="17" width="7" style="1" customWidth="1"/>
    <col min="18" max="18" width="100.83203125" style="2" customWidth="1"/>
    <col min="19" max="19" width="15.83203125" customWidth="1"/>
    <col min="20" max="256" width="10.33203125" customWidth="1"/>
  </cols>
  <sheetData>
    <row r="1" spans="1:19" s="3" customFormat="1" ht="18.75">
      <c r="B1" s="23" t="s">
        <v>0</v>
      </c>
      <c r="C1" s="23"/>
      <c r="D1" s="23"/>
      <c r="E1" s="23"/>
      <c r="F1" s="23"/>
      <c r="G1" s="23"/>
      <c r="H1" s="23"/>
      <c r="I1" s="23"/>
      <c r="J1" s="23"/>
      <c r="K1" s="23"/>
      <c r="L1" s="23"/>
      <c r="M1" s="23"/>
      <c r="N1" s="23"/>
      <c r="O1" s="23"/>
      <c r="Q1" s="4"/>
      <c r="R1" s="6"/>
    </row>
    <row r="2" spans="1:19" s="7" customFormat="1">
      <c r="B2" s="24" t="s">
        <v>1</v>
      </c>
      <c r="C2" s="24"/>
      <c r="D2" s="24"/>
      <c r="E2" s="24"/>
      <c r="F2" s="24"/>
      <c r="G2" s="24"/>
      <c r="H2" s="24"/>
      <c r="I2" s="24"/>
      <c r="J2" s="24"/>
      <c r="K2" s="24"/>
      <c r="L2" s="24"/>
      <c r="M2" s="24"/>
      <c r="N2" s="24"/>
      <c r="O2" s="24"/>
      <c r="Q2" s="9"/>
      <c r="R2" s="10"/>
    </row>
    <row r="3" spans="1:19" s="7" customFormat="1">
      <c r="B3" s="8" t="s">
        <v>2</v>
      </c>
      <c r="C3" s="11"/>
      <c r="D3" s="11"/>
      <c r="E3" s="12"/>
      <c r="F3" s="11"/>
      <c r="G3" s="11"/>
      <c r="H3" s="11"/>
      <c r="I3" s="11"/>
      <c r="J3" s="25" t="s">
        <v>3</v>
      </c>
      <c r="K3" s="25"/>
      <c r="L3" s="26" t="s">
        <v>4</v>
      </c>
      <c r="M3" s="26"/>
      <c r="N3" s="26"/>
      <c r="O3" s="26"/>
      <c r="P3" s="27"/>
      <c r="Q3" s="27"/>
      <c r="R3" s="10"/>
    </row>
    <row r="4" spans="1:19" s="3" customFormat="1">
      <c r="B4" s="8" t="s">
        <v>5</v>
      </c>
      <c r="C4" s="13"/>
      <c r="D4" s="28"/>
      <c r="E4" s="28"/>
      <c r="F4" s="28"/>
      <c r="G4" s="28"/>
      <c r="H4" s="28"/>
      <c r="I4" s="28"/>
      <c r="J4" s="28"/>
      <c r="K4" s="28"/>
      <c r="L4" s="28"/>
      <c r="N4" s="29"/>
      <c r="O4" s="29"/>
      <c r="Q4" s="15"/>
      <c r="R4" s="6"/>
    </row>
    <row r="5" spans="1:19" s="3" customFormat="1">
      <c r="B5" s="24" t="s">
        <v>6</v>
      </c>
      <c r="C5" s="24"/>
      <c r="D5" s="24"/>
      <c r="E5" s="24"/>
      <c r="F5" s="24"/>
      <c r="G5" s="24"/>
      <c r="H5" s="24"/>
      <c r="I5" s="24"/>
      <c r="J5" s="24"/>
      <c r="K5" s="24"/>
      <c r="L5" s="24"/>
      <c r="M5" s="24"/>
      <c r="N5" s="24"/>
      <c r="O5" s="24"/>
      <c r="Q5" s="5"/>
      <c r="R5" s="6"/>
    </row>
    <row r="6" spans="1:19" s="3" customFormat="1" ht="13.5">
      <c r="B6" s="8" t="s">
        <v>7</v>
      </c>
      <c r="C6" s="14"/>
      <c r="D6" s="30"/>
      <c r="E6" s="30"/>
      <c r="F6" s="30"/>
      <c r="G6" s="30"/>
      <c r="H6" s="30"/>
      <c r="I6" s="30"/>
      <c r="J6" s="16" t="s">
        <v>8</v>
      </c>
      <c r="L6" s="29"/>
      <c r="M6" s="29"/>
      <c r="N6" s="29"/>
      <c r="O6" s="29"/>
      <c r="Q6" s="14"/>
      <c r="R6" s="6"/>
    </row>
    <row r="7" spans="1:19" s="3" customFormat="1">
      <c r="B7" s="30"/>
      <c r="C7" s="30"/>
      <c r="D7" s="30"/>
      <c r="E7" s="30"/>
      <c r="F7" s="30"/>
      <c r="G7" s="30"/>
      <c r="H7" s="30"/>
      <c r="I7" s="30"/>
      <c r="J7" s="30"/>
      <c r="K7" s="30"/>
      <c r="L7" s="30"/>
      <c r="M7" s="30"/>
      <c r="N7" s="30"/>
      <c r="O7" s="30"/>
      <c r="Q7" s="5"/>
      <c r="R7" s="6"/>
    </row>
    <row r="8" spans="1:19" s="22" customFormat="1">
      <c r="A8" s="17"/>
      <c r="B8" s="18" t="s">
        <v>9</v>
      </c>
      <c r="C8" s="19" t="s">
        <v>10</v>
      </c>
      <c r="D8" s="18" t="s">
        <v>11</v>
      </c>
      <c r="E8" s="18" t="s">
        <v>12</v>
      </c>
      <c r="F8" s="18" t="s">
        <v>13</v>
      </c>
      <c r="G8" s="19" t="s">
        <v>14</v>
      </c>
      <c r="H8" s="18" t="s">
        <v>15</v>
      </c>
      <c r="I8" s="18" t="s">
        <v>16</v>
      </c>
      <c r="J8" s="18" t="s">
        <v>17</v>
      </c>
      <c r="K8" s="18" t="s">
        <v>18</v>
      </c>
      <c r="L8" s="18" t="s">
        <v>19</v>
      </c>
      <c r="M8" s="18" t="s">
        <v>20</v>
      </c>
      <c r="N8" s="18" t="s">
        <v>21</v>
      </c>
      <c r="O8" s="20" t="s">
        <v>22</v>
      </c>
      <c r="P8" s="20" t="s">
        <v>23</v>
      </c>
      <c r="Q8" s="20" t="s">
        <v>24</v>
      </c>
      <c r="R8" s="21" t="s">
        <v>25</v>
      </c>
      <c r="S8" s="21" t="s">
        <v>26</v>
      </c>
    </row>
    <row r="9" spans="1:19" ht="50.1" customHeight="1">
      <c r="A9" s="31"/>
      <c r="B9" s="32" t="s">
        <v>27</v>
      </c>
      <c r="C9" s="31" t="s">
        <v>28</v>
      </c>
      <c r="D9" s="31" t="s">
        <v>29</v>
      </c>
      <c r="E9" s="31" t="s">
        <v>30</v>
      </c>
      <c r="F9" s="31" t="s">
        <v>31</v>
      </c>
      <c r="G9" s="31">
        <v>693</v>
      </c>
      <c r="H9" s="31">
        <v>10</v>
      </c>
      <c r="I9" s="31">
        <v>12</v>
      </c>
      <c r="J9" s="31" t="s">
        <v>32</v>
      </c>
      <c r="K9" s="31" t="s">
        <v>33</v>
      </c>
      <c r="L9" s="31" t="s">
        <v>34</v>
      </c>
      <c r="M9" s="31">
        <v>416</v>
      </c>
      <c r="N9" s="31">
        <v>2016</v>
      </c>
      <c r="O9" s="31">
        <v>436</v>
      </c>
      <c r="P9" s="31"/>
      <c r="Q9" s="31"/>
      <c r="R9" s="33"/>
      <c r="S9" s="34" t="str">
        <f>HYPERLINK("http://www.cnpol.ru/covers/16879.jpg","фото на сайте")</f>
        <v>фото на сайте</v>
      </c>
    </row>
    <row r="10" spans="1:19" ht="50.1" customHeight="1">
      <c r="A10" s="31" t="s">
        <v>35</v>
      </c>
      <c r="B10" s="32" t="s">
        <v>36</v>
      </c>
      <c r="C10" s="31" t="s">
        <v>37</v>
      </c>
      <c r="D10" s="31" t="s">
        <v>38</v>
      </c>
      <c r="E10" s="31" t="s">
        <v>39</v>
      </c>
      <c r="F10" s="31" t="s">
        <v>31</v>
      </c>
      <c r="G10" s="31">
        <v>833</v>
      </c>
      <c r="H10" s="31">
        <v>10</v>
      </c>
      <c r="I10" s="31">
        <v>8</v>
      </c>
      <c r="J10" s="31" t="s">
        <v>40</v>
      </c>
      <c r="K10" s="31" t="s">
        <v>41</v>
      </c>
      <c r="L10" s="31" t="s">
        <v>34</v>
      </c>
      <c r="M10" s="31">
        <v>543</v>
      </c>
      <c r="N10" s="31">
        <v>2025</v>
      </c>
      <c r="O10" s="31">
        <v>429</v>
      </c>
      <c r="P10" s="31"/>
      <c r="Q10" s="31"/>
      <c r="R10" s="33" t="s">
        <v>42</v>
      </c>
      <c r="S10" s="34" t="str">
        <f>HYPERLINK("http://www.cnpol.ru/covers/21670.jpg","фото на сайте")</f>
        <v>фото на сайте</v>
      </c>
    </row>
    <row r="11" spans="1:19" ht="50.1" customHeight="1">
      <c r="A11" s="31" t="s">
        <v>43</v>
      </c>
      <c r="B11" s="32" t="s">
        <v>44</v>
      </c>
      <c r="C11" s="31" t="s">
        <v>45</v>
      </c>
      <c r="D11" s="31" t="s">
        <v>46</v>
      </c>
      <c r="E11" s="31" t="s">
        <v>47</v>
      </c>
      <c r="F11" s="31" t="s">
        <v>31</v>
      </c>
      <c r="G11" s="31">
        <v>961</v>
      </c>
      <c r="H11" s="31">
        <v>10</v>
      </c>
      <c r="I11" s="31">
        <v>5</v>
      </c>
      <c r="J11" s="31" t="s">
        <v>48</v>
      </c>
      <c r="K11" s="31" t="s">
        <v>33</v>
      </c>
      <c r="L11" s="31" t="s">
        <v>34</v>
      </c>
      <c r="M11" s="31">
        <v>351</v>
      </c>
      <c r="N11" s="31">
        <v>2025</v>
      </c>
      <c r="O11" s="31">
        <v>455</v>
      </c>
      <c r="P11" s="31"/>
      <c r="Q11" s="31"/>
      <c r="R11" s="33" t="s">
        <v>49</v>
      </c>
      <c r="S11" s="34" t="str">
        <f>HYPERLINK("http://www.cnpol.ru/covers/21566.jpg","фото на сайте")</f>
        <v>фото на сайте</v>
      </c>
    </row>
    <row r="12" spans="1:19" ht="50.1" customHeight="1">
      <c r="A12" s="31"/>
      <c r="B12" s="32" t="s">
        <v>50</v>
      </c>
      <c r="C12" s="31" t="s">
        <v>51</v>
      </c>
      <c r="D12" s="31" t="s">
        <v>52</v>
      </c>
      <c r="E12" s="31" t="s">
        <v>53</v>
      </c>
      <c r="F12" s="31" t="s">
        <v>31</v>
      </c>
      <c r="G12" s="31">
        <v>137</v>
      </c>
      <c r="H12" s="31">
        <v>10</v>
      </c>
      <c r="I12" s="31">
        <v>40</v>
      </c>
      <c r="J12" s="31" t="s">
        <v>54</v>
      </c>
      <c r="K12" s="31" t="s">
        <v>55</v>
      </c>
      <c r="L12" s="31" t="s">
        <v>56</v>
      </c>
      <c r="M12" s="31">
        <v>159</v>
      </c>
      <c r="N12" s="31">
        <v>2014</v>
      </c>
      <c r="O12" s="31">
        <v>70</v>
      </c>
      <c r="P12" s="31"/>
      <c r="Q12" s="31"/>
      <c r="R12" s="33"/>
      <c r="S12" s="34" t="str">
        <f>HYPERLINK("http://www.cnpol.ru/covers/14985.jpg","фото на сайте")</f>
        <v>фото на сайте</v>
      </c>
    </row>
    <row r="13" spans="1:19" ht="50.1" customHeight="1">
      <c r="A13" s="31"/>
      <c r="B13" s="32" t="s">
        <v>57</v>
      </c>
      <c r="C13" s="31" t="s">
        <v>51</v>
      </c>
      <c r="D13" s="31" t="s">
        <v>52</v>
      </c>
      <c r="E13" s="31" t="s">
        <v>58</v>
      </c>
      <c r="F13" s="31" t="s">
        <v>31</v>
      </c>
      <c r="G13" s="31">
        <v>137</v>
      </c>
      <c r="H13" s="31">
        <v>10</v>
      </c>
      <c r="I13" s="31">
        <v>40</v>
      </c>
      <c r="J13" s="31" t="s">
        <v>59</v>
      </c>
      <c r="K13" s="31" t="s">
        <v>55</v>
      </c>
      <c r="L13" s="31" t="s">
        <v>56</v>
      </c>
      <c r="M13" s="31">
        <v>160</v>
      </c>
      <c r="N13" s="31">
        <v>2013</v>
      </c>
      <c r="O13" s="31">
        <v>70</v>
      </c>
      <c r="P13" s="31"/>
      <c r="Q13" s="31"/>
      <c r="R13" s="33"/>
      <c r="S13" s="34" t="str">
        <f>HYPERLINK("http://www.cnpol.ru/covers/14648.jpg","фото на сайте")</f>
        <v>фото на сайте</v>
      </c>
    </row>
    <row r="14" spans="1:19" ht="50.1" customHeight="1">
      <c r="A14" s="31"/>
      <c r="B14" s="32" t="s">
        <v>60</v>
      </c>
      <c r="C14" s="31" t="s">
        <v>51</v>
      </c>
      <c r="D14" s="31" t="s">
        <v>52</v>
      </c>
      <c r="E14" s="31" t="s">
        <v>61</v>
      </c>
      <c r="F14" s="31" t="s">
        <v>31</v>
      </c>
      <c r="G14" s="31">
        <v>137</v>
      </c>
      <c r="H14" s="31">
        <v>10</v>
      </c>
      <c r="I14" s="31">
        <v>40</v>
      </c>
      <c r="J14" s="31" t="s">
        <v>62</v>
      </c>
      <c r="K14" s="31" t="s">
        <v>55</v>
      </c>
      <c r="L14" s="31" t="s">
        <v>56</v>
      </c>
      <c r="M14" s="31">
        <v>158</v>
      </c>
      <c r="N14" s="31">
        <v>2015</v>
      </c>
      <c r="O14" s="31">
        <v>70</v>
      </c>
      <c r="P14" s="31"/>
      <c r="Q14" s="31"/>
      <c r="R14" s="33"/>
      <c r="S14" s="34" t="str">
        <f>HYPERLINK("http://www.cnpol.ru/covers/16165.jpg","фото на сайте")</f>
        <v>фото на сайте</v>
      </c>
    </row>
    <row r="15" spans="1:19" ht="50.1" customHeight="1">
      <c r="A15" s="31"/>
      <c r="B15" s="32" t="s">
        <v>63</v>
      </c>
      <c r="C15" s="31" t="s">
        <v>51</v>
      </c>
      <c r="D15" s="31" t="s">
        <v>52</v>
      </c>
      <c r="E15" s="31" t="s">
        <v>64</v>
      </c>
      <c r="F15" s="31" t="s">
        <v>31</v>
      </c>
      <c r="G15" s="31">
        <v>137</v>
      </c>
      <c r="H15" s="31">
        <v>10</v>
      </c>
      <c r="I15" s="31">
        <v>40</v>
      </c>
      <c r="J15" s="31" t="s">
        <v>65</v>
      </c>
      <c r="K15" s="31" t="s">
        <v>55</v>
      </c>
      <c r="L15" s="31" t="s">
        <v>56</v>
      </c>
      <c r="M15" s="31">
        <v>158</v>
      </c>
      <c r="N15" s="31">
        <v>2015</v>
      </c>
      <c r="O15" s="31">
        <v>72</v>
      </c>
      <c r="P15" s="31"/>
      <c r="Q15" s="31"/>
      <c r="R15" s="33"/>
      <c r="S15" s="34" t="str">
        <f>HYPERLINK("http://www.cnpol.ru/covers/16238.jpg","фото на сайте")</f>
        <v>фото на сайте</v>
      </c>
    </row>
    <row r="16" spans="1:19" ht="50.1" customHeight="1">
      <c r="A16" s="31"/>
      <c r="B16" s="32" t="s">
        <v>66</v>
      </c>
      <c r="C16" s="31" t="s">
        <v>51</v>
      </c>
      <c r="D16" s="31" t="s">
        <v>52</v>
      </c>
      <c r="E16" s="31" t="s">
        <v>67</v>
      </c>
      <c r="F16" s="31" t="s">
        <v>31</v>
      </c>
      <c r="G16" s="31">
        <v>137</v>
      </c>
      <c r="H16" s="31">
        <v>10</v>
      </c>
      <c r="I16" s="31">
        <v>28</v>
      </c>
      <c r="J16" s="31" t="s">
        <v>68</v>
      </c>
      <c r="K16" s="31" t="s">
        <v>55</v>
      </c>
      <c r="L16" s="31" t="s">
        <v>56</v>
      </c>
      <c r="M16" s="31">
        <v>160</v>
      </c>
      <c r="N16" s="31">
        <v>2016</v>
      </c>
      <c r="O16" s="31">
        <v>68</v>
      </c>
      <c r="P16" s="31"/>
      <c r="Q16" s="31"/>
      <c r="R16" s="33"/>
      <c r="S16" s="34" t="str">
        <f>HYPERLINK("http://www.cnpol.ru/covers/17134.jpg","фото на сайте")</f>
        <v>фото на сайте</v>
      </c>
    </row>
    <row r="17" spans="1:19" ht="50.1" customHeight="1">
      <c r="A17" s="31"/>
      <c r="B17" s="32" t="s">
        <v>69</v>
      </c>
      <c r="C17" s="31" t="s">
        <v>51</v>
      </c>
      <c r="D17" s="31" t="s">
        <v>70</v>
      </c>
      <c r="E17" s="31" t="s">
        <v>71</v>
      </c>
      <c r="F17" s="31" t="s">
        <v>31</v>
      </c>
      <c r="G17" s="31">
        <v>137</v>
      </c>
      <c r="H17" s="31">
        <v>10</v>
      </c>
      <c r="I17" s="31">
        <v>40</v>
      </c>
      <c r="J17" s="31" t="s">
        <v>72</v>
      </c>
      <c r="K17" s="31" t="s">
        <v>55</v>
      </c>
      <c r="L17" s="31" t="s">
        <v>56</v>
      </c>
      <c r="M17" s="31">
        <v>190</v>
      </c>
      <c r="N17" s="31">
        <v>2012</v>
      </c>
      <c r="O17" s="31">
        <v>84</v>
      </c>
      <c r="P17" s="31"/>
      <c r="Q17" s="31"/>
      <c r="R17" s="33"/>
      <c r="S17" s="34" t="str">
        <f>HYPERLINK("http://www.cnpol.ru/covers/13920.jpg","фото на сайте")</f>
        <v>фото на сайте</v>
      </c>
    </row>
    <row r="18" spans="1:19" ht="50.1" customHeight="1">
      <c r="A18" s="31"/>
      <c r="B18" s="32" t="s">
        <v>73</v>
      </c>
      <c r="C18" s="31" t="s">
        <v>51</v>
      </c>
      <c r="D18" s="31" t="s">
        <v>52</v>
      </c>
      <c r="E18" s="31" t="s">
        <v>74</v>
      </c>
      <c r="F18" s="31" t="s">
        <v>31</v>
      </c>
      <c r="G18" s="31">
        <v>137</v>
      </c>
      <c r="H18" s="31">
        <v>10</v>
      </c>
      <c r="I18" s="31">
        <v>40</v>
      </c>
      <c r="J18" s="31" t="s">
        <v>75</v>
      </c>
      <c r="K18" s="31" t="s">
        <v>55</v>
      </c>
      <c r="L18" s="31" t="s">
        <v>56</v>
      </c>
      <c r="M18" s="31">
        <v>158</v>
      </c>
      <c r="N18" s="31">
        <v>2015</v>
      </c>
      <c r="O18" s="31">
        <v>72</v>
      </c>
      <c r="P18" s="31"/>
      <c r="Q18" s="31"/>
      <c r="R18" s="33"/>
      <c r="S18" s="34" t="str">
        <f>HYPERLINK("http://www.cnpol.ru/covers/16096.jpg","фото на сайте")</f>
        <v>фото на сайте</v>
      </c>
    </row>
    <row r="19" spans="1:19" ht="50.1" customHeight="1">
      <c r="A19" s="31"/>
      <c r="B19" s="32" t="s">
        <v>76</v>
      </c>
      <c r="C19" s="31" t="s">
        <v>51</v>
      </c>
      <c r="D19" s="31" t="s">
        <v>52</v>
      </c>
      <c r="E19" s="31" t="s">
        <v>77</v>
      </c>
      <c r="F19" s="31" t="s">
        <v>31</v>
      </c>
      <c r="G19" s="31">
        <v>137</v>
      </c>
      <c r="H19" s="31">
        <v>10</v>
      </c>
      <c r="I19" s="31">
        <v>24</v>
      </c>
      <c r="J19" s="31" t="s">
        <v>78</v>
      </c>
      <c r="K19" s="31" t="s">
        <v>55</v>
      </c>
      <c r="L19" s="31" t="s">
        <v>56</v>
      </c>
      <c r="M19" s="31">
        <v>160</v>
      </c>
      <c r="N19" s="31">
        <v>2016</v>
      </c>
      <c r="O19" s="31">
        <v>68</v>
      </c>
      <c r="P19" s="31"/>
      <c r="Q19" s="31"/>
      <c r="R19" s="33"/>
      <c r="S19" s="34" t="str">
        <f>HYPERLINK("http://www.cnpol.ru/covers/16539.jpg","фото на сайте")</f>
        <v>фото на сайте</v>
      </c>
    </row>
    <row r="20" spans="1:19" ht="50.1" customHeight="1">
      <c r="A20" s="31"/>
      <c r="B20" s="32" t="s">
        <v>79</v>
      </c>
      <c r="C20" s="31" t="s">
        <v>51</v>
      </c>
      <c r="D20" s="31" t="s">
        <v>52</v>
      </c>
      <c r="E20" s="31" t="s">
        <v>80</v>
      </c>
      <c r="F20" s="31" t="s">
        <v>31</v>
      </c>
      <c r="G20" s="31">
        <v>137</v>
      </c>
      <c r="H20" s="31">
        <v>10</v>
      </c>
      <c r="I20" s="31">
        <v>20</v>
      </c>
      <c r="J20" s="31" t="s">
        <v>81</v>
      </c>
      <c r="K20" s="31" t="s">
        <v>55</v>
      </c>
      <c r="L20" s="31" t="s">
        <v>56</v>
      </c>
      <c r="M20" s="31">
        <v>160</v>
      </c>
      <c r="N20" s="31">
        <v>2018</v>
      </c>
      <c r="O20" s="31">
        <v>68</v>
      </c>
      <c r="P20" s="31"/>
      <c r="Q20" s="31"/>
      <c r="R20" s="33"/>
      <c r="S20" s="34" t="str">
        <f>HYPERLINK("http://www.cnpol.ru/covers/18086.jpg","фото на сайте")</f>
        <v>фото на сайте</v>
      </c>
    </row>
    <row r="21" spans="1:19" ht="50.1" customHeight="1">
      <c r="A21" s="31"/>
      <c r="B21" s="32" t="s">
        <v>82</v>
      </c>
      <c r="C21" s="31" t="s">
        <v>51</v>
      </c>
      <c r="D21" s="31" t="s">
        <v>52</v>
      </c>
      <c r="E21" s="31" t="s">
        <v>83</v>
      </c>
      <c r="F21" s="31" t="s">
        <v>31</v>
      </c>
      <c r="G21" s="31">
        <v>137</v>
      </c>
      <c r="H21" s="31">
        <v>10</v>
      </c>
      <c r="I21" s="31">
        <v>20</v>
      </c>
      <c r="J21" s="31" t="s">
        <v>84</v>
      </c>
      <c r="K21" s="31" t="s">
        <v>55</v>
      </c>
      <c r="L21" s="31" t="s">
        <v>56</v>
      </c>
      <c r="M21" s="31">
        <v>160</v>
      </c>
      <c r="N21" s="31">
        <v>2016</v>
      </c>
      <c r="O21" s="31">
        <v>68</v>
      </c>
      <c r="P21" s="31"/>
      <c r="Q21" s="31"/>
      <c r="R21" s="33"/>
      <c r="S21" s="34" t="str">
        <f>HYPERLINK("http://www.cnpol.ru/covers/17017.jpg","фото на сайте")</f>
        <v>фото на сайте</v>
      </c>
    </row>
    <row r="22" spans="1:19" ht="50.1" customHeight="1">
      <c r="A22" s="31"/>
      <c r="B22" s="32" t="s">
        <v>85</v>
      </c>
      <c r="C22" s="31" t="s">
        <v>51</v>
      </c>
      <c r="D22" s="31" t="s">
        <v>52</v>
      </c>
      <c r="E22" s="31" t="s">
        <v>86</v>
      </c>
      <c r="F22" s="31" t="s">
        <v>31</v>
      </c>
      <c r="G22" s="31">
        <v>128</v>
      </c>
      <c r="H22" s="31">
        <v>10</v>
      </c>
      <c r="I22" s="31">
        <v>20</v>
      </c>
      <c r="J22" s="31" t="s">
        <v>87</v>
      </c>
      <c r="K22" s="31" t="s">
        <v>55</v>
      </c>
      <c r="L22" s="31" t="s">
        <v>56</v>
      </c>
      <c r="M22" s="31">
        <v>159</v>
      </c>
      <c r="N22" s="31">
        <v>2016</v>
      </c>
      <c r="O22" s="31">
        <v>68</v>
      </c>
      <c r="P22" s="31"/>
      <c r="Q22" s="31"/>
      <c r="R22" s="33"/>
      <c r="S22" s="34" t="str">
        <f>HYPERLINK("http://www.cnpol.ru/covers/17151.jpg","фото на сайте")</f>
        <v>фото на сайте</v>
      </c>
    </row>
    <row r="23" spans="1:19" ht="50.1" customHeight="1">
      <c r="A23" s="31"/>
      <c r="B23" s="32" t="s">
        <v>88</v>
      </c>
      <c r="C23" s="31" t="s">
        <v>51</v>
      </c>
      <c r="D23" s="31" t="s">
        <v>52</v>
      </c>
      <c r="E23" s="31" t="s">
        <v>89</v>
      </c>
      <c r="F23" s="31" t="s">
        <v>31</v>
      </c>
      <c r="G23" s="31">
        <v>137</v>
      </c>
      <c r="H23" s="31">
        <v>10</v>
      </c>
      <c r="I23" s="31">
        <v>40</v>
      </c>
      <c r="J23" s="31" t="s">
        <v>90</v>
      </c>
      <c r="K23" s="31" t="s">
        <v>55</v>
      </c>
      <c r="L23" s="31" t="s">
        <v>56</v>
      </c>
      <c r="M23" s="31">
        <v>156</v>
      </c>
      <c r="N23" s="31">
        <v>2014</v>
      </c>
      <c r="O23" s="31">
        <v>70</v>
      </c>
      <c r="P23" s="31"/>
      <c r="Q23" s="31"/>
      <c r="R23" s="33"/>
      <c r="S23" s="34" t="str">
        <f>HYPERLINK("http://www.cnpol.ru/covers/14802.jpg","фото на сайте")</f>
        <v>фото на сайте</v>
      </c>
    </row>
    <row r="24" spans="1:19" ht="50.1" customHeight="1">
      <c r="A24" s="31"/>
      <c r="B24" s="32" t="s">
        <v>91</v>
      </c>
      <c r="C24" s="31" t="s">
        <v>51</v>
      </c>
      <c r="D24" s="31" t="s">
        <v>52</v>
      </c>
      <c r="E24" s="31" t="s">
        <v>92</v>
      </c>
      <c r="F24" s="31" t="s">
        <v>31</v>
      </c>
      <c r="G24" s="31">
        <v>137</v>
      </c>
      <c r="H24" s="31">
        <v>10</v>
      </c>
      <c r="I24" s="31">
        <v>40</v>
      </c>
      <c r="J24" s="31" t="s">
        <v>93</v>
      </c>
      <c r="K24" s="31" t="s">
        <v>55</v>
      </c>
      <c r="L24" s="31" t="s">
        <v>56</v>
      </c>
      <c r="M24" s="31">
        <v>159</v>
      </c>
      <c r="N24" s="31">
        <v>2014</v>
      </c>
      <c r="O24" s="31">
        <v>66</v>
      </c>
      <c r="P24" s="31"/>
      <c r="Q24" s="31"/>
      <c r="R24" s="33"/>
      <c r="S24" s="34" t="str">
        <f>HYPERLINK("http://www.cnpol.ru/covers/15244.jpg","фото на сайте")</f>
        <v>фото на сайте</v>
      </c>
    </row>
    <row r="25" spans="1:19" ht="50.1" customHeight="1">
      <c r="A25" s="31"/>
      <c r="B25" s="32" t="s">
        <v>94</v>
      </c>
      <c r="C25" s="31" t="s">
        <v>51</v>
      </c>
      <c r="D25" s="31" t="s">
        <v>52</v>
      </c>
      <c r="E25" s="31" t="s">
        <v>95</v>
      </c>
      <c r="F25" s="31" t="s">
        <v>31</v>
      </c>
      <c r="G25" s="31">
        <v>137</v>
      </c>
      <c r="H25" s="31">
        <v>10</v>
      </c>
      <c r="I25" s="31">
        <v>40</v>
      </c>
      <c r="J25" s="31" t="s">
        <v>96</v>
      </c>
      <c r="K25" s="31" t="s">
        <v>55</v>
      </c>
      <c r="L25" s="31" t="s">
        <v>56</v>
      </c>
      <c r="M25" s="31">
        <v>160</v>
      </c>
      <c r="N25" s="31">
        <v>2016</v>
      </c>
      <c r="O25" s="31">
        <v>68</v>
      </c>
      <c r="P25" s="31"/>
      <c r="Q25" s="31"/>
      <c r="R25" s="33"/>
      <c r="S25" s="34" t="str">
        <f>HYPERLINK("http://www.cnpol.ru/covers/16867.jpg","фото на сайте")</f>
        <v>фото на сайте</v>
      </c>
    </row>
    <row r="26" spans="1:19" ht="50.1" customHeight="1">
      <c r="A26" s="31"/>
      <c r="B26" s="32" t="s">
        <v>97</v>
      </c>
      <c r="C26" s="31" t="s">
        <v>51</v>
      </c>
      <c r="D26" s="31" t="s">
        <v>52</v>
      </c>
      <c r="E26" s="31" t="s">
        <v>98</v>
      </c>
      <c r="F26" s="31" t="s">
        <v>31</v>
      </c>
      <c r="G26" s="31">
        <v>137</v>
      </c>
      <c r="H26" s="31">
        <v>10</v>
      </c>
      <c r="I26" s="31">
        <v>20</v>
      </c>
      <c r="J26" s="31" t="s">
        <v>99</v>
      </c>
      <c r="K26" s="31" t="s">
        <v>55</v>
      </c>
      <c r="L26" s="31" t="s">
        <v>56</v>
      </c>
      <c r="M26" s="31">
        <v>160</v>
      </c>
      <c r="N26" s="31">
        <v>2017</v>
      </c>
      <c r="O26" s="31">
        <v>68</v>
      </c>
      <c r="P26" s="31"/>
      <c r="Q26" s="31"/>
      <c r="R26" s="33"/>
      <c r="S26" s="34" t="str">
        <f>HYPERLINK("http://www.cnpol.ru/covers/17488.jpg","фото на сайте")</f>
        <v>фото на сайте</v>
      </c>
    </row>
    <row r="27" spans="1:19" ht="50.1" customHeight="1">
      <c r="A27" s="31"/>
      <c r="B27" s="32" t="s">
        <v>100</v>
      </c>
      <c r="C27" s="31" t="s">
        <v>51</v>
      </c>
      <c r="D27" s="31" t="s">
        <v>52</v>
      </c>
      <c r="E27" s="31" t="s">
        <v>101</v>
      </c>
      <c r="F27" s="31" t="s">
        <v>31</v>
      </c>
      <c r="G27" s="31">
        <v>137</v>
      </c>
      <c r="H27" s="31">
        <v>10</v>
      </c>
      <c r="I27" s="31">
        <v>20</v>
      </c>
      <c r="J27" s="31" t="s">
        <v>102</v>
      </c>
      <c r="K27" s="31" t="s">
        <v>55</v>
      </c>
      <c r="L27" s="31" t="s">
        <v>56</v>
      </c>
      <c r="M27" s="31">
        <v>160</v>
      </c>
      <c r="N27" s="31">
        <v>2017</v>
      </c>
      <c r="O27" s="31">
        <v>68</v>
      </c>
      <c r="P27" s="31"/>
      <c r="Q27" s="31"/>
      <c r="R27" s="33"/>
      <c r="S27" s="34" t="str">
        <f>HYPERLINK("http://www.cnpol.ru/covers/17323.jpg","фото на сайте")</f>
        <v>фото на сайте</v>
      </c>
    </row>
    <row r="28" spans="1:19" ht="50.1" customHeight="1">
      <c r="A28" s="31"/>
      <c r="B28" s="32" t="s">
        <v>103</v>
      </c>
      <c r="C28" s="31" t="s">
        <v>51</v>
      </c>
      <c r="D28" s="31" t="s">
        <v>52</v>
      </c>
      <c r="E28" s="31" t="s">
        <v>104</v>
      </c>
      <c r="F28" s="31" t="s">
        <v>31</v>
      </c>
      <c r="G28" s="31">
        <v>137</v>
      </c>
      <c r="H28" s="31">
        <v>10</v>
      </c>
      <c r="I28" s="31">
        <v>40</v>
      </c>
      <c r="J28" s="31" t="s">
        <v>105</v>
      </c>
      <c r="K28" s="31" t="s">
        <v>55</v>
      </c>
      <c r="L28" s="31" t="s">
        <v>56</v>
      </c>
      <c r="M28" s="31">
        <v>158</v>
      </c>
      <c r="N28" s="31">
        <v>2015</v>
      </c>
      <c r="O28" s="31">
        <v>70</v>
      </c>
      <c r="P28" s="31"/>
      <c r="Q28" s="31"/>
      <c r="R28" s="33"/>
      <c r="S28" s="34" t="str">
        <f>HYPERLINK("http://www.cnpol.ru/covers/16164.jpg","фото на сайте")</f>
        <v>фото на сайте</v>
      </c>
    </row>
    <row r="29" spans="1:19" ht="50.1" customHeight="1">
      <c r="A29" s="31"/>
      <c r="B29" s="32" t="s">
        <v>106</v>
      </c>
      <c r="C29" s="31" t="s">
        <v>51</v>
      </c>
      <c r="D29" s="31" t="s">
        <v>52</v>
      </c>
      <c r="E29" s="31" t="s">
        <v>107</v>
      </c>
      <c r="F29" s="31" t="s">
        <v>31</v>
      </c>
      <c r="G29" s="31">
        <v>137</v>
      </c>
      <c r="H29" s="31">
        <v>10</v>
      </c>
      <c r="I29" s="31">
        <v>20</v>
      </c>
      <c r="J29" s="31" t="s">
        <v>108</v>
      </c>
      <c r="K29" s="31" t="s">
        <v>55</v>
      </c>
      <c r="L29" s="31" t="s">
        <v>56</v>
      </c>
      <c r="M29" s="31">
        <v>160</v>
      </c>
      <c r="N29" s="31">
        <v>2016</v>
      </c>
      <c r="O29" s="31">
        <v>68</v>
      </c>
      <c r="P29" s="31"/>
      <c r="Q29" s="31"/>
      <c r="R29" s="33"/>
      <c r="S29" s="34" t="str">
        <f>HYPERLINK("http://www.cnpol.ru/covers/16715.jpg","фото на сайте")</f>
        <v>фото на сайте</v>
      </c>
    </row>
    <row r="30" spans="1:19" ht="50.1" customHeight="1">
      <c r="A30" s="31"/>
      <c r="B30" s="32" t="s">
        <v>109</v>
      </c>
      <c r="C30" s="31" t="s">
        <v>51</v>
      </c>
      <c r="D30" s="31" t="s">
        <v>52</v>
      </c>
      <c r="E30" s="31" t="s">
        <v>110</v>
      </c>
      <c r="F30" s="31" t="s">
        <v>31</v>
      </c>
      <c r="G30" s="31">
        <v>137</v>
      </c>
      <c r="H30" s="31">
        <v>10</v>
      </c>
      <c r="I30" s="31">
        <v>20</v>
      </c>
      <c r="J30" s="31" t="s">
        <v>111</v>
      </c>
      <c r="K30" s="31" t="s">
        <v>55</v>
      </c>
      <c r="L30" s="31" t="s">
        <v>56</v>
      </c>
      <c r="M30" s="31">
        <v>160</v>
      </c>
      <c r="N30" s="31">
        <v>2018</v>
      </c>
      <c r="O30" s="31">
        <v>72</v>
      </c>
      <c r="P30" s="31"/>
      <c r="Q30" s="31"/>
      <c r="R30" s="33"/>
      <c r="S30" s="34" t="str">
        <f>HYPERLINK("http://www.cnpol.ru/covers/18245.jpg","фото на сайте")</f>
        <v>фото на сайте</v>
      </c>
    </row>
    <row r="31" spans="1:19" ht="50.1" customHeight="1">
      <c r="A31" s="31"/>
      <c r="B31" s="32" t="s">
        <v>112</v>
      </c>
      <c r="C31" s="31" t="s">
        <v>51</v>
      </c>
      <c r="D31" s="31" t="s">
        <v>52</v>
      </c>
      <c r="E31" s="31" t="s">
        <v>113</v>
      </c>
      <c r="F31" s="31" t="s">
        <v>31</v>
      </c>
      <c r="G31" s="31">
        <v>137</v>
      </c>
      <c r="H31" s="31">
        <v>10</v>
      </c>
      <c r="I31" s="31">
        <v>40</v>
      </c>
      <c r="J31" s="31" t="s">
        <v>114</v>
      </c>
      <c r="K31" s="31" t="s">
        <v>55</v>
      </c>
      <c r="L31" s="31" t="s">
        <v>56</v>
      </c>
      <c r="M31" s="31">
        <v>160</v>
      </c>
      <c r="N31" s="31">
        <v>2017</v>
      </c>
      <c r="O31" s="31">
        <v>68</v>
      </c>
      <c r="P31" s="31"/>
      <c r="Q31" s="31"/>
      <c r="R31" s="33"/>
      <c r="S31" s="34" t="str">
        <f>HYPERLINK("http://www.cnpol.ru/covers/17349.jpg","фото на сайте")</f>
        <v>фото на сайте</v>
      </c>
    </row>
    <row r="32" spans="1:19" ht="50.1" customHeight="1">
      <c r="A32" s="31"/>
      <c r="B32" s="32" t="s">
        <v>115</v>
      </c>
      <c r="C32" s="31" t="s">
        <v>51</v>
      </c>
      <c r="D32" s="31" t="s">
        <v>52</v>
      </c>
      <c r="E32" s="31" t="s">
        <v>116</v>
      </c>
      <c r="F32" s="31" t="s">
        <v>31</v>
      </c>
      <c r="G32" s="31">
        <v>137</v>
      </c>
      <c r="H32" s="31">
        <v>10</v>
      </c>
      <c r="I32" s="31">
        <v>40</v>
      </c>
      <c r="J32" s="31" t="s">
        <v>117</v>
      </c>
      <c r="K32" s="31" t="s">
        <v>55</v>
      </c>
      <c r="L32" s="31" t="s">
        <v>56</v>
      </c>
      <c r="M32" s="31">
        <v>160</v>
      </c>
      <c r="N32" s="31">
        <v>2016</v>
      </c>
      <c r="O32" s="31">
        <v>68</v>
      </c>
      <c r="P32" s="31"/>
      <c r="Q32" s="31"/>
      <c r="R32" s="33"/>
      <c r="S32" s="34" t="str">
        <f>HYPERLINK("http://www.cnpol.ru/covers/16616.jpg","фото на сайте")</f>
        <v>фото на сайте</v>
      </c>
    </row>
    <row r="33" spans="1:19" ht="50.1" customHeight="1">
      <c r="A33" s="31" t="s">
        <v>43</v>
      </c>
      <c r="B33" s="32" t="s">
        <v>118</v>
      </c>
      <c r="C33" s="31" t="s">
        <v>119</v>
      </c>
      <c r="D33" s="31" t="s">
        <v>120</v>
      </c>
      <c r="E33" s="31" t="s">
        <v>121</v>
      </c>
      <c r="F33" s="31" t="s">
        <v>31</v>
      </c>
      <c r="G33" s="31">
        <v>696</v>
      </c>
      <c r="H33" s="31">
        <v>10</v>
      </c>
      <c r="I33" s="31">
        <v>3</v>
      </c>
      <c r="J33" s="31" t="s">
        <v>122</v>
      </c>
      <c r="K33" s="31" t="s">
        <v>123</v>
      </c>
      <c r="L33" s="31" t="s">
        <v>34</v>
      </c>
      <c r="M33" s="31">
        <v>350</v>
      </c>
      <c r="N33" s="31">
        <v>2025</v>
      </c>
      <c r="O33" s="31">
        <v>685</v>
      </c>
      <c r="P33" s="31"/>
      <c r="Q33" s="31"/>
      <c r="R33" s="33" t="s">
        <v>124</v>
      </c>
      <c r="S33" s="34" t="str">
        <f>HYPERLINK("http://www.cnpol.ru/covers/21500.jpg","фото на сайте")</f>
        <v>фото на сайте</v>
      </c>
    </row>
    <row r="34" spans="1:19" ht="50.1" customHeight="1">
      <c r="A34" s="31"/>
      <c r="B34" s="32" t="s">
        <v>125</v>
      </c>
      <c r="C34" s="31" t="s">
        <v>126</v>
      </c>
      <c r="D34" s="31" t="s">
        <v>127</v>
      </c>
      <c r="E34" s="31" t="s">
        <v>128</v>
      </c>
      <c r="F34" s="31" t="s">
        <v>31</v>
      </c>
      <c r="G34" s="31">
        <v>162</v>
      </c>
      <c r="H34" s="31">
        <v>10</v>
      </c>
      <c r="I34" s="31">
        <v>20</v>
      </c>
      <c r="J34" s="31" t="s">
        <v>129</v>
      </c>
      <c r="K34" s="31" t="s">
        <v>130</v>
      </c>
      <c r="L34" s="31" t="s">
        <v>56</v>
      </c>
      <c r="M34" s="31">
        <v>256</v>
      </c>
      <c r="N34" s="31">
        <v>2009</v>
      </c>
      <c r="O34" s="31">
        <v>104</v>
      </c>
      <c r="P34" s="31"/>
      <c r="Q34" s="31"/>
      <c r="R34" s="33"/>
      <c r="S34" s="34" t="str">
        <f>HYPERLINK("http://www.cnpol.ru/covers/11103.jpg","фото на сайте")</f>
        <v>фото на сайте</v>
      </c>
    </row>
    <row r="35" spans="1:19" ht="50.1" customHeight="1">
      <c r="A35" s="31"/>
      <c r="B35" s="32" t="s">
        <v>131</v>
      </c>
      <c r="C35" s="31" t="s">
        <v>132</v>
      </c>
      <c r="D35" s="31" t="s">
        <v>133</v>
      </c>
      <c r="E35" s="31" t="s">
        <v>134</v>
      </c>
      <c r="F35" s="31" t="s">
        <v>31</v>
      </c>
      <c r="G35" s="35">
        <v>2105</v>
      </c>
      <c r="H35" s="31">
        <v>10</v>
      </c>
      <c r="I35" s="31">
        <v>15</v>
      </c>
      <c r="J35" s="31" t="s">
        <v>135</v>
      </c>
      <c r="K35" s="31" t="s">
        <v>136</v>
      </c>
      <c r="L35" s="31" t="s">
        <v>34</v>
      </c>
      <c r="M35" s="31">
        <v>168</v>
      </c>
      <c r="N35" s="31">
        <v>2005</v>
      </c>
      <c r="O35" s="31">
        <v>944</v>
      </c>
      <c r="P35" s="31"/>
      <c r="Q35" s="31"/>
      <c r="R35" s="33"/>
      <c r="S35" s="34" t="str">
        <f>HYPERLINK("http://www.cnpol.ru/covers/5989.jpg","фото на сайте")</f>
        <v>фото на сайте</v>
      </c>
    </row>
    <row r="36" spans="1:19" ht="50.1" customHeight="1">
      <c r="A36" s="31"/>
      <c r="B36" s="32" t="s">
        <v>137</v>
      </c>
      <c r="C36" s="31" t="s">
        <v>138</v>
      </c>
      <c r="D36" s="31" t="s">
        <v>139</v>
      </c>
      <c r="E36" s="31" t="s">
        <v>140</v>
      </c>
      <c r="F36" s="31" t="s">
        <v>31</v>
      </c>
      <c r="G36" s="31">
        <v>128</v>
      </c>
      <c r="H36" s="31">
        <v>10</v>
      </c>
      <c r="I36" s="31">
        <v>36</v>
      </c>
      <c r="J36" s="31" t="s">
        <v>141</v>
      </c>
      <c r="K36" s="31" t="s">
        <v>130</v>
      </c>
      <c r="L36" s="31" t="s">
        <v>56</v>
      </c>
      <c r="M36" s="31">
        <v>128</v>
      </c>
      <c r="N36" s="31">
        <v>2014</v>
      </c>
      <c r="O36" s="31">
        <v>82</v>
      </c>
      <c r="P36" s="31"/>
      <c r="Q36" s="31"/>
      <c r="R36" s="33"/>
      <c r="S36" s="34" t="str">
        <f>HYPERLINK("http://www.cnpol.ru/covers/15516.jpg","фото на сайте")</f>
        <v>фото на сайте</v>
      </c>
    </row>
    <row r="37" spans="1:19" ht="50.1" customHeight="1">
      <c r="A37" s="31"/>
      <c r="B37" s="32" t="s">
        <v>142</v>
      </c>
      <c r="C37" s="31" t="s">
        <v>143</v>
      </c>
      <c r="D37" s="31" t="s">
        <v>144</v>
      </c>
      <c r="E37" s="31" t="s">
        <v>145</v>
      </c>
      <c r="F37" s="31" t="s">
        <v>31</v>
      </c>
      <c r="G37" s="35">
        <v>1344</v>
      </c>
      <c r="H37" s="31">
        <v>10</v>
      </c>
      <c r="I37" s="31">
        <v>4</v>
      </c>
      <c r="J37" s="31" t="s">
        <v>146</v>
      </c>
      <c r="K37" s="31" t="s">
        <v>147</v>
      </c>
      <c r="L37" s="31" t="s">
        <v>34</v>
      </c>
      <c r="M37" s="31">
        <v>784</v>
      </c>
      <c r="N37" s="31">
        <v>2019</v>
      </c>
      <c r="O37" s="31">
        <v>1056</v>
      </c>
      <c r="P37" s="31"/>
      <c r="Q37" s="31"/>
      <c r="R37" s="33"/>
      <c r="S37" s="34" t="str">
        <f>HYPERLINK("http://www.cnpol.ru/covers/18516.jpg","фото на сайте")</f>
        <v>фото на сайте</v>
      </c>
    </row>
    <row r="38" spans="1:19" ht="50.1" customHeight="1">
      <c r="A38" s="31"/>
      <c r="B38" s="32" t="s">
        <v>148</v>
      </c>
      <c r="C38" s="31" t="s">
        <v>149</v>
      </c>
      <c r="D38" s="31" t="s">
        <v>150</v>
      </c>
      <c r="E38" s="31" t="s">
        <v>151</v>
      </c>
      <c r="F38" s="31" t="s">
        <v>31</v>
      </c>
      <c r="G38" s="31">
        <v>244</v>
      </c>
      <c r="H38" s="31">
        <v>10</v>
      </c>
      <c r="I38" s="31">
        <v>20</v>
      </c>
      <c r="J38" s="31" t="s">
        <v>152</v>
      </c>
      <c r="K38" s="31" t="s">
        <v>123</v>
      </c>
      <c r="L38" s="31" t="s">
        <v>56</v>
      </c>
      <c r="M38" s="31">
        <v>320</v>
      </c>
      <c r="N38" s="31">
        <v>2015</v>
      </c>
      <c r="O38" s="31">
        <v>150</v>
      </c>
      <c r="P38" s="31"/>
      <c r="Q38" s="31"/>
      <c r="R38" s="33"/>
      <c r="S38" s="34" t="str">
        <f>HYPERLINK("http://www.cnpol.ru/covers/16407.jpg","фото на сайте")</f>
        <v>фото на сайте</v>
      </c>
    </row>
    <row r="39" spans="1:19" ht="50.1" customHeight="1">
      <c r="A39" s="31"/>
      <c r="B39" s="32" t="s">
        <v>153</v>
      </c>
      <c r="C39" s="31" t="s">
        <v>154</v>
      </c>
      <c r="D39" s="31" t="s">
        <v>155</v>
      </c>
      <c r="E39" s="31" t="s">
        <v>156</v>
      </c>
      <c r="F39" s="31" t="s">
        <v>31</v>
      </c>
      <c r="G39" s="31">
        <v>640</v>
      </c>
      <c r="H39" s="31">
        <v>10</v>
      </c>
      <c r="I39" s="31">
        <v>18</v>
      </c>
      <c r="J39" s="31" t="s">
        <v>157</v>
      </c>
      <c r="K39" s="31" t="s">
        <v>158</v>
      </c>
      <c r="L39" s="31" t="s">
        <v>34</v>
      </c>
      <c r="M39" s="31">
        <v>224</v>
      </c>
      <c r="N39" s="31">
        <v>2016</v>
      </c>
      <c r="O39" s="31">
        <v>232</v>
      </c>
      <c r="P39" s="31"/>
      <c r="Q39" s="31"/>
      <c r="R39" s="33"/>
      <c r="S39" s="34" t="str">
        <f>HYPERLINK("http://www.cnpol.ru/covers/17225.jpg","фото на сайте")</f>
        <v>фото на сайте</v>
      </c>
    </row>
    <row r="40" spans="1:19" ht="50.1" customHeight="1">
      <c r="A40" s="31"/>
      <c r="B40" s="32" t="s">
        <v>159</v>
      </c>
      <c r="C40" s="31" t="s">
        <v>143</v>
      </c>
      <c r="D40" s="31" t="s">
        <v>160</v>
      </c>
      <c r="E40" s="31" t="s">
        <v>161</v>
      </c>
      <c r="F40" s="31" t="s">
        <v>31</v>
      </c>
      <c r="G40" s="35">
        <v>1058</v>
      </c>
      <c r="H40" s="31">
        <v>10</v>
      </c>
      <c r="I40" s="31">
        <v>8</v>
      </c>
      <c r="J40" s="31" t="s">
        <v>162</v>
      </c>
      <c r="K40" s="31" t="s">
        <v>41</v>
      </c>
      <c r="L40" s="31" t="s">
        <v>34</v>
      </c>
      <c r="M40" s="31">
        <v>543</v>
      </c>
      <c r="N40" s="31">
        <v>2019</v>
      </c>
      <c r="O40" s="31">
        <v>558</v>
      </c>
      <c r="P40" s="31"/>
      <c r="Q40" s="31"/>
      <c r="R40" s="33"/>
      <c r="S40" s="34" t="str">
        <f>HYPERLINK("http://www.cnpol.ru/covers/18866.jpg","фото на сайте")</f>
        <v>фото на сайте</v>
      </c>
    </row>
    <row r="41" spans="1:19" ht="50.1" customHeight="1">
      <c r="A41" s="31"/>
      <c r="B41" s="32" t="s">
        <v>163</v>
      </c>
      <c r="C41" s="31" t="s">
        <v>143</v>
      </c>
      <c r="D41" s="31" t="s">
        <v>160</v>
      </c>
      <c r="E41" s="31" t="s">
        <v>164</v>
      </c>
      <c r="F41" s="31" t="s">
        <v>31</v>
      </c>
      <c r="G41" s="35">
        <v>1058</v>
      </c>
      <c r="H41" s="31">
        <v>10</v>
      </c>
      <c r="I41" s="31">
        <v>8</v>
      </c>
      <c r="J41" s="31" t="s">
        <v>165</v>
      </c>
      <c r="K41" s="31" t="s">
        <v>41</v>
      </c>
      <c r="L41" s="31" t="s">
        <v>34</v>
      </c>
      <c r="M41" s="31">
        <v>511</v>
      </c>
      <c r="N41" s="31">
        <v>2019</v>
      </c>
      <c r="O41" s="31">
        <v>534</v>
      </c>
      <c r="P41" s="31"/>
      <c r="Q41" s="31"/>
      <c r="R41" s="33"/>
      <c r="S41" s="34" t="str">
        <f>HYPERLINK("http://www.cnpol.ru/covers/18867.jpg","фото на сайте")</f>
        <v>фото на сайте</v>
      </c>
    </row>
    <row r="42" spans="1:19" ht="50.1" customHeight="1">
      <c r="A42" s="31"/>
      <c r="B42" s="32" t="s">
        <v>166</v>
      </c>
      <c r="C42" s="31" t="s">
        <v>143</v>
      </c>
      <c r="D42" s="31" t="s">
        <v>167</v>
      </c>
      <c r="E42" s="31" t="s">
        <v>168</v>
      </c>
      <c r="F42" s="31" t="s">
        <v>31</v>
      </c>
      <c r="G42" s="31">
        <v>559</v>
      </c>
      <c r="H42" s="31">
        <v>10</v>
      </c>
      <c r="I42" s="31">
        <v>10</v>
      </c>
      <c r="J42" s="31" t="s">
        <v>169</v>
      </c>
      <c r="K42" s="31" t="s">
        <v>33</v>
      </c>
      <c r="L42" s="31" t="s">
        <v>34</v>
      </c>
      <c r="M42" s="31">
        <v>416</v>
      </c>
      <c r="N42" s="31">
        <v>2017</v>
      </c>
      <c r="O42" s="31">
        <v>350</v>
      </c>
      <c r="P42" s="31"/>
      <c r="Q42" s="31"/>
      <c r="R42" s="33"/>
      <c r="S42" s="34" t="str">
        <f>HYPERLINK("http://www.cnpol.ru/covers/17707.jpg","фото на сайте")</f>
        <v>фото на сайте</v>
      </c>
    </row>
    <row r="43" spans="1:19" ht="50.1" customHeight="1">
      <c r="A43" s="31"/>
      <c r="B43" s="32" t="s">
        <v>170</v>
      </c>
      <c r="C43" s="31" t="s">
        <v>171</v>
      </c>
      <c r="D43" s="31" t="s">
        <v>172</v>
      </c>
      <c r="E43" s="31" t="s">
        <v>173</v>
      </c>
      <c r="F43" s="31" t="s">
        <v>31</v>
      </c>
      <c r="G43" s="35">
        <v>1357</v>
      </c>
      <c r="H43" s="31">
        <v>10</v>
      </c>
      <c r="I43" s="31">
        <v>5</v>
      </c>
      <c r="J43" s="31" t="s">
        <v>174</v>
      </c>
      <c r="K43" s="31" t="s">
        <v>41</v>
      </c>
      <c r="L43" s="31" t="s">
        <v>34</v>
      </c>
      <c r="M43" s="31">
        <v>415</v>
      </c>
      <c r="N43" s="31">
        <v>2023</v>
      </c>
      <c r="O43" s="31">
        <v>527</v>
      </c>
      <c r="P43" s="31"/>
      <c r="Q43" s="31"/>
      <c r="R43" s="33" t="s">
        <v>175</v>
      </c>
      <c r="S43" s="34" t="str">
        <f>HYPERLINK("http://www.cnpol.ru/covers/20732.jpg","фото на сайте")</f>
        <v>фото на сайте</v>
      </c>
    </row>
    <row r="44" spans="1:19" ht="50.1" customHeight="1">
      <c r="A44" s="31"/>
      <c r="B44" s="32" t="s">
        <v>176</v>
      </c>
      <c r="C44" s="31" t="s">
        <v>171</v>
      </c>
      <c r="D44" s="31" t="s">
        <v>172</v>
      </c>
      <c r="E44" s="31" t="s">
        <v>177</v>
      </c>
      <c r="F44" s="31" t="s">
        <v>31</v>
      </c>
      <c r="G44" s="35">
        <v>1376</v>
      </c>
      <c r="H44" s="31">
        <v>10</v>
      </c>
      <c r="I44" s="31">
        <v>6</v>
      </c>
      <c r="J44" s="31" t="s">
        <v>178</v>
      </c>
      <c r="K44" s="31" t="s">
        <v>41</v>
      </c>
      <c r="L44" s="31" t="s">
        <v>34</v>
      </c>
      <c r="M44" s="31">
        <v>463</v>
      </c>
      <c r="N44" s="31">
        <v>2023</v>
      </c>
      <c r="O44" s="31">
        <v>575</v>
      </c>
      <c r="P44" s="31"/>
      <c r="Q44" s="31"/>
      <c r="R44" s="33" t="s">
        <v>179</v>
      </c>
      <c r="S44" s="34" t="str">
        <f>HYPERLINK("http://www.cnpol.ru/covers/20924.jpg","фото на сайте")</f>
        <v>фото на сайте</v>
      </c>
    </row>
    <row r="45" spans="1:19" ht="50.1" customHeight="1">
      <c r="A45" s="31"/>
      <c r="B45" s="32" t="s">
        <v>180</v>
      </c>
      <c r="C45" s="31" t="s">
        <v>181</v>
      </c>
      <c r="D45" s="31" t="s">
        <v>182</v>
      </c>
      <c r="E45" s="31" t="s">
        <v>183</v>
      </c>
      <c r="F45" s="31" t="s">
        <v>31</v>
      </c>
      <c r="G45" s="31">
        <v>300</v>
      </c>
      <c r="H45" s="31">
        <v>10</v>
      </c>
      <c r="I45" s="31">
        <v>24</v>
      </c>
      <c r="J45" s="31" t="s">
        <v>184</v>
      </c>
      <c r="K45" s="31" t="s">
        <v>130</v>
      </c>
      <c r="L45" s="31" t="s">
        <v>56</v>
      </c>
      <c r="M45" s="31">
        <v>80</v>
      </c>
      <c r="N45" s="31">
        <v>2012</v>
      </c>
      <c r="O45" s="31">
        <v>170</v>
      </c>
      <c r="P45" s="31"/>
      <c r="Q45" s="31"/>
      <c r="R45" s="33"/>
      <c r="S45" s="34" t="str">
        <f>HYPERLINK("http://www.cnpol.ru/covers/13935.jpg","фото на сайте")</f>
        <v>фото на сайте</v>
      </c>
    </row>
    <row r="46" spans="1:19" ht="50.1" customHeight="1">
      <c r="A46" s="31" t="s">
        <v>43</v>
      </c>
      <c r="B46" s="32" t="s">
        <v>185</v>
      </c>
      <c r="C46" s="31" t="s">
        <v>143</v>
      </c>
      <c r="D46" s="31" t="s">
        <v>186</v>
      </c>
      <c r="E46" s="31" t="s">
        <v>187</v>
      </c>
      <c r="F46" s="31" t="s">
        <v>31</v>
      </c>
      <c r="G46" s="35">
        <v>1776</v>
      </c>
      <c r="H46" s="31">
        <v>10</v>
      </c>
      <c r="I46" s="31">
        <v>3</v>
      </c>
      <c r="J46" s="31" t="s">
        <v>188</v>
      </c>
      <c r="K46" s="31" t="s">
        <v>41</v>
      </c>
      <c r="L46" s="31" t="s">
        <v>34</v>
      </c>
      <c r="M46" s="31">
        <v>847</v>
      </c>
      <c r="N46" s="31">
        <v>2025</v>
      </c>
      <c r="O46" s="31">
        <v>702</v>
      </c>
      <c r="P46" s="31"/>
      <c r="Q46" s="31"/>
      <c r="R46" s="33" t="s">
        <v>189</v>
      </c>
      <c r="S46" s="34" t="str">
        <f>HYPERLINK("http://www.cnpol.ru/covers/21585.jpg","фото на сайте")</f>
        <v>фото на сайте</v>
      </c>
    </row>
    <row r="47" spans="1:19" ht="50.1" customHeight="1">
      <c r="A47" s="31" t="s">
        <v>43</v>
      </c>
      <c r="B47" s="32" t="s">
        <v>190</v>
      </c>
      <c r="C47" s="31" t="s">
        <v>119</v>
      </c>
      <c r="D47" s="31" t="s">
        <v>191</v>
      </c>
      <c r="E47" s="31" t="s">
        <v>192</v>
      </c>
      <c r="F47" s="31" t="s">
        <v>31</v>
      </c>
      <c r="G47" s="31">
        <v>696</v>
      </c>
      <c r="H47" s="31">
        <v>10</v>
      </c>
      <c r="I47" s="31">
        <v>8</v>
      </c>
      <c r="J47" s="31" t="s">
        <v>193</v>
      </c>
      <c r="K47" s="31" t="s">
        <v>194</v>
      </c>
      <c r="L47" s="31" t="s">
        <v>34</v>
      </c>
      <c r="M47" s="31">
        <v>383</v>
      </c>
      <c r="N47" s="31">
        <v>2024</v>
      </c>
      <c r="O47" s="31">
        <v>320</v>
      </c>
      <c r="P47" s="31"/>
      <c r="Q47" s="31"/>
      <c r="R47" s="33" t="s">
        <v>195</v>
      </c>
      <c r="S47" s="34" t="str">
        <f>HYPERLINK("http://www.cnpol.ru/covers/21384.jpg","фото на сайте")</f>
        <v>фото на сайте</v>
      </c>
    </row>
    <row r="48" spans="1:19" ht="50.1" customHeight="1">
      <c r="A48" s="31"/>
      <c r="B48" s="32" t="s">
        <v>196</v>
      </c>
      <c r="C48" s="31" t="s">
        <v>197</v>
      </c>
      <c r="D48" s="31" t="s">
        <v>198</v>
      </c>
      <c r="E48" s="31" t="s">
        <v>199</v>
      </c>
      <c r="F48" s="31" t="s">
        <v>31</v>
      </c>
      <c r="G48" s="31">
        <v>122</v>
      </c>
      <c r="H48" s="31">
        <v>10</v>
      </c>
      <c r="I48" s="31">
        <v>40</v>
      </c>
      <c r="J48" s="31" t="s">
        <v>200</v>
      </c>
      <c r="K48" s="31" t="s">
        <v>123</v>
      </c>
      <c r="L48" s="31" t="s">
        <v>56</v>
      </c>
      <c r="M48" s="31">
        <v>125</v>
      </c>
      <c r="N48" s="31">
        <v>2010</v>
      </c>
      <c r="O48" s="31">
        <v>62</v>
      </c>
      <c r="P48" s="31"/>
      <c r="Q48" s="31"/>
      <c r="R48" s="33"/>
      <c r="S48" s="34" t="str">
        <f>HYPERLINK("http://www.cnpol.ru/covers/11794.jpg","фото на сайте")</f>
        <v>фото на сайте</v>
      </c>
    </row>
    <row r="49" spans="1:19" ht="50.1" customHeight="1">
      <c r="A49" s="31"/>
      <c r="B49" s="32" t="s">
        <v>201</v>
      </c>
      <c r="C49" s="31" t="s">
        <v>28</v>
      </c>
      <c r="D49" s="31" t="s">
        <v>202</v>
      </c>
      <c r="E49" s="31" t="s">
        <v>203</v>
      </c>
      <c r="F49" s="31" t="s">
        <v>31</v>
      </c>
      <c r="G49" s="35">
        <v>1041</v>
      </c>
      <c r="H49" s="31">
        <v>10</v>
      </c>
      <c r="I49" s="31">
        <v>10</v>
      </c>
      <c r="J49" s="31" t="s">
        <v>204</v>
      </c>
      <c r="K49" s="31" t="s">
        <v>41</v>
      </c>
      <c r="L49" s="31" t="s">
        <v>34</v>
      </c>
      <c r="M49" s="31">
        <v>528</v>
      </c>
      <c r="N49" s="31">
        <v>2015</v>
      </c>
      <c r="O49" s="31">
        <v>600</v>
      </c>
      <c r="P49" s="31"/>
      <c r="Q49" s="31"/>
      <c r="R49" s="33"/>
      <c r="S49" s="34" t="str">
        <f>HYPERLINK("http://www.cnpol.ru/covers/16389.jpg","фото на сайте")</f>
        <v>фото на сайте</v>
      </c>
    </row>
    <row r="50" spans="1:19" ht="50.1" customHeight="1">
      <c r="A50" s="31"/>
      <c r="B50" s="32" t="s">
        <v>205</v>
      </c>
      <c r="C50" s="31" t="s">
        <v>206</v>
      </c>
      <c r="D50" s="31" t="s">
        <v>207</v>
      </c>
      <c r="E50" s="31" t="s">
        <v>208</v>
      </c>
      <c r="F50" s="31" t="s">
        <v>31</v>
      </c>
      <c r="G50" s="31">
        <v>321</v>
      </c>
      <c r="H50" s="31">
        <v>10</v>
      </c>
      <c r="I50" s="31">
        <v>20</v>
      </c>
      <c r="J50" s="31" t="s">
        <v>209</v>
      </c>
      <c r="K50" s="31" t="s">
        <v>123</v>
      </c>
      <c r="L50" s="31" t="s">
        <v>210</v>
      </c>
      <c r="M50" s="31">
        <v>253</v>
      </c>
      <c r="N50" s="31">
        <v>2008</v>
      </c>
      <c r="O50" s="31">
        <v>166</v>
      </c>
      <c r="P50" s="31"/>
      <c r="Q50" s="31"/>
      <c r="R50" s="33"/>
      <c r="S50" s="34" t="str">
        <f>HYPERLINK("http://www.cnpol.ru/covers/10681.jpg","фото на сайте")</f>
        <v>фото на сайте</v>
      </c>
    </row>
    <row r="51" spans="1:19" ht="50.1" customHeight="1">
      <c r="A51" s="31"/>
      <c r="B51" s="32" t="s">
        <v>211</v>
      </c>
      <c r="C51" s="31" t="s">
        <v>212</v>
      </c>
      <c r="D51" s="31" t="s">
        <v>213</v>
      </c>
      <c r="E51" s="31" t="s">
        <v>214</v>
      </c>
      <c r="F51" s="31" t="s">
        <v>31</v>
      </c>
      <c r="G51" s="35">
        <v>5743</v>
      </c>
      <c r="H51" s="31">
        <v>10</v>
      </c>
      <c r="I51" s="31">
        <v>3</v>
      </c>
      <c r="J51" s="31" t="s">
        <v>215</v>
      </c>
      <c r="K51" s="31" t="s">
        <v>216</v>
      </c>
      <c r="L51" s="31" t="s">
        <v>34</v>
      </c>
      <c r="M51" s="31">
        <v>480</v>
      </c>
      <c r="N51" s="31">
        <v>2019</v>
      </c>
      <c r="O51" s="31">
        <v>2202</v>
      </c>
      <c r="P51" s="31"/>
      <c r="Q51" s="31"/>
      <c r="R51" s="33"/>
      <c r="S51" s="34" t="str">
        <f>HYPERLINK("http://www.cnpol.ru/covers/18623.jpg","фото на сайте")</f>
        <v>фото на сайте</v>
      </c>
    </row>
    <row r="52" spans="1:19" ht="50.1" customHeight="1">
      <c r="A52" s="31" t="s">
        <v>35</v>
      </c>
      <c r="B52" s="32" t="s">
        <v>217</v>
      </c>
      <c r="C52" s="31" t="s">
        <v>119</v>
      </c>
      <c r="D52" s="31" t="s">
        <v>213</v>
      </c>
      <c r="E52" s="31" t="s">
        <v>218</v>
      </c>
      <c r="F52" s="31" t="s">
        <v>31</v>
      </c>
      <c r="G52" s="31">
        <v>637</v>
      </c>
      <c r="H52" s="31">
        <v>10</v>
      </c>
      <c r="I52" s="31">
        <v>12</v>
      </c>
      <c r="J52" s="31" t="s">
        <v>219</v>
      </c>
      <c r="K52" s="31" t="s">
        <v>194</v>
      </c>
      <c r="L52" s="31" t="s">
        <v>34</v>
      </c>
      <c r="M52" s="31">
        <v>288</v>
      </c>
      <c r="N52" s="31">
        <v>2025</v>
      </c>
      <c r="O52" s="31" t="s">
        <v>220</v>
      </c>
      <c r="P52" s="31"/>
      <c r="Q52" s="31"/>
      <c r="R52" s="33" t="s">
        <v>221</v>
      </c>
      <c r="S52" s="34" t="str">
        <f>HYPERLINK("http://www.cnpol.ru/covers/21784.jpg","фото на сайте")</f>
        <v>фото на сайте</v>
      </c>
    </row>
    <row r="53" spans="1:19" ht="50.1" customHeight="1">
      <c r="A53" s="31"/>
      <c r="B53" s="32" t="s">
        <v>222</v>
      </c>
      <c r="C53" s="31">
        <v>365</v>
      </c>
      <c r="D53" s="31" t="s">
        <v>223</v>
      </c>
      <c r="E53" s="31" t="s">
        <v>224</v>
      </c>
      <c r="F53" s="31" t="s">
        <v>31</v>
      </c>
      <c r="G53" s="31">
        <v>325</v>
      </c>
      <c r="H53" s="31">
        <v>10</v>
      </c>
      <c r="I53" s="31">
        <v>28</v>
      </c>
      <c r="J53" s="31" t="s">
        <v>225</v>
      </c>
      <c r="K53" s="31" t="s">
        <v>226</v>
      </c>
      <c r="L53" s="31" t="s">
        <v>34</v>
      </c>
      <c r="M53" s="31">
        <v>381</v>
      </c>
      <c r="N53" s="31">
        <v>2011</v>
      </c>
      <c r="O53" s="31">
        <v>177</v>
      </c>
      <c r="P53" s="31"/>
      <c r="Q53" s="31"/>
      <c r="R53" s="33"/>
      <c r="S53" s="34" t="str">
        <f>HYPERLINK("http://www.cnpol.ru/covers/12803.jpg","фото на сайте")</f>
        <v>фото на сайте</v>
      </c>
    </row>
    <row r="54" spans="1:19" ht="50.1" customHeight="1">
      <c r="A54" s="31" t="s">
        <v>43</v>
      </c>
      <c r="B54" s="32" t="s">
        <v>227</v>
      </c>
      <c r="C54" s="31" t="s">
        <v>119</v>
      </c>
      <c r="D54" s="31" t="s">
        <v>120</v>
      </c>
      <c r="E54" s="31" t="s">
        <v>228</v>
      </c>
      <c r="F54" s="31" t="s">
        <v>31</v>
      </c>
      <c r="G54" s="31">
        <v>722</v>
      </c>
      <c r="H54" s="31">
        <v>10</v>
      </c>
      <c r="I54" s="31">
        <v>2</v>
      </c>
      <c r="J54" s="31" t="s">
        <v>229</v>
      </c>
      <c r="K54" s="31" t="s">
        <v>194</v>
      </c>
      <c r="L54" s="31" t="s">
        <v>34</v>
      </c>
      <c r="M54" s="31">
        <v>415</v>
      </c>
      <c r="N54" s="31">
        <v>2025</v>
      </c>
      <c r="O54" s="31">
        <v>320</v>
      </c>
      <c r="P54" s="31"/>
      <c r="Q54" s="31"/>
      <c r="R54" s="33" t="s">
        <v>230</v>
      </c>
      <c r="S54" s="34" t="str">
        <f>HYPERLINK("http://www.cnpol.ru/covers/21434.jpg","фото на сайте")</f>
        <v>фото на сайте</v>
      </c>
    </row>
    <row r="55" spans="1:19" ht="50.1" customHeight="1">
      <c r="A55" s="31" t="s">
        <v>43</v>
      </c>
      <c r="B55" s="32" t="s">
        <v>231</v>
      </c>
      <c r="C55" s="31" t="s">
        <v>119</v>
      </c>
      <c r="D55" s="31" t="s">
        <v>120</v>
      </c>
      <c r="E55" s="31" t="s">
        <v>232</v>
      </c>
      <c r="F55" s="31" t="s">
        <v>31</v>
      </c>
      <c r="G55" s="31">
        <v>696</v>
      </c>
      <c r="H55" s="31">
        <v>10</v>
      </c>
      <c r="I55" s="31">
        <v>10</v>
      </c>
      <c r="J55" s="31" t="s">
        <v>233</v>
      </c>
      <c r="K55" s="31" t="s">
        <v>194</v>
      </c>
      <c r="L55" s="31" t="s">
        <v>34</v>
      </c>
      <c r="M55" s="31">
        <v>383</v>
      </c>
      <c r="N55" s="31">
        <v>2024</v>
      </c>
      <c r="O55" s="31">
        <v>221</v>
      </c>
      <c r="P55" s="31"/>
      <c r="Q55" s="31"/>
      <c r="R55" s="33" t="s">
        <v>234</v>
      </c>
      <c r="S55" s="34" t="str">
        <f>HYPERLINK("http://www.cnpol.ru/covers/21280.jpg","фото на сайте")</f>
        <v>фото на сайте</v>
      </c>
    </row>
    <row r="56" spans="1:19" ht="50.1" customHeight="1">
      <c r="A56" s="31" t="s">
        <v>43</v>
      </c>
      <c r="B56" s="32" t="s">
        <v>235</v>
      </c>
      <c r="C56" s="31" t="s">
        <v>119</v>
      </c>
      <c r="D56" s="31" t="s">
        <v>236</v>
      </c>
      <c r="E56" s="31" t="s">
        <v>237</v>
      </c>
      <c r="F56" s="31" t="s">
        <v>31</v>
      </c>
      <c r="G56" s="31">
        <v>700</v>
      </c>
      <c r="H56" s="31">
        <v>10</v>
      </c>
      <c r="I56" s="31">
        <v>2</v>
      </c>
      <c r="J56" s="31" t="s">
        <v>238</v>
      </c>
      <c r="K56" s="31" t="s">
        <v>194</v>
      </c>
      <c r="L56" s="31" t="s">
        <v>34</v>
      </c>
      <c r="M56" s="31">
        <v>319</v>
      </c>
      <c r="N56" s="31">
        <v>2025</v>
      </c>
      <c r="O56" s="31">
        <v>240</v>
      </c>
      <c r="P56" s="31"/>
      <c r="Q56" s="31"/>
      <c r="R56" s="33" t="s">
        <v>239</v>
      </c>
      <c r="S56" s="34" t="str">
        <f>HYPERLINK("http://www.cnpol.ru/covers/21432.jpg","фото на сайте")</f>
        <v>фото на сайте</v>
      </c>
    </row>
    <row r="57" spans="1:19" ht="50.1" customHeight="1">
      <c r="A57" s="31" t="s">
        <v>43</v>
      </c>
      <c r="B57" s="32" t="s">
        <v>240</v>
      </c>
      <c r="C57" s="31" t="s">
        <v>119</v>
      </c>
      <c r="D57" s="31" t="s">
        <v>120</v>
      </c>
      <c r="E57" s="31" t="s">
        <v>241</v>
      </c>
      <c r="F57" s="31" t="s">
        <v>31</v>
      </c>
      <c r="G57" s="31">
        <v>696</v>
      </c>
      <c r="H57" s="31">
        <v>10</v>
      </c>
      <c r="I57" s="31">
        <v>8</v>
      </c>
      <c r="J57" s="31" t="s">
        <v>242</v>
      </c>
      <c r="K57" s="31" t="s">
        <v>194</v>
      </c>
      <c r="L57" s="31" t="s">
        <v>34</v>
      </c>
      <c r="M57" s="31">
        <v>383</v>
      </c>
      <c r="N57" s="31">
        <v>2024</v>
      </c>
      <c r="O57" s="31">
        <v>301</v>
      </c>
      <c r="P57" s="31"/>
      <c r="Q57" s="31"/>
      <c r="R57" s="33" t="s">
        <v>243</v>
      </c>
      <c r="S57" s="34" t="str">
        <f>HYPERLINK("http://www.cnpol.ru/covers/21339.jpg","фото на сайте")</f>
        <v>фото на сайте</v>
      </c>
    </row>
    <row r="58" spans="1:19" ht="50.1" customHeight="1">
      <c r="A58" s="31" t="s">
        <v>35</v>
      </c>
      <c r="B58" s="32" t="s">
        <v>244</v>
      </c>
      <c r="C58" s="31" t="s">
        <v>245</v>
      </c>
      <c r="D58" s="31" t="s">
        <v>246</v>
      </c>
      <c r="E58" s="31" t="s">
        <v>247</v>
      </c>
      <c r="F58" s="31" t="s">
        <v>31</v>
      </c>
      <c r="G58" s="31">
        <v>155</v>
      </c>
      <c r="H58" s="31">
        <v>10</v>
      </c>
      <c r="I58" s="31">
        <v>21</v>
      </c>
      <c r="J58" s="31" t="s">
        <v>248</v>
      </c>
      <c r="K58" s="31" t="s">
        <v>130</v>
      </c>
      <c r="L58" s="31" t="s">
        <v>56</v>
      </c>
      <c r="M58" s="31">
        <v>127</v>
      </c>
      <c r="N58" s="31">
        <v>2025</v>
      </c>
      <c r="O58" s="31" t="s">
        <v>220</v>
      </c>
      <c r="P58" s="31"/>
      <c r="Q58" s="31"/>
      <c r="R58" s="33" t="s">
        <v>249</v>
      </c>
      <c r="S58" s="34" t="str">
        <f>HYPERLINK("http://www.cnpol.ru/covers/21707.jpg","фото на сайте")</f>
        <v>фото на сайте</v>
      </c>
    </row>
    <row r="59" spans="1:19" ht="50.1" customHeight="1">
      <c r="A59" s="31"/>
      <c r="B59" s="32" t="s">
        <v>250</v>
      </c>
      <c r="C59" s="31" t="s">
        <v>251</v>
      </c>
      <c r="D59" s="31" t="s">
        <v>252</v>
      </c>
      <c r="E59" s="31" t="s">
        <v>253</v>
      </c>
      <c r="F59" s="31" t="s">
        <v>31</v>
      </c>
      <c r="G59" s="31">
        <v>461</v>
      </c>
      <c r="H59" s="31">
        <v>10</v>
      </c>
      <c r="I59" s="31">
        <v>12</v>
      </c>
      <c r="J59" s="31" t="s">
        <v>254</v>
      </c>
      <c r="K59" s="31" t="s">
        <v>33</v>
      </c>
      <c r="L59" s="31" t="s">
        <v>34</v>
      </c>
      <c r="M59" s="31">
        <v>382</v>
      </c>
      <c r="N59" s="31">
        <v>2009</v>
      </c>
      <c r="O59" s="31">
        <v>366</v>
      </c>
      <c r="P59" s="31"/>
      <c r="Q59" s="31"/>
      <c r="R59" s="33"/>
      <c r="S59" s="34" t="str">
        <f>HYPERLINK("http://www.cnpol.ru/covers/11548.jpg","фото на сайте")</f>
        <v>фото на сайте</v>
      </c>
    </row>
    <row r="60" spans="1:19" ht="50.1" customHeight="1">
      <c r="A60" s="31"/>
      <c r="B60" s="32" t="s">
        <v>255</v>
      </c>
      <c r="C60" s="31" t="s">
        <v>256</v>
      </c>
      <c r="D60" s="31" t="s">
        <v>257</v>
      </c>
      <c r="E60" s="31" t="s">
        <v>258</v>
      </c>
      <c r="F60" s="31" t="s">
        <v>31</v>
      </c>
      <c r="G60" s="31">
        <v>441</v>
      </c>
      <c r="H60" s="31">
        <v>10</v>
      </c>
      <c r="I60" s="31">
        <v>12</v>
      </c>
      <c r="J60" s="31" t="s">
        <v>259</v>
      </c>
      <c r="K60" s="31" t="s">
        <v>260</v>
      </c>
      <c r="L60" s="31" t="s">
        <v>34</v>
      </c>
      <c r="M60" s="31">
        <v>256</v>
      </c>
      <c r="N60" s="31">
        <v>2008</v>
      </c>
      <c r="O60" s="31">
        <v>304</v>
      </c>
      <c r="P60" s="31"/>
      <c r="Q60" s="31"/>
      <c r="R60" s="33" t="s">
        <v>261</v>
      </c>
      <c r="S60" s="34" t="str">
        <f>HYPERLINK("http://www.cnpol.ru/covers/10260.jpg","фото на сайте")</f>
        <v>фото на сайте</v>
      </c>
    </row>
    <row r="61" spans="1:19" ht="50.1" customHeight="1">
      <c r="A61" s="31"/>
      <c r="B61" s="32" t="s">
        <v>262</v>
      </c>
      <c r="C61" s="31" t="s">
        <v>256</v>
      </c>
      <c r="D61" s="31" t="s">
        <v>263</v>
      </c>
      <c r="E61" s="31" t="s">
        <v>264</v>
      </c>
      <c r="F61" s="31" t="s">
        <v>31</v>
      </c>
      <c r="G61" s="31">
        <v>441</v>
      </c>
      <c r="H61" s="31">
        <v>10</v>
      </c>
      <c r="I61" s="31">
        <v>10</v>
      </c>
      <c r="J61" s="31" t="s">
        <v>265</v>
      </c>
      <c r="K61" s="31" t="s">
        <v>260</v>
      </c>
      <c r="L61" s="31" t="s">
        <v>34</v>
      </c>
      <c r="M61" s="31">
        <v>191</v>
      </c>
      <c r="N61" s="31">
        <v>2008</v>
      </c>
      <c r="O61" s="31">
        <v>300</v>
      </c>
      <c r="P61" s="31"/>
      <c r="Q61" s="31"/>
      <c r="R61" s="33" t="s">
        <v>266</v>
      </c>
      <c r="S61" s="34" t="str">
        <f>HYPERLINK("http://www.cnpol.ru/covers/10541.jpg","фото на сайте")</f>
        <v>фото на сайте</v>
      </c>
    </row>
    <row r="62" spans="1:19" ht="50.1" customHeight="1">
      <c r="A62" s="31"/>
      <c r="B62" s="32" t="s">
        <v>267</v>
      </c>
      <c r="C62" s="31" t="s">
        <v>256</v>
      </c>
      <c r="D62" s="31" t="s">
        <v>268</v>
      </c>
      <c r="E62" s="31" t="s">
        <v>269</v>
      </c>
      <c r="F62" s="31" t="s">
        <v>31</v>
      </c>
      <c r="G62" s="31">
        <v>441</v>
      </c>
      <c r="H62" s="31">
        <v>10</v>
      </c>
      <c r="I62" s="31">
        <v>10</v>
      </c>
      <c r="J62" s="31" t="s">
        <v>270</v>
      </c>
      <c r="K62" s="31" t="s">
        <v>260</v>
      </c>
      <c r="L62" s="31" t="s">
        <v>34</v>
      </c>
      <c r="M62" s="31">
        <v>207</v>
      </c>
      <c r="N62" s="31">
        <v>2008</v>
      </c>
      <c r="O62" s="31">
        <v>316</v>
      </c>
      <c r="P62" s="31"/>
      <c r="Q62" s="31"/>
      <c r="R62" s="33" t="s">
        <v>271</v>
      </c>
      <c r="S62" s="34" t="str">
        <f>HYPERLINK("http://www.cnpol.ru/covers/10466.jpg","фото на сайте")</f>
        <v>фото на сайте</v>
      </c>
    </row>
    <row r="63" spans="1:19" ht="50.1" customHeight="1">
      <c r="A63" s="31"/>
      <c r="B63" s="32" t="s">
        <v>272</v>
      </c>
      <c r="C63" s="31" t="s">
        <v>256</v>
      </c>
      <c r="D63" s="31" t="s">
        <v>273</v>
      </c>
      <c r="E63" s="31" t="s">
        <v>274</v>
      </c>
      <c r="F63" s="31" t="s">
        <v>31</v>
      </c>
      <c r="G63" s="31">
        <v>441</v>
      </c>
      <c r="H63" s="31">
        <v>10</v>
      </c>
      <c r="I63" s="31">
        <v>12</v>
      </c>
      <c r="J63" s="31" t="s">
        <v>275</v>
      </c>
      <c r="K63" s="31" t="s">
        <v>260</v>
      </c>
      <c r="L63" s="31" t="s">
        <v>34</v>
      </c>
      <c r="M63" s="31">
        <v>191</v>
      </c>
      <c r="N63" s="31">
        <v>2008</v>
      </c>
      <c r="O63" s="31">
        <v>304</v>
      </c>
      <c r="P63" s="31"/>
      <c r="Q63" s="31"/>
      <c r="R63" s="33" t="s">
        <v>276</v>
      </c>
      <c r="S63" s="34" t="str">
        <f>HYPERLINK("http://www.cnpol.ru/covers/10310.jpg","фото на сайте")</f>
        <v>фото на сайте</v>
      </c>
    </row>
    <row r="64" spans="1:19" ht="50.1" customHeight="1">
      <c r="A64" s="31"/>
      <c r="B64" s="32" t="s">
        <v>277</v>
      </c>
      <c r="C64" s="31" t="s">
        <v>256</v>
      </c>
      <c r="D64" s="31" t="s">
        <v>278</v>
      </c>
      <c r="E64" s="31" t="s">
        <v>279</v>
      </c>
      <c r="F64" s="31" t="s">
        <v>31</v>
      </c>
      <c r="G64" s="31">
        <v>441</v>
      </c>
      <c r="H64" s="31">
        <v>10</v>
      </c>
      <c r="I64" s="31">
        <v>12</v>
      </c>
      <c r="J64" s="31" t="s">
        <v>280</v>
      </c>
      <c r="K64" s="31" t="s">
        <v>260</v>
      </c>
      <c r="L64" s="31" t="s">
        <v>34</v>
      </c>
      <c r="M64" s="31">
        <v>191</v>
      </c>
      <c r="N64" s="31">
        <v>2008</v>
      </c>
      <c r="O64" s="31">
        <v>296</v>
      </c>
      <c r="P64" s="31"/>
      <c r="Q64" s="31"/>
      <c r="R64" s="33" t="s">
        <v>281</v>
      </c>
      <c r="S64" s="34" t="str">
        <f>HYPERLINK("http://www.cnpol.ru/covers/10596.jpg","фото на сайте")</f>
        <v>фото на сайте</v>
      </c>
    </row>
    <row r="65" spans="1:19" ht="50.1" customHeight="1">
      <c r="A65" s="31"/>
      <c r="B65" s="32" t="s">
        <v>282</v>
      </c>
      <c r="C65" s="31" t="s">
        <v>256</v>
      </c>
      <c r="D65" s="31" t="s">
        <v>283</v>
      </c>
      <c r="E65" s="31" t="s">
        <v>284</v>
      </c>
      <c r="F65" s="31" t="s">
        <v>31</v>
      </c>
      <c r="G65" s="31">
        <v>441</v>
      </c>
      <c r="H65" s="31">
        <v>10</v>
      </c>
      <c r="I65" s="31">
        <v>10</v>
      </c>
      <c r="J65" s="31" t="s">
        <v>285</v>
      </c>
      <c r="K65" s="31" t="s">
        <v>260</v>
      </c>
      <c r="L65" s="31" t="s">
        <v>34</v>
      </c>
      <c r="M65" s="31">
        <v>191</v>
      </c>
      <c r="N65" s="31">
        <v>2008</v>
      </c>
      <c r="O65" s="31">
        <v>296</v>
      </c>
      <c r="P65" s="31"/>
      <c r="Q65" s="31"/>
      <c r="R65" s="33" t="s">
        <v>286</v>
      </c>
      <c r="S65" s="34" t="str">
        <f>HYPERLINK("http://www.cnpol.ru/covers/10566.jpg","фото на сайте")</f>
        <v>фото на сайте</v>
      </c>
    </row>
    <row r="66" spans="1:19" ht="50.1" customHeight="1">
      <c r="A66" s="31"/>
      <c r="B66" s="32" t="s">
        <v>287</v>
      </c>
      <c r="C66" s="31" t="s">
        <v>256</v>
      </c>
      <c r="D66" s="31" t="s">
        <v>278</v>
      </c>
      <c r="E66" s="31" t="s">
        <v>288</v>
      </c>
      <c r="F66" s="31" t="s">
        <v>31</v>
      </c>
      <c r="G66" s="31">
        <v>441</v>
      </c>
      <c r="H66" s="31">
        <v>10</v>
      </c>
      <c r="I66" s="31">
        <v>12</v>
      </c>
      <c r="J66" s="31" t="s">
        <v>289</v>
      </c>
      <c r="K66" s="31" t="s">
        <v>260</v>
      </c>
      <c r="L66" s="31" t="s">
        <v>34</v>
      </c>
      <c r="M66" s="31">
        <v>191</v>
      </c>
      <c r="N66" s="31">
        <v>2008</v>
      </c>
      <c r="O66" s="31">
        <v>302</v>
      </c>
      <c r="P66" s="31"/>
      <c r="Q66" s="31"/>
      <c r="R66" s="33" t="s">
        <v>290</v>
      </c>
      <c r="S66" s="34" t="str">
        <f>HYPERLINK("http://www.cnpol.ru/covers/10433.jpg","фото на сайте")</f>
        <v>фото на сайте</v>
      </c>
    </row>
    <row r="67" spans="1:19" ht="50.1" customHeight="1">
      <c r="A67" s="31"/>
      <c r="B67" s="32" t="s">
        <v>291</v>
      </c>
      <c r="C67" s="31" t="s">
        <v>292</v>
      </c>
      <c r="D67" s="31" t="s">
        <v>293</v>
      </c>
      <c r="E67" s="31" t="s">
        <v>294</v>
      </c>
      <c r="F67" s="31" t="s">
        <v>31</v>
      </c>
      <c r="G67" s="31">
        <v>137</v>
      </c>
      <c r="H67" s="31">
        <v>10</v>
      </c>
      <c r="I67" s="31">
        <v>18</v>
      </c>
      <c r="J67" s="31" t="s">
        <v>295</v>
      </c>
      <c r="K67" s="31" t="s">
        <v>130</v>
      </c>
      <c r="L67" s="31" t="s">
        <v>56</v>
      </c>
      <c r="M67" s="31">
        <v>223</v>
      </c>
      <c r="N67" s="31">
        <v>2009</v>
      </c>
      <c r="O67" s="31">
        <v>140</v>
      </c>
      <c r="P67" s="31"/>
      <c r="Q67" s="31"/>
      <c r="R67" s="33"/>
      <c r="S67" s="34" t="str">
        <f>HYPERLINK("http://www.cnpol.ru/covers/11356.jpg","фото на сайте")</f>
        <v>фото на сайте</v>
      </c>
    </row>
    <row r="68" spans="1:19" ht="50.1" customHeight="1">
      <c r="A68" s="31"/>
      <c r="B68" s="32" t="s">
        <v>296</v>
      </c>
      <c r="C68" s="31" t="s">
        <v>297</v>
      </c>
      <c r="D68" s="31" t="s">
        <v>298</v>
      </c>
      <c r="E68" s="31">
        <v>64</v>
      </c>
      <c r="F68" s="31" t="s">
        <v>31</v>
      </c>
      <c r="G68" s="31">
        <v>300</v>
      </c>
      <c r="H68" s="31">
        <v>10</v>
      </c>
      <c r="I68" s="31">
        <v>6</v>
      </c>
      <c r="J68" s="31" t="s">
        <v>299</v>
      </c>
      <c r="K68" s="31" t="s">
        <v>300</v>
      </c>
      <c r="L68" s="31" t="s">
        <v>56</v>
      </c>
      <c r="M68" s="31">
        <v>576</v>
      </c>
      <c r="N68" s="31">
        <v>2021</v>
      </c>
      <c r="O68" s="31">
        <v>280</v>
      </c>
      <c r="P68" s="31"/>
      <c r="Q68" s="31"/>
      <c r="R68" s="33"/>
      <c r="S68" s="34" t="str">
        <f>HYPERLINK("http://www.cnpol.ru/covers/19600.jpg","фото на сайте")</f>
        <v>фото на сайте</v>
      </c>
    </row>
    <row r="69" spans="1:19" ht="50.1" customHeight="1">
      <c r="A69" s="31"/>
      <c r="B69" s="32" t="s">
        <v>301</v>
      </c>
      <c r="C69" s="31" t="s">
        <v>302</v>
      </c>
      <c r="D69" s="31" t="s">
        <v>298</v>
      </c>
      <c r="E69" s="31">
        <v>64</v>
      </c>
      <c r="F69" s="31" t="s">
        <v>31</v>
      </c>
      <c r="G69" s="35">
        <v>1048</v>
      </c>
      <c r="H69" s="31">
        <v>10</v>
      </c>
      <c r="I69" s="31">
        <v>10</v>
      </c>
      <c r="J69" s="31" t="s">
        <v>303</v>
      </c>
      <c r="K69" s="31" t="s">
        <v>41</v>
      </c>
      <c r="L69" s="31" t="s">
        <v>304</v>
      </c>
      <c r="M69" s="31">
        <v>560</v>
      </c>
      <c r="N69" s="31">
        <v>2018</v>
      </c>
      <c r="O69" s="31">
        <v>654</v>
      </c>
      <c r="P69" s="31"/>
      <c r="Q69" s="31"/>
      <c r="R69" s="33"/>
      <c r="S69" s="34" t="str">
        <f>HYPERLINK("http://www.cnpol.ru/covers/18034.jpg","фото на сайте")</f>
        <v>фото на сайте</v>
      </c>
    </row>
    <row r="70" spans="1:19" ht="50.1" customHeight="1">
      <c r="A70" s="31"/>
      <c r="B70" s="32" t="s">
        <v>305</v>
      </c>
      <c r="C70" s="31" t="s">
        <v>138</v>
      </c>
      <c r="D70" s="31" t="s">
        <v>306</v>
      </c>
      <c r="E70" s="31" t="s">
        <v>307</v>
      </c>
      <c r="F70" s="31" t="s">
        <v>31</v>
      </c>
      <c r="G70" s="31">
        <v>407</v>
      </c>
      <c r="H70" s="31">
        <v>10</v>
      </c>
      <c r="I70" s="31">
        <v>24</v>
      </c>
      <c r="J70" s="31" t="s">
        <v>308</v>
      </c>
      <c r="K70" s="31" t="s">
        <v>194</v>
      </c>
      <c r="L70" s="31" t="s">
        <v>34</v>
      </c>
      <c r="M70" s="31">
        <v>159</v>
      </c>
      <c r="N70" s="31">
        <v>2014</v>
      </c>
      <c r="O70" s="31">
        <v>162</v>
      </c>
      <c r="P70" s="31"/>
      <c r="Q70" s="31"/>
      <c r="R70" s="33"/>
      <c r="S70" s="34" t="str">
        <f>HYPERLINK("http://www.cnpol.ru/covers/15465.jpg","фото на сайте")</f>
        <v>фото на сайте</v>
      </c>
    </row>
    <row r="71" spans="1:19" ht="50.1" customHeight="1">
      <c r="A71" s="31"/>
      <c r="B71" s="32" t="s">
        <v>309</v>
      </c>
      <c r="C71" s="31" t="s">
        <v>37</v>
      </c>
      <c r="D71" s="31" t="s">
        <v>310</v>
      </c>
      <c r="E71" s="31" t="s">
        <v>311</v>
      </c>
      <c r="F71" s="31" t="s">
        <v>31</v>
      </c>
      <c r="G71" s="31">
        <v>729</v>
      </c>
      <c r="H71" s="31">
        <v>10</v>
      </c>
      <c r="I71" s="31">
        <v>18</v>
      </c>
      <c r="J71" s="31" t="s">
        <v>312</v>
      </c>
      <c r="K71" s="31" t="s">
        <v>33</v>
      </c>
      <c r="L71" s="31" t="s">
        <v>34</v>
      </c>
      <c r="M71" s="31">
        <v>205</v>
      </c>
      <c r="N71" s="31">
        <v>2022</v>
      </c>
      <c r="O71" s="31">
        <v>132</v>
      </c>
      <c r="P71" s="31"/>
      <c r="Q71" s="31"/>
      <c r="R71" s="33" t="s">
        <v>313</v>
      </c>
      <c r="S71" s="34" t="str">
        <f>HYPERLINK("http://www.cnpol.ru/covers/20329.jpg","фото на сайте")</f>
        <v>фото на сайте</v>
      </c>
    </row>
    <row r="72" spans="1:19" ht="50.1" customHeight="1">
      <c r="A72" s="31"/>
      <c r="B72" s="32" t="s">
        <v>314</v>
      </c>
      <c r="C72" s="31" t="s">
        <v>315</v>
      </c>
      <c r="D72" s="31" t="s">
        <v>316</v>
      </c>
      <c r="E72" s="31" t="s">
        <v>317</v>
      </c>
      <c r="F72" s="31" t="s">
        <v>31</v>
      </c>
      <c r="G72" s="31">
        <v>251</v>
      </c>
      <c r="H72" s="31">
        <v>10</v>
      </c>
      <c r="I72" s="31">
        <v>30</v>
      </c>
      <c r="J72" s="31" t="s">
        <v>318</v>
      </c>
      <c r="K72" s="31" t="s">
        <v>319</v>
      </c>
      <c r="L72" s="31" t="s">
        <v>210</v>
      </c>
      <c r="M72" s="31">
        <v>36</v>
      </c>
      <c r="N72" s="31">
        <v>2021</v>
      </c>
      <c r="O72" s="31">
        <v>140</v>
      </c>
      <c r="P72" s="31"/>
      <c r="Q72" s="31"/>
      <c r="R72" s="33"/>
      <c r="S72" s="34" t="str">
        <f>HYPERLINK("http://www.cnpol.ru/covers/19942.jpg","фото на сайте")</f>
        <v>фото на сайте</v>
      </c>
    </row>
    <row r="73" spans="1:19" ht="50.1" customHeight="1">
      <c r="A73" s="31"/>
      <c r="B73" s="32" t="s">
        <v>320</v>
      </c>
      <c r="C73" s="31" t="s">
        <v>315</v>
      </c>
      <c r="D73" s="31" t="s">
        <v>316</v>
      </c>
      <c r="E73" s="31" t="s">
        <v>321</v>
      </c>
      <c r="F73" s="31" t="s">
        <v>31</v>
      </c>
      <c r="G73" s="31">
        <v>251</v>
      </c>
      <c r="H73" s="31">
        <v>10</v>
      </c>
      <c r="I73" s="31">
        <v>30</v>
      </c>
      <c r="J73" s="31" t="s">
        <v>322</v>
      </c>
      <c r="K73" s="31" t="s">
        <v>319</v>
      </c>
      <c r="L73" s="31" t="s">
        <v>210</v>
      </c>
      <c r="M73" s="31">
        <v>36</v>
      </c>
      <c r="N73" s="31">
        <v>2021</v>
      </c>
      <c r="O73" s="31">
        <v>138</v>
      </c>
      <c r="P73" s="31"/>
      <c r="Q73" s="31"/>
      <c r="R73" s="33"/>
      <c r="S73" s="34" t="str">
        <f>HYPERLINK("http://www.cnpol.ru/covers/19775.jpg","фото на сайте")</f>
        <v>фото на сайте</v>
      </c>
    </row>
    <row r="74" spans="1:19" ht="50.1" customHeight="1">
      <c r="A74" s="31"/>
      <c r="B74" s="32" t="s">
        <v>323</v>
      </c>
      <c r="C74" s="31" t="s">
        <v>315</v>
      </c>
      <c r="D74" s="31" t="s">
        <v>316</v>
      </c>
      <c r="E74" s="31" t="s">
        <v>324</v>
      </c>
      <c r="F74" s="31" t="s">
        <v>31</v>
      </c>
      <c r="G74" s="31">
        <v>251</v>
      </c>
      <c r="H74" s="31">
        <v>10</v>
      </c>
      <c r="I74" s="31">
        <v>30</v>
      </c>
      <c r="J74" s="31" t="s">
        <v>325</v>
      </c>
      <c r="K74" s="31" t="s">
        <v>319</v>
      </c>
      <c r="L74" s="31" t="s">
        <v>210</v>
      </c>
      <c r="M74" s="31">
        <v>36</v>
      </c>
      <c r="N74" s="31">
        <v>2022</v>
      </c>
      <c r="O74" s="31">
        <v>140</v>
      </c>
      <c r="P74" s="31"/>
      <c r="Q74" s="31"/>
      <c r="R74" s="33"/>
      <c r="S74" s="34" t="str">
        <f>HYPERLINK("http://www.cnpol.ru/covers/20116.jpg","фото на сайте")</f>
        <v>фото на сайте</v>
      </c>
    </row>
    <row r="75" spans="1:19" ht="50.1" customHeight="1">
      <c r="A75" s="31"/>
      <c r="B75" s="32" t="s">
        <v>326</v>
      </c>
      <c r="C75" s="31" t="s">
        <v>315</v>
      </c>
      <c r="D75" s="31" t="s">
        <v>316</v>
      </c>
      <c r="E75" s="31" t="s">
        <v>327</v>
      </c>
      <c r="F75" s="31" t="s">
        <v>31</v>
      </c>
      <c r="G75" s="31">
        <v>251</v>
      </c>
      <c r="H75" s="31">
        <v>10</v>
      </c>
      <c r="I75" s="31">
        <v>30</v>
      </c>
      <c r="J75" s="31" t="s">
        <v>328</v>
      </c>
      <c r="K75" s="31" t="s">
        <v>319</v>
      </c>
      <c r="L75" s="31" t="s">
        <v>210</v>
      </c>
      <c r="M75" s="31">
        <v>36</v>
      </c>
      <c r="N75" s="31">
        <v>2020</v>
      </c>
      <c r="O75" s="31">
        <v>140</v>
      </c>
      <c r="P75" s="31"/>
      <c r="Q75" s="31"/>
      <c r="R75" s="33"/>
      <c r="S75" s="34" t="str">
        <f>HYPERLINK("http://www.cnpol.ru/covers/19208.jpg","фото на сайте")</f>
        <v>фото на сайте</v>
      </c>
    </row>
    <row r="76" spans="1:19" ht="50.1" customHeight="1">
      <c r="A76" s="31"/>
      <c r="B76" s="32" t="s">
        <v>329</v>
      </c>
      <c r="C76" s="31" t="s">
        <v>315</v>
      </c>
      <c r="D76" s="31" t="s">
        <v>316</v>
      </c>
      <c r="E76" s="31" t="s">
        <v>330</v>
      </c>
      <c r="F76" s="31" t="s">
        <v>31</v>
      </c>
      <c r="G76" s="31">
        <v>251</v>
      </c>
      <c r="H76" s="31">
        <v>10</v>
      </c>
      <c r="I76" s="31">
        <v>40</v>
      </c>
      <c r="J76" s="31" t="s">
        <v>331</v>
      </c>
      <c r="K76" s="31" t="s">
        <v>319</v>
      </c>
      <c r="L76" s="31" t="s">
        <v>210</v>
      </c>
      <c r="M76" s="31">
        <v>36</v>
      </c>
      <c r="N76" s="31">
        <v>2021</v>
      </c>
      <c r="O76" s="31">
        <v>138</v>
      </c>
      <c r="P76" s="31"/>
      <c r="Q76" s="31"/>
      <c r="R76" s="33"/>
      <c r="S76" s="34" t="str">
        <f>HYPERLINK("http://www.cnpol.ru/covers/19922.jpg","фото на сайте")</f>
        <v>фото на сайте</v>
      </c>
    </row>
    <row r="77" spans="1:19" ht="50.1" customHeight="1">
      <c r="A77" s="31"/>
      <c r="B77" s="32" t="s">
        <v>332</v>
      </c>
      <c r="C77" s="31" t="s">
        <v>315</v>
      </c>
      <c r="D77" s="31" t="s">
        <v>316</v>
      </c>
      <c r="E77" s="31" t="s">
        <v>333</v>
      </c>
      <c r="F77" s="31" t="s">
        <v>31</v>
      </c>
      <c r="G77" s="31">
        <v>249</v>
      </c>
      <c r="H77" s="31">
        <v>10</v>
      </c>
      <c r="I77" s="31">
        <v>30</v>
      </c>
      <c r="J77" s="31" t="s">
        <v>334</v>
      </c>
      <c r="K77" s="31" t="s">
        <v>319</v>
      </c>
      <c r="L77" s="31" t="s">
        <v>210</v>
      </c>
      <c r="M77" s="31">
        <v>36</v>
      </c>
      <c r="N77" s="31">
        <v>2022</v>
      </c>
      <c r="O77" s="31">
        <v>138</v>
      </c>
      <c r="P77" s="31"/>
      <c r="Q77" s="31"/>
      <c r="R77" s="33"/>
      <c r="S77" s="34" t="str">
        <f>HYPERLINK("http://www.cnpol.ru/covers/20265.jpg","фото на сайте")</f>
        <v>фото на сайте</v>
      </c>
    </row>
    <row r="78" spans="1:19" ht="50.1" customHeight="1">
      <c r="A78" s="31"/>
      <c r="B78" s="32" t="s">
        <v>335</v>
      </c>
      <c r="C78" s="31" t="s">
        <v>315</v>
      </c>
      <c r="D78" s="31" t="s">
        <v>316</v>
      </c>
      <c r="E78" s="31" t="s">
        <v>336</v>
      </c>
      <c r="F78" s="31" t="s">
        <v>31</v>
      </c>
      <c r="G78" s="31">
        <v>251</v>
      </c>
      <c r="H78" s="31">
        <v>10</v>
      </c>
      <c r="I78" s="31">
        <v>30</v>
      </c>
      <c r="J78" s="31" t="s">
        <v>337</v>
      </c>
      <c r="K78" s="31" t="s">
        <v>319</v>
      </c>
      <c r="L78" s="31" t="s">
        <v>210</v>
      </c>
      <c r="M78" s="31">
        <v>36</v>
      </c>
      <c r="N78" s="31">
        <v>2022</v>
      </c>
      <c r="O78" s="31">
        <v>140</v>
      </c>
      <c r="P78" s="31"/>
      <c r="Q78" s="31"/>
      <c r="R78" s="33"/>
      <c r="S78" s="34" t="str">
        <f>HYPERLINK("http://www.cnpol.ru/covers/20229.jpg","фото на сайте")</f>
        <v>фото на сайте</v>
      </c>
    </row>
    <row r="79" spans="1:19" ht="50.1" customHeight="1">
      <c r="A79" s="31"/>
      <c r="B79" s="32" t="s">
        <v>338</v>
      </c>
      <c r="C79" s="31" t="s">
        <v>315</v>
      </c>
      <c r="D79" s="31" t="s">
        <v>316</v>
      </c>
      <c r="E79" s="31" t="s">
        <v>339</v>
      </c>
      <c r="F79" s="31" t="s">
        <v>31</v>
      </c>
      <c r="G79" s="31">
        <v>251</v>
      </c>
      <c r="H79" s="31">
        <v>10</v>
      </c>
      <c r="I79" s="31">
        <v>30</v>
      </c>
      <c r="J79" s="31" t="s">
        <v>340</v>
      </c>
      <c r="K79" s="31" t="s">
        <v>319</v>
      </c>
      <c r="L79" s="31" t="s">
        <v>210</v>
      </c>
      <c r="M79" s="31">
        <v>36</v>
      </c>
      <c r="N79" s="31">
        <v>2022</v>
      </c>
      <c r="O79" s="31">
        <v>140</v>
      </c>
      <c r="P79" s="31"/>
      <c r="Q79" s="31"/>
      <c r="R79" s="33"/>
      <c r="S79" s="34" t="str">
        <f>HYPERLINK("http://www.cnpol.ru/covers/20062.jpg","фото на сайте")</f>
        <v>фото на сайте</v>
      </c>
    </row>
    <row r="80" spans="1:19" ht="50.1" customHeight="1">
      <c r="A80" s="31"/>
      <c r="B80" s="32" t="s">
        <v>341</v>
      </c>
      <c r="C80" s="31" t="s">
        <v>315</v>
      </c>
      <c r="D80" s="31" t="s">
        <v>316</v>
      </c>
      <c r="E80" s="31" t="s">
        <v>342</v>
      </c>
      <c r="F80" s="31" t="s">
        <v>31</v>
      </c>
      <c r="G80" s="31">
        <v>251</v>
      </c>
      <c r="H80" s="31">
        <v>10</v>
      </c>
      <c r="I80" s="31">
        <v>30</v>
      </c>
      <c r="J80" s="31" t="s">
        <v>343</v>
      </c>
      <c r="K80" s="31" t="s">
        <v>319</v>
      </c>
      <c r="L80" s="31" t="s">
        <v>210</v>
      </c>
      <c r="M80" s="31">
        <v>36</v>
      </c>
      <c r="N80" s="31">
        <v>2021</v>
      </c>
      <c r="O80" s="31">
        <v>140</v>
      </c>
      <c r="P80" s="31"/>
      <c r="Q80" s="31"/>
      <c r="R80" s="33"/>
      <c r="S80" s="34" t="str">
        <f>HYPERLINK("http://www.cnpol.ru/covers/19943.jpg","фото на сайте")</f>
        <v>фото на сайте</v>
      </c>
    </row>
    <row r="81" spans="1:19" ht="50.1" customHeight="1">
      <c r="A81" s="31"/>
      <c r="B81" s="32" t="s">
        <v>344</v>
      </c>
      <c r="C81" s="31" t="s">
        <v>315</v>
      </c>
      <c r="D81" s="31" t="s">
        <v>316</v>
      </c>
      <c r="E81" s="31" t="s">
        <v>345</v>
      </c>
      <c r="F81" s="31" t="s">
        <v>31</v>
      </c>
      <c r="G81" s="31">
        <v>251</v>
      </c>
      <c r="H81" s="31">
        <v>10</v>
      </c>
      <c r="I81" s="31">
        <v>30</v>
      </c>
      <c r="J81" s="31" t="s">
        <v>346</v>
      </c>
      <c r="K81" s="31" t="s">
        <v>319</v>
      </c>
      <c r="L81" s="31" t="s">
        <v>210</v>
      </c>
      <c r="M81" s="31">
        <v>36</v>
      </c>
      <c r="N81" s="31">
        <v>2022</v>
      </c>
      <c r="O81" s="31">
        <v>138</v>
      </c>
      <c r="P81" s="31"/>
      <c r="Q81" s="31"/>
      <c r="R81" s="33" t="s">
        <v>347</v>
      </c>
      <c r="S81" s="34" t="str">
        <f>HYPERLINK("http://www.cnpol.ru/covers/20352.jpg","фото на сайте")</f>
        <v>фото на сайте</v>
      </c>
    </row>
    <row r="82" spans="1:19" ht="50.1" customHeight="1">
      <c r="A82" s="31"/>
      <c r="B82" s="32" t="s">
        <v>348</v>
      </c>
      <c r="C82" s="31" t="s">
        <v>349</v>
      </c>
      <c r="D82" s="31" t="s">
        <v>350</v>
      </c>
      <c r="E82" s="31" t="s">
        <v>351</v>
      </c>
      <c r="F82" s="31" t="s">
        <v>31</v>
      </c>
      <c r="G82" s="31">
        <v>407</v>
      </c>
      <c r="H82" s="31">
        <v>10</v>
      </c>
      <c r="I82" s="31">
        <v>12</v>
      </c>
      <c r="J82" s="31" t="s">
        <v>352</v>
      </c>
      <c r="K82" s="31" t="s">
        <v>33</v>
      </c>
      <c r="L82" s="31" t="s">
        <v>34</v>
      </c>
      <c r="M82" s="31">
        <v>319</v>
      </c>
      <c r="N82" s="31">
        <v>2011</v>
      </c>
      <c r="O82" s="31">
        <v>260</v>
      </c>
      <c r="P82" s="31"/>
      <c r="Q82" s="31"/>
      <c r="R82" s="33" t="s">
        <v>353</v>
      </c>
      <c r="S82" s="34" t="str">
        <f>HYPERLINK("http://www.cnpol.ru/covers/12737.jpg","фото на сайте")</f>
        <v>фото на сайте</v>
      </c>
    </row>
    <row r="83" spans="1:19" ht="50.1" customHeight="1">
      <c r="A83" s="31"/>
      <c r="B83" s="32" t="s">
        <v>354</v>
      </c>
      <c r="C83" s="31" t="s">
        <v>355</v>
      </c>
      <c r="D83" s="31" t="s">
        <v>356</v>
      </c>
      <c r="E83" s="31" t="s">
        <v>357</v>
      </c>
      <c r="F83" s="31" t="s">
        <v>31</v>
      </c>
      <c r="G83" s="31">
        <v>503</v>
      </c>
      <c r="H83" s="31">
        <v>10</v>
      </c>
      <c r="I83" s="31">
        <v>12</v>
      </c>
      <c r="J83" s="31" t="s">
        <v>358</v>
      </c>
      <c r="K83" s="31" t="s">
        <v>359</v>
      </c>
      <c r="L83" s="31" t="s">
        <v>34</v>
      </c>
      <c r="M83" s="31">
        <v>301</v>
      </c>
      <c r="N83" s="31">
        <v>2008</v>
      </c>
      <c r="O83" s="31">
        <v>276</v>
      </c>
      <c r="P83" s="31"/>
      <c r="Q83" s="31"/>
      <c r="R83" s="33"/>
      <c r="S83" s="34" t="str">
        <f>HYPERLINK("http://www.cnpol.ru/covers/7847.jpg","фото на сайте")</f>
        <v>фото на сайте</v>
      </c>
    </row>
    <row r="84" spans="1:19" ht="50.1" customHeight="1">
      <c r="A84" s="31"/>
      <c r="B84" s="32" t="s">
        <v>360</v>
      </c>
      <c r="C84" s="31" t="s">
        <v>315</v>
      </c>
      <c r="D84" s="31" t="s">
        <v>316</v>
      </c>
      <c r="E84" s="31" t="s">
        <v>361</v>
      </c>
      <c r="F84" s="31" t="s">
        <v>31</v>
      </c>
      <c r="G84" s="31">
        <v>251</v>
      </c>
      <c r="H84" s="31">
        <v>10</v>
      </c>
      <c r="I84" s="31">
        <v>30</v>
      </c>
      <c r="J84" s="31" t="s">
        <v>362</v>
      </c>
      <c r="K84" s="31" t="s">
        <v>319</v>
      </c>
      <c r="L84" s="31" t="s">
        <v>210</v>
      </c>
      <c r="M84" s="31">
        <v>36</v>
      </c>
      <c r="N84" s="31">
        <v>2020</v>
      </c>
      <c r="O84" s="31">
        <v>140</v>
      </c>
      <c r="P84" s="31"/>
      <c r="Q84" s="31"/>
      <c r="R84" s="33"/>
      <c r="S84" s="34" t="str">
        <f>HYPERLINK("http://www.cnpol.ru/covers/19376.jpg","фото на сайте")</f>
        <v>фото на сайте</v>
      </c>
    </row>
    <row r="85" spans="1:19" ht="50.1" customHeight="1">
      <c r="A85" s="31"/>
      <c r="B85" s="32" t="s">
        <v>363</v>
      </c>
      <c r="C85" s="31" t="s">
        <v>364</v>
      </c>
      <c r="D85" s="31" t="s">
        <v>365</v>
      </c>
      <c r="E85" s="31" t="s">
        <v>366</v>
      </c>
      <c r="F85" s="31" t="s">
        <v>31</v>
      </c>
      <c r="G85" s="31">
        <v>88</v>
      </c>
      <c r="H85" s="31">
        <v>10</v>
      </c>
      <c r="I85" s="31">
        <v>60</v>
      </c>
      <c r="J85" s="31" t="s">
        <v>367</v>
      </c>
      <c r="K85" s="31" t="s">
        <v>123</v>
      </c>
      <c r="L85" s="31" t="s">
        <v>56</v>
      </c>
      <c r="M85" s="31">
        <v>94</v>
      </c>
      <c r="N85" s="31">
        <v>2009</v>
      </c>
      <c r="O85" s="31">
        <v>50</v>
      </c>
      <c r="P85" s="31"/>
      <c r="Q85" s="31"/>
      <c r="R85" s="33"/>
      <c r="S85" s="34" t="str">
        <f>HYPERLINK("http://www.cnpol.ru/covers/11223.jpg","фото на сайте")</f>
        <v>фото на сайте</v>
      </c>
    </row>
    <row r="86" spans="1:19" ht="50.1" customHeight="1">
      <c r="A86" s="31"/>
      <c r="B86" s="32" t="s">
        <v>368</v>
      </c>
      <c r="C86" s="31" t="s">
        <v>364</v>
      </c>
      <c r="D86" s="31" t="s">
        <v>365</v>
      </c>
      <c r="E86" s="31" t="s">
        <v>366</v>
      </c>
      <c r="F86" s="31" t="s">
        <v>31</v>
      </c>
      <c r="G86" s="31">
        <v>88</v>
      </c>
      <c r="H86" s="31">
        <v>10</v>
      </c>
      <c r="I86" s="31">
        <v>40</v>
      </c>
      <c r="J86" s="31" t="s">
        <v>369</v>
      </c>
      <c r="K86" s="31" t="s">
        <v>123</v>
      </c>
      <c r="L86" s="31" t="s">
        <v>56</v>
      </c>
      <c r="M86" s="31">
        <v>96</v>
      </c>
      <c r="N86" s="31">
        <v>2008</v>
      </c>
      <c r="O86" s="31" t="s">
        <v>220</v>
      </c>
      <c r="P86" s="31"/>
      <c r="Q86" s="31"/>
      <c r="R86" s="33"/>
      <c r="S86" s="34" t="str">
        <f>HYPERLINK("http://www.cnpol.ru/covers/10318.jpg","фото на сайте")</f>
        <v>фото на сайте</v>
      </c>
    </row>
    <row r="87" spans="1:19" ht="50.1" customHeight="1">
      <c r="A87" s="31"/>
      <c r="B87" s="32" t="s">
        <v>370</v>
      </c>
      <c r="C87" s="31" t="s">
        <v>364</v>
      </c>
      <c r="D87" s="31" t="s">
        <v>371</v>
      </c>
      <c r="E87" s="31" t="s">
        <v>372</v>
      </c>
      <c r="F87" s="31" t="s">
        <v>31</v>
      </c>
      <c r="G87" s="31">
        <v>56</v>
      </c>
      <c r="H87" s="31">
        <v>10</v>
      </c>
      <c r="I87" s="31">
        <v>40</v>
      </c>
      <c r="J87" s="31" t="s">
        <v>373</v>
      </c>
      <c r="K87" s="31" t="s">
        <v>123</v>
      </c>
      <c r="L87" s="31" t="s">
        <v>56</v>
      </c>
      <c r="M87" s="31">
        <v>92</v>
      </c>
      <c r="N87" s="31">
        <v>2008</v>
      </c>
      <c r="O87" s="31">
        <v>46</v>
      </c>
      <c r="P87" s="31"/>
      <c r="Q87" s="31"/>
      <c r="R87" s="33"/>
      <c r="S87" s="34" t="str">
        <f>HYPERLINK("http://www.cnpol.ru/covers/10874.jpg","фото на сайте")</f>
        <v>фото на сайте</v>
      </c>
    </row>
    <row r="88" spans="1:19" ht="50.1" customHeight="1">
      <c r="A88" s="31"/>
      <c r="B88" s="32" t="s">
        <v>374</v>
      </c>
      <c r="C88" s="31" t="s">
        <v>375</v>
      </c>
      <c r="D88" s="31" t="s">
        <v>376</v>
      </c>
      <c r="E88" s="31" t="s">
        <v>377</v>
      </c>
      <c r="F88" s="31" t="s">
        <v>31</v>
      </c>
      <c r="G88" s="31">
        <v>321</v>
      </c>
      <c r="H88" s="31">
        <v>10</v>
      </c>
      <c r="I88" s="31">
        <v>20</v>
      </c>
      <c r="J88" s="31" t="s">
        <v>378</v>
      </c>
      <c r="K88" s="31" t="s">
        <v>123</v>
      </c>
      <c r="L88" s="31" t="s">
        <v>210</v>
      </c>
      <c r="M88" s="31">
        <v>223</v>
      </c>
      <c r="N88" s="31">
        <v>2008</v>
      </c>
      <c r="O88" s="31">
        <v>152</v>
      </c>
      <c r="P88" s="31"/>
      <c r="Q88" s="31"/>
      <c r="R88" s="33"/>
      <c r="S88" s="34" t="str">
        <f>HYPERLINK("http://www.cnpol.ru/covers/10151.jpg","фото на сайте")</f>
        <v>фото на сайте</v>
      </c>
    </row>
    <row r="89" spans="1:19" ht="50.1" customHeight="1">
      <c r="A89" s="31"/>
      <c r="B89" s="32" t="s">
        <v>379</v>
      </c>
      <c r="C89" s="31" t="s">
        <v>380</v>
      </c>
      <c r="D89" s="31" t="s">
        <v>381</v>
      </c>
      <c r="E89" s="31" t="s">
        <v>382</v>
      </c>
      <c r="F89" s="31" t="s">
        <v>31</v>
      </c>
      <c r="G89" s="35">
        <v>1155</v>
      </c>
      <c r="H89" s="31">
        <v>10</v>
      </c>
      <c r="I89" s="31">
        <v>8</v>
      </c>
      <c r="J89" s="31" t="s">
        <v>383</v>
      </c>
      <c r="K89" s="31" t="s">
        <v>41</v>
      </c>
      <c r="L89" s="31" t="s">
        <v>304</v>
      </c>
      <c r="M89" s="31">
        <v>592</v>
      </c>
      <c r="N89" s="31">
        <v>2020</v>
      </c>
      <c r="O89" s="31">
        <v>684</v>
      </c>
      <c r="P89" s="31"/>
      <c r="Q89" s="31"/>
      <c r="R89" s="33"/>
      <c r="S89" s="34" t="str">
        <f>HYPERLINK("http://www.cnpol.ru/covers/19414.jpg","фото на сайте")</f>
        <v>фото на сайте</v>
      </c>
    </row>
    <row r="90" spans="1:19" ht="50.1" customHeight="1">
      <c r="A90" s="31"/>
      <c r="B90" s="32" t="s">
        <v>384</v>
      </c>
      <c r="C90" s="31" t="s">
        <v>385</v>
      </c>
      <c r="D90" s="31" t="s">
        <v>386</v>
      </c>
      <c r="E90" s="31" t="s">
        <v>387</v>
      </c>
      <c r="F90" s="31" t="s">
        <v>31</v>
      </c>
      <c r="G90" s="31">
        <v>162</v>
      </c>
      <c r="H90" s="31">
        <v>10</v>
      </c>
      <c r="I90" s="31">
        <v>32</v>
      </c>
      <c r="J90" s="31" t="s">
        <v>388</v>
      </c>
      <c r="K90" s="31" t="s">
        <v>55</v>
      </c>
      <c r="L90" s="31" t="s">
        <v>56</v>
      </c>
      <c r="M90" s="31">
        <v>250</v>
      </c>
      <c r="N90" s="31">
        <v>2016</v>
      </c>
      <c r="O90" s="31">
        <v>110</v>
      </c>
      <c r="P90" s="31"/>
      <c r="Q90" s="31"/>
      <c r="R90" s="33"/>
      <c r="S90" s="34" t="str">
        <f>HYPERLINK("http://www.cnpol.ru/covers/0109.jpg","фото на сайте")</f>
        <v>фото на сайте</v>
      </c>
    </row>
    <row r="91" spans="1:19" ht="50.1" customHeight="1">
      <c r="A91" s="31"/>
      <c r="B91" s="32" t="s">
        <v>389</v>
      </c>
      <c r="C91" s="31" t="s">
        <v>390</v>
      </c>
      <c r="D91" s="31" t="s">
        <v>391</v>
      </c>
      <c r="E91" s="31" t="s">
        <v>392</v>
      </c>
      <c r="F91" s="31">
        <v>810</v>
      </c>
      <c r="G91" s="31">
        <v>86</v>
      </c>
      <c r="H91" s="31">
        <v>10</v>
      </c>
      <c r="I91" s="31">
        <v>30</v>
      </c>
      <c r="J91" s="31" t="s">
        <v>393</v>
      </c>
      <c r="K91" s="31" t="s">
        <v>123</v>
      </c>
      <c r="L91" s="31" t="s">
        <v>56</v>
      </c>
      <c r="M91" s="31">
        <v>160</v>
      </c>
      <c r="N91" s="31">
        <v>2018</v>
      </c>
      <c r="O91" s="31">
        <v>76</v>
      </c>
      <c r="P91" s="31"/>
      <c r="Q91" s="31"/>
      <c r="R91" s="33"/>
      <c r="S91" s="34" t="str">
        <f>HYPERLINK("http://www.cnpol.ru/covers/18154.jpg","фото на сайте")</f>
        <v>фото на сайте</v>
      </c>
    </row>
    <row r="92" spans="1:19" ht="50.1" customHeight="1">
      <c r="A92" s="31"/>
      <c r="B92" s="32" t="s">
        <v>394</v>
      </c>
      <c r="C92" s="31" t="s">
        <v>395</v>
      </c>
      <c r="D92" s="31" t="s">
        <v>396</v>
      </c>
      <c r="E92" s="31" t="s">
        <v>397</v>
      </c>
      <c r="F92" s="31" t="s">
        <v>31</v>
      </c>
      <c r="G92" s="31">
        <v>290</v>
      </c>
      <c r="H92" s="31">
        <v>10</v>
      </c>
      <c r="I92" s="31">
        <v>12</v>
      </c>
      <c r="J92" s="31" t="s">
        <v>398</v>
      </c>
      <c r="K92" s="31" t="s">
        <v>33</v>
      </c>
      <c r="L92" s="31" t="s">
        <v>34</v>
      </c>
      <c r="M92" s="31">
        <v>379</v>
      </c>
      <c r="N92" s="31">
        <v>2002</v>
      </c>
      <c r="O92" s="31">
        <v>322</v>
      </c>
      <c r="P92" s="31"/>
      <c r="Q92" s="31"/>
      <c r="R92" s="33"/>
      <c r="S92" s="34" t="str">
        <f>HYPERLINK("http://www.cnpol.ru/covers/3585.jpg","фото на сайте")</f>
        <v>фото на сайте</v>
      </c>
    </row>
    <row r="93" spans="1:19" ht="50.1" customHeight="1">
      <c r="A93" s="31"/>
      <c r="B93" s="32" t="s">
        <v>399</v>
      </c>
      <c r="C93" s="31" t="s">
        <v>400</v>
      </c>
      <c r="D93" s="31" t="s">
        <v>401</v>
      </c>
      <c r="E93" s="31" t="s">
        <v>402</v>
      </c>
      <c r="F93" s="31" t="s">
        <v>31</v>
      </c>
      <c r="G93" s="31">
        <v>503</v>
      </c>
      <c r="H93" s="31">
        <v>10</v>
      </c>
      <c r="I93" s="31">
        <v>12</v>
      </c>
      <c r="J93" s="31" t="s">
        <v>403</v>
      </c>
      <c r="K93" s="31" t="s">
        <v>33</v>
      </c>
      <c r="L93" s="31" t="s">
        <v>34</v>
      </c>
      <c r="M93" s="31">
        <v>352</v>
      </c>
      <c r="N93" s="31">
        <v>2020</v>
      </c>
      <c r="O93" s="31">
        <v>288</v>
      </c>
      <c r="P93" s="31"/>
      <c r="Q93" s="31"/>
      <c r="R93" s="33"/>
      <c r="S93" s="34" t="str">
        <f>HYPERLINK("http://www.cnpol.ru/covers/19053.jpg","фото на сайте")</f>
        <v>фото на сайте</v>
      </c>
    </row>
    <row r="94" spans="1:19" ht="50.1" customHeight="1">
      <c r="A94" s="31"/>
      <c r="B94" s="32" t="s">
        <v>404</v>
      </c>
      <c r="C94" s="31" t="s">
        <v>385</v>
      </c>
      <c r="D94" s="31" t="s">
        <v>386</v>
      </c>
      <c r="E94" s="31" t="s">
        <v>405</v>
      </c>
      <c r="F94" s="31" t="s">
        <v>31</v>
      </c>
      <c r="G94" s="31">
        <v>162</v>
      </c>
      <c r="H94" s="31">
        <v>10</v>
      </c>
      <c r="I94" s="31">
        <v>32</v>
      </c>
      <c r="J94" s="31" t="s">
        <v>406</v>
      </c>
      <c r="K94" s="31" t="s">
        <v>55</v>
      </c>
      <c r="L94" s="31" t="s">
        <v>56</v>
      </c>
      <c r="M94" s="31">
        <v>256</v>
      </c>
      <c r="N94" s="31">
        <v>2016</v>
      </c>
      <c r="O94" s="31">
        <v>108</v>
      </c>
      <c r="P94" s="31"/>
      <c r="Q94" s="31"/>
      <c r="R94" s="33"/>
      <c r="S94" s="34" t="str">
        <f>HYPERLINK("http://www.cnpol.ru/covers/0126.jpg","фото на сайте")</f>
        <v>фото на сайте</v>
      </c>
    </row>
    <row r="95" spans="1:19" ht="50.1" customHeight="1">
      <c r="A95" s="31"/>
      <c r="B95" s="32" t="s">
        <v>407</v>
      </c>
      <c r="C95" s="31" t="s">
        <v>408</v>
      </c>
      <c r="D95" s="31" t="s">
        <v>409</v>
      </c>
      <c r="E95" s="31" t="s">
        <v>410</v>
      </c>
      <c r="F95" s="31" t="s">
        <v>31</v>
      </c>
      <c r="G95" s="31">
        <v>640</v>
      </c>
      <c r="H95" s="31">
        <v>10</v>
      </c>
      <c r="I95" s="31">
        <v>14</v>
      </c>
      <c r="J95" s="31" t="s">
        <v>411</v>
      </c>
      <c r="K95" s="31" t="s">
        <v>33</v>
      </c>
      <c r="L95" s="31" t="s">
        <v>34</v>
      </c>
      <c r="M95" s="31">
        <v>240</v>
      </c>
      <c r="N95" s="31">
        <v>2020</v>
      </c>
      <c r="O95" s="31">
        <v>346</v>
      </c>
      <c r="P95" s="31"/>
      <c r="Q95" s="31"/>
      <c r="R95" s="33"/>
      <c r="S95" s="34" t="str">
        <f>HYPERLINK("http://www.cnpol.ru/covers/19439.jpg","фото на сайте")</f>
        <v>фото на сайте</v>
      </c>
    </row>
    <row r="96" spans="1:19" ht="50.1" customHeight="1">
      <c r="A96" s="31"/>
      <c r="B96" s="32" t="s">
        <v>412</v>
      </c>
      <c r="C96" s="31" t="s">
        <v>413</v>
      </c>
      <c r="D96" s="31" t="s">
        <v>414</v>
      </c>
      <c r="E96" s="31" t="s">
        <v>415</v>
      </c>
      <c r="F96" s="31">
        <v>122</v>
      </c>
      <c r="G96" s="31">
        <v>117</v>
      </c>
      <c r="H96" s="31">
        <v>10</v>
      </c>
      <c r="I96" s="31">
        <v>36</v>
      </c>
      <c r="J96" s="31" t="s">
        <v>416</v>
      </c>
      <c r="K96" s="31" t="s">
        <v>123</v>
      </c>
      <c r="L96" s="31" t="s">
        <v>56</v>
      </c>
      <c r="M96" s="31">
        <v>192</v>
      </c>
      <c r="N96" s="31">
        <v>2016</v>
      </c>
      <c r="O96" s="31">
        <v>90</v>
      </c>
      <c r="P96" s="31"/>
      <c r="Q96" s="31"/>
      <c r="R96" s="33"/>
      <c r="S96" s="34" t="str">
        <f>HYPERLINK("http://www.cnpol.ru/covers/17012.jpg","фото на сайте")</f>
        <v>фото на сайте</v>
      </c>
    </row>
    <row r="97" spans="1:19" ht="50.1" customHeight="1">
      <c r="A97" s="31"/>
      <c r="B97" s="32" t="s">
        <v>417</v>
      </c>
      <c r="C97" s="31" t="s">
        <v>418</v>
      </c>
      <c r="D97" s="31" t="s">
        <v>419</v>
      </c>
      <c r="E97" s="31" t="s">
        <v>420</v>
      </c>
      <c r="F97" s="31">
        <v>86</v>
      </c>
      <c r="G97" s="31">
        <v>153</v>
      </c>
      <c r="H97" s="31">
        <v>10</v>
      </c>
      <c r="I97" s="31">
        <v>24</v>
      </c>
      <c r="J97" s="31" t="s">
        <v>421</v>
      </c>
      <c r="K97" s="31" t="s">
        <v>123</v>
      </c>
      <c r="L97" s="31" t="s">
        <v>56</v>
      </c>
      <c r="M97" s="31">
        <v>256</v>
      </c>
      <c r="N97" s="31">
        <v>2018</v>
      </c>
      <c r="O97" s="31">
        <v>117</v>
      </c>
      <c r="P97" s="31"/>
      <c r="Q97" s="31"/>
      <c r="R97" s="33"/>
      <c r="S97" s="34" t="str">
        <f>HYPERLINK("http://www.cnpol.ru/covers/18065.jpg","фото на сайте")</f>
        <v>фото на сайте</v>
      </c>
    </row>
    <row r="98" spans="1:19" ht="50.1" customHeight="1">
      <c r="A98" s="31"/>
      <c r="B98" s="32" t="s">
        <v>422</v>
      </c>
      <c r="C98" s="31" t="s">
        <v>423</v>
      </c>
      <c r="D98" s="31" t="s">
        <v>424</v>
      </c>
      <c r="E98" s="31" t="s">
        <v>425</v>
      </c>
      <c r="F98" s="31" t="s">
        <v>31</v>
      </c>
      <c r="G98" s="31">
        <v>154</v>
      </c>
      <c r="H98" s="31">
        <v>10</v>
      </c>
      <c r="I98" s="31">
        <v>24</v>
      </c>
      <c r="J98" s="31" t="s">
        <v>426</v>
      </c>
      <c r="K98" s="31" t="s">
        <v>55</v>
      </c>
      <c r="L98" s="31" t="s">
        <v>56</v>
      </c>
      <c r="M98" s="31">
        <v>269</v>
      </c>
      <c r="N98" s="31">
        <v>2008</v>
      </c>
      <c r="O98" s="31">
        <v>112</v>
      </c>
      <c r="P98" s="31"/>
      <c r="Q98" s="31"/>
      <c r="R98" s="33"/>
      <c r="S98" s="34" t="str">
        <f>HYPERLINK("http://www.cnpol.ru/covers/8826.jpg","фото на сайте")</f>
        <v>фото на сайте</v>
      </c>
    </row>
    <row r="99" spans="1:19" ht="50.1" customHeight="1">
      <c r="A99" s="31"/>
      <c r="B99" s="32" t="s">
        <v>427</v>
      </c>
      <c r="C99" s="31" t="s">
        <v>428</v>
      </c>
      <c r="D99" s="31" t="s">
        <v>429</v>
      </c>
      <c r="E99" s="31" t="s">
        <v>425</v>
      </c>
      <c r="F99" s="31" t="s">
        <v>31</v>
      </c>
      <c r="G99" s="31">
        <v>200</v>
      </c>
      <c r="H99" s="31">
        <v>10</v>
      </c>
      <c r="I99" s="31">
        <v>10</v>
      </c>
      <c r="J99" s="31" t="s">
        <v>430</v>
      </c>
      <c r="K99" s="31" t="s">
        <v>33</v>
      </c>
      <c r="L99" s="31" t="s">
        <v>34</v>
      </c>
      <c r="M99" s="31" t="s">
        <v>431</v>
      </c>
      <c r="N99" s="31" t="s">
        <v>431</v>
      </c>
      <c r="O99" s="31" t="s">
        <v>220</v>
      </c>
      <c r="P99" s="31"/>
      <c r="Q99" s="31"/>
      <c r="R99" s="33"/>
      <c r="S99" s="34" t="str">
        <f>HYPERLINK("http://www.cnpol.ru/covers/3486.jpg","фото на сайте")</f>
        <v>фото на сайте</v>
      </c>
    </row>
    <row r="100" spans="1:19" ht="50.1" customHeight="1">
      <c r="A100" s="31"/>
      <c r="B100" s="32" t="s">
        <v>432</v>
      </c>
      <c r="C100" s="31" t="s">
        <v>428</v>
      </c>
      <c r="D100" s="31" t="s">
        <v>429</v>
      </c>
      <c r="E100" s="31" t="s">
        <v>425</v>
      </c>
      <c r="F100" s="31" t="s">
        <v>31</v>
      </c>
      <c r="G100" s="31">
        <v>486</v>
      </c>
      <c r="H100" s="31">
        <v>10</v>
      </c>
      <c r="I100" s="31">
        <v>10</v>
      </c>
      <c r="J100" s="31" t="s">
        <v>430</v>
      </c>
      <c r="K100" s="31" t="s">
        <v>33</v>
      </c>
      <c r="L100" s="31" t="s">
        <v>34</v>
      </c>
      <c r="M100" s="31">
        <v>525</v>
      </c>
      <c r="N100" s="31">
        <v>2003</v>
      </c>
      <c r="O100" s="31">
        <v>412</v>
      </c>
      <c r="P100" s="31"/>
      <c r="Q100" s="31"/>
      <c r="R100" s="33"/>
      <c r="S100" s="34" t="str">
        <f>HYPERLINK("http://www.cnpol.ru/covers/4332.jpg","фото на сайте")</f>
        <v>фото на сайте</v>
      </c>
    </row>
    <row r="101" spans="1:19" ht="50.1" customHeight="1">
      <c r="A101" s="31" t="s">
        <v>43</v>
      </c>
      <c r="B101" s="32" t="s">
        <v>433</v>
      </c>
      <c r="C101" s="31" t="s">
        <v>434</v>
      </c>
      <c r="D101" s="31" t="s">
        <v>435</v>
      </c>
      <c r="E101" s="31" t="s">
        <v>436</v>
      </c>
      <c r="F101" s="31" t="s">
        <v>31</v>
      </c>
      <c r="G101" s="31">
        <v>851</v>
      </c>
      <c r="H101" s="31">
        <v>10</v>
      </c>
      <c r="I101" s="31">
        <v>9</v>
      </c>
      <c r="J101" s="31" t="s">
        <v>437</v>
      </c>
      <c r="K101" s="31" t="s">
        <v>33</v>
      </c>
      <c r="L101" s="31" t="s">
        <v>34</v>
      </c>
      <c r="M101" s="31">
        <v>285</v>
      </c>
      <c r="N101" s="31">
        <v>2025</v>
      </c>
      <c r="O101" s="31">
        <v>288</v>
      </c>
      <c r="P101" s="31"/>
      <c r="Q101" s="31"/>
      <c r="R101" s="33" t="s">
        <v>438</v>
      </c>
      <c r="S101" s="34" t="str">
        <f>HYPERLINK("http://www.cnpol.ru/covers/21582.jpg","фото на сайте")</f>
        <v>фото на сайте</v>
      </c>
    </row>
    <row r="102" spans="1:19" ht="50.1" customHeight="1">
      <c r="A102" s="31"/>
      <c r="B102" s="32" t="s">
        <v>439</v>
      </c>
      <c r="C102" s="31" t="s">
        <v>440</v>
      </c>
      <c r="D102" s="31" t="s">
        <v>441</v>
      </c>
      <c r="E102" s="31" t="s">
        <v>442</v>
      </c>
      <c r="F102" s="31" t="s">
        <v>31</v>
      </c>
      <c r="G102" s="31">
        <v>503</v>
      </c>
      <c r="H102" s="31">
        <v>10</v>
      </c>
      <c r="I102" s="31">
        <v>18</v>
      </c>
      <c r="J102" s="31" t="s">
        <v>443</v>
      </c>
      <c r="K102" s="31" t="s">
        <v>33</v>
      </c>
      <c r="L102" s="31" t="s">
        <v>34</v>
      </c>
      <c r="M102" s="31">
        <v>286</v>
      </c>
      <c r="N102" s="31">
        <v>2023</v>
      </c>
      <c r="O102" s="31">
        <v>250</v>
      </c>
      <c r="P102" s="31"/>
      <c r="Q102" s="31"/>
      <c r="R102" s="33" t="s">
        <v>444</v>
      </c>
      <c r="S102" s="34" t="str">
        <f>HYPERLINK("http://www.cnpol.ru/covers/20507.jpg","фото на сайте")</f>
        <v>фото на сайте</v>
      </c>
    </row>
    <row r="103" spans="1:19" ht="50.1" customHeight="1">
      <c r="A103" s="31"/>
      <c r="B103" s="32" t="s">
        <v>445</v>
      </c>
      <c r="C103" s="31" t="s">
        <v>400</v>
      </c>
      <c r="D103" s="31" t="s">
        <v>446</v>
      </c>
      <c r="E103" s="31" t="s">
        <v>447</v>
      </c>
      <c r="F103" s="31" t="s">
        <v>31</v>
      </c>
      <c r="G103" s="31">
        <v>503</v>
      </c>
      <c r="H103" s="31">
        <v>10</v>
      </c>
      <c r="I103" s="31">
        <v>14</v>
      </c>
      <c r="J103" s="31" t="s">
        <v>448</v>
      </c>
      <c r="K103" s="31" t="s">
        <v>33</v>
      </c>
      <c r="L103" s="31" t="s">
        <v>34</v>
      </c>
      <c r="M103" s="31">
        <v>288</v>
      </c>
      <c r="N103" s="31">
        <v>2020</v>
      </c>
      <c r="O103" s="31">
        <v>260</v>
      </c>
      <c r="P103" s="31"/>
      <c r="Q103" s="31"/>
      <c r="R103" s="33"/>
      <c r="S103" s="34" t="str">
        <f>HYPERLINK("http://www.cnpol.ru/covers/19161.jpg","фото на сайте")</f>
        <v>фото на сайте</v>
      </c>
    </row>
    <row r="104" spans="1:19" ht="50.1" customHeight="1">
      <c r="A104" s="31"/>
      <c r="B104" s="32" t="s">
        <v>449</v>
      </c>
      <c r="C104" s="31" t="s">
        <v>45</v>
      </c>
      <c r="D104" s="31" t="s">
        <v>450</v>
      </c>
      <c r="E104" s="31" t="s">
        <v>451</v>
      </c>
      <c r="F104" s="31" t="s">
        <v>31</v>
      </c>
      <c r="G104" s="31">
        <v>640</v>
      </c>
      <c r="H104" s="31">
        <v>10</v>
      </c>
      <c r="I104" s="31">
        <v>12</v>
      </c>
      <c r="J104" s="31" t="s">
        <v>452</v>
      </c>
      <c r="K104" s="31" t="s">
        <v>33</v>
      </c>
      <c r="L104" s="31" t="s">
        <v>34</v>
      </c>
      <c r="M104" s="31">
        <v>285</v>
      </c>
      <c r="N104" s="31">
        <v>2014</v>
      </c>
      <c r="O104" s="31">
        <v>350</v>
      </c>
      <c r="P104" s="31"/>
      <c r="Q104" s="31"/>
      <c r="R104" s="33"/>
      <c r="S104" s="34" t="str">
        <f>HYPERLINK("http://www.cnpol.ru/covers/15470.jpg","фото на сайте")</f>
        <v>фото на сайте</v>
      </c>
    </row>
    <row r="105" spans="1:19" ht="50.1" customHeight="1">
      <c r="A105" s="31" t="s">
        <v>43</v>
      </c>
      <c r="B105" s="32" t="s">
        <v>453</v>
      </c>
      <c r="C105" s="31" t="s">
        <v>454</v>
      </c>
      <c r="D105" s="31" t="s">
        <v>455</v>
      </c>
      <c r="E105" s="31" t="s">
        <v>456</v>
      </c>
      <c r="F105" s="31" t="s">
        <v>31</v>
      </c>
      <c r="G105" s="31">
        <v>733</v>
      </c>
      <c r="H105" s="31">
        <v>10</v>
      </c>
      <c r="I105" s="31">
        <v>16</v>
      </c>
      <c r="J105" s="31" t="s">
        <v>457</v>
      </c>
      <c r="K105" s="31" t="s">
        <v>33</v>
      </c>
      <c r="L105" s="31" t="s">
        <v>34</v>
      </c>
      <c r="M105" s="31">
        <v>223</v>
      </c>
      <c r="N105" s="31">
        <v>2021</v>
      </c>
      <c r="O105" s="31" t="s">
        <v>220</v>
      </c>
      <c r="P105" s="31"/>
      <c r="Q105" s="31"/>
      <c r="R105" s="33" t="s">
        <v>458</v>
      </c>
      <c r="S105" s="34" t="str">
        <f>HYPERLINK("http://www.cnpol.ru/covers/21399.jpg","фото на сайте")</f>
        <v>фото на сайте</v>
      </c>
    </row>
    <row r="106" spans="1:19" ht="50.1" customHeight="1">
      <c r="A106" s="31"/>
      <c r="B106" s="32" t="s">
        <v>459</v>
      </c>
      <c r="C106" s="31" t="s">
        <v>400</v>
      </c>
      <c r="D106" s="31" t="s">
        <v>460</v>
      </c>
      <c r="E106" s="31" t="s">
        <v>461</v>
      </c>
      <c r="F106" s="31" t="s">
        <v>31</v>
      </c>
      <c r="G106" s="31">
        <v>503</v>
      </c>
      <c r="H106" s="31">
        <v>10</v>
      </c>
      <c r="I106" s="31">
        <v>14</v>
      </c>
      <c r="J106" s="31" t="s">
        <v>462</v>
      </c>
      <c r="K106" s="31" t="s">
        <v>33</v>
      </c>
      <c r="L106" s="31" t="s">
        <v>34</v>
      </c>
      <c r="M106" s="31">
        <v>316</v>
      </c>
      <c r="N106" s="31">
        <v>2012</v>
      </c>
      <c r="O106" s="31">
        <v>276</v>
      </c>
      <c r="P106" s="31"/>
      <c r="Q106" s="31"/>
      <c r="R106" s="33"/>
      <c r="S106" s="34" t="str">
        <f>HYPERLINK("http://www.cnpol.ru/covers/13731.jpg","фото на сайте")</f>
        <v>фото на сайте</v>
      </c>
    </row>
    <row r="107" spans="1:19" ht="50.1" customHeight="1">
      <c r="A107" s="31"/>
      <c r="B107" s="32" t="s">
        <v>463</v>
      </c>
      <c r="C107" s="31" t="s">
        <v>464</v>
      </c>
      <c r="D107" s="31" t="s">
        <v>465</v>
      </c>
      <c r="E107" s="31" t="s">
        <v>466</v>
      </c>
      <c r="F107" s="31" t="s">
        <v>31</v>
      </c>
      <c r="G107" s="31">
        <v>137</v>
      </c>
      <c r="H107" s="31">
        <v>10</v>
      </c>
      <c r="I107" s="31">
        <v>50</v>
      </c>
      <c r="J107" s="31" t="s">
        <v>467</v>
      </c>
      <c r="K107" s="31" t="s">
        <v>468</v>
      </c>
      <c r="L107" s="31" t="s">
        <v>56</v>
      </c>
      <c r="M107" s="31">
        <v>18</v>
      </c>
      <c r="N107" s="31">
        <v>2007</v>
      </c>
      <c r="O107" s="31">
        <v>86</v>
      </c>
      <c r="P107" s="31"/>
      <c r="Q107" s="31"/>
      <c r="R107" s="33"/>
      <c r="S107" s="34" t="str">
        <f>HYPERLINK("http://www.cnpol.ru/covers/7400.jpg","фото на сайте")</f>
        <v>фото на сайте</v>
      </c>
    </row>
    <row r="108" spans="1:19" ht="50.1" customHeight="1">
      <c r="A108" s="31"/>
      <c r="B108" s="32" t="s">
        <v>469</v>
      </c>
      <c r="C108" s="31" t="s">
        <v>470</v>
      </c>
      <c r="D108" s="31" t="s">
        <v>471</v>
      </c>
      <c r="E108" s="31" t="s">
        <v>472</v>
      </c>
      <c r="F108" s="31" t="s">
        <v>31</v>
      </c>
      <c r="G108" s="31">
        <v>353</v>
      </c>
      <c r="H108" s="31">
        <v>10</v>
      </c>
      <c r="I108" s="31">
        <v>14</v>
      </c>
      <c r="J108" s="31" t="s">
        <v>473</v>
      </c>
      <c r="K108" s="31" t="s">
        <v>33</v>
      </c>
      <c r="L108" s="31" t="s">
        <v>34</v>
      </c>
      <c r="M108" s="31">
        <v>320</v>
      </c>
      <c r="N108" s="31">
        <v>2008</v>
      </c>
      <c r="O108" s="31">
        <v>286</v>
      </c>
      <c r="P108" s="31"/>
      <c r="Q108" s="31"/>
      <c r="R108" s="33"/>
      <c r="S108" s="34" t="str">
        <f>HYPERLINK("http://www.cnpol.ru/covers/10158.jpg","фото на сайте")</f>
        <v>фото на сайте</v>
      </c>
    </row>
    <row r="109" spans="1:19" ht="50.1" customHeight="1">
      <c r="A109" s="31"/>
      <c r="B109" s="32" t="s">
        <v>474</v>
      </c>
      <c r="C109" s="31" t="s">
        <v>400</v>
      </c>
      <c r="D109" s="31" t="s">
        <v>475</v>
      </c>
      <c r="E109" s="31" t="s">
        <v>476</v>
      </c>
      <c r="F109" s="31" t="s">
        <v>31</v>
      </c>
      <c r="G109" s="31">
        <v>503</v>
      </c>
      <c r="H109" s="31">
        <v>10</v>
      </c>
      <c r="I109" s="31">
        <v>16</v>
      </c>
      <c r="J109" s="31" t="s">
        <v>477</v>
      </c>
      <c r="K109" s="31" t="s">
        <v>33</v>
      </c>
      <c r="L109" s="31" t="s">
        <v>34</v>
      </c>
      <c r="M109" s="31">
        <v>319</v>
      </c>
      <c r="N109" s="31">
        <v>2011</v>
      </c>
      <c r="O109" s="31">
        <v>260</v>
      </c>
      <c r="P109" s="31"/>
      <c r="Q109" s="31"/>
      <c r="R109" s="33"/>
      <c r="S109" s="34" t="str">
        <f>HYPERLINK("http://www.cnpol.ru/covers/12655.jpg","фото на сайте")</f>
        <v>фото на сайте</v>
      </c>
    </row>
    <row r="110" spans="1:19" ht="50.1" customHeight="1">
      <c r="A110" s="31" t="s">
        <v>35</v>
      </c>
      <c r="B110" s="32" t="s">
        <v>478</v>
      </c>
      <c r="C110" s="31" t="s">
        <v>479</v>
      </c>
      <c r="D110" s="31" t="s">
        <v>480</v>
      </c>
      <c r="E110" s="31" t="s">
        <v>481</v>
      </c>
      <c r="F110" s="31" t="s">
        <v>31</v>
      </c>
      <c r="G110" s="35">
        <v>1198</v>
      </c>
      <c r="H110" s="31">
        <v>10</v>
      </c>
      <c r="I110" s="31">
        <v>5</v>
      </c>
      <c r="J110" s="31" t="s">
        <v>482</v>
      </c>
      <c r="K110" s="31" t="s">
        <v>33</v>
      </c>
      <c r="L110" s="31" t="s">
        <v>34</v>
      </c>
      <c r="M110" s="31">
        <v>543</v>
      </c>
      <c r="N110" s="31">
        <v>2025</v>
      </c>
      <c r="O110" s="31">
        <v>546</v>
      </c>
      <c r="P110" s="31"/>
      <c r="Q110" s="31"/>
      <c r="R110" s="33" t="s">
        <v>483</v>
      </c>
      <c r="S110" s="34" t="str">
        <f>HYPERLINK("http://www.cnpol.ru/covers/21452.jpg","фото на сайте")</f>
        <v>фото на сайте</v>
      </c>
    </row>
    <row r="111" spans="1:19" ht="50.1" customHeight="1">
      <c r="A111" s="31" t="s">
        <v>35</v>
      </c>
      <c r="B111" s="32" t="s">
        <v>484</v>
      </c>
      <c r="C111" s="31" t="s">
        <v>434</v>
      </c>
      <c r="D111" s="31" t="s">
        <v>485</v>
      </c>
      <c r="E111" s="31" t="s">
        <v>486</v>
      </c>
      <c r="F111" s="31" t="s">
        <v>31</v>
      </c>
      <c r="G111" s="31">
        <v>678</v>
      </c>
      <c r="H111" s="31">
        <v>10</v>
      </c>
      <c r="I111" s="31">
        <v>10</v>
      </c>
      <c r="J111" s="31" t="s">
        <v>487</v>
      </c>
      <c r="K111" s="31" t="s">
        <v>33</v>
      </c>
      <c r="L111" s="31" t="s">
        <v>34</v>
      </c>
      <c r="M111" s="31">
        <v>222</v>
      </c>
      <c r="N111" s="31">
        <v>2025</v>
      </c>
      <c r="O111" s="31">
        <v>290</v>
      </c>
      <c r="P111" s="31"/>
      <c r="Q111" s="31"/>
      <c r="R111" s="33" t="s">
        <v>488</v>
      </c>
      <c r="S111" s="34" t="str">
        <f>HYPERLINK("http://www.cnpol.ru/covers/21562.jpg","фото на сайте")</f>
        <v>фото на сайте</v>
      </c>
    </row>
    <row r="112" spans="1:19" ht="50.1" customHeight="1">
      <c r="A112" s="31" t="s">
        <v>43</v>
      </c>
      <c r="B112" s="32" t="s">
        <v>489</v>
      </c>
      <c r="C112" s="31" t="s">
        <v>37</v>
      </c>
      <c r="D112" s="31" t="s">
        <v>490</v>
      </c>
      <c r="E112" s="31" t="s">
        <v>491</v>
      </c>
      <c r="F112" s="31" t="s">
        <v>31</v>
      </c>
      <c r="G112" s="31">
        <v>936</v>
      </c>
      <c r="H112" s="31">
        <v>10</v>
      </c>
      <c r="I112" s="31">
        <v>12</v>
      </c>
      <c r="J112" s="31" t="s">
        <v>492</v>
      </c>
      <c r="K112" s="31" t="s">
        <v>33</v>
      </c>
      <c r="L112" s="31" t="s">
        <v>34</v>
      </c>
      <c r="M112" s="31">
        <v>319</v>
      </c>
      <c r="N112" s="31">
        <v>2024</v>
      </c>
      <c r="O112" s="31">
        <v>377</v>
      </c>
      <c r="P112" s="31"/>
      <c r="Q112" s="31"/>
      <c r="R112" s="33" t="s">
        <v>493</v>
      </c>
      <c r="S112" s="34" t="str">
        <f>HYPERLINK("http://www.cnpol.ru/covers/21111.jpg","фото на сайте")</f>
        <v>фото на сайте</v>
      </c>
    </row>
    <row r="113" spans="1:19" ht="50.1" customHeight="1">
      <c r="A113" s="31"/>
      <c r="B113" s="32" t="s">
        <v>494</v>
      </c>
      <c r="C113" s="31" t="s">
        <v>495</v>
      </c>
      <c r="D113" s="31" t="s">
        <v>496</v>
      </c>
      <c r="E113" s="31" t="s">
        <v>497</v>
      </c>
      <c r="F113" s="31" t="s">
        <v>31</v>
      </c>
      <c r="G113" s="35">
        <v>3445</v>
      </c>
      <c r="H113" s="31">
        <v>10</v>
      </c>
      <c r="I113" s="31">
        <v>5</v>
      </c>
      <c r="J113" s="31" t="s">
        <v>498</v>
      </c>
      <c r="K113" s="31" t="s">
        <v>319</v>
      </c>
      <c r="L113" s="31" t="s">
        <v>34</v>
      </c>
      <c r="M113" s="31">
        <v>264</v>
      </c>
      <c r="N113" s="31">
        <v>2016</v>
      </c>
      <c r="O113" s="31">
        <v>1134</v>
      </c>
      <c r="P113" s="31"/>
      <c r="Q113" s="31"/>
      <c r="R113" s="33"/>
      <c r="S113" s="34" t="str">
        <f>HYPERLINK("http://www.cnpol.ru/covers/17078.jpg","фото на сайте")</f>
        <v>фото на сайте</v>
      </c>
    </row>
    <row r="114" spans="1:19" ht="50.1" customHeight="1">
      <c r="A114" s="31"/>
      <c r="B114" s="32" t="s">
        <v>499</v>
      </c>
      <c r="C114" s="31" t="s">
        <v>495</v>
      </c>
      <c r="D114" s="31" t="s">
        <v>496</v>
      </c>
      <c r="E114" s="31" t="s">
        <v>500</v>
      </c>
      <c r="F114" s="31" t="s">
        <v>31</v>
      </c>
      <c r="G114" s="35">
        <v>3445</v>
      </c>
      <c r="H114" s="31">
        <v>10</v>
      </c>
      <c r="I114" s="31">
        <v>5</v>
      </c>
      <c r="J114" s="31" t="s">
        <v>501</v>
      </c>
      <c r="K114" s="31" t="s">
        <v>319</v>
      </c>
      <c r="L114" s="31" t="s">
        <v>34</v>
      </c>
      <c r="M114" s="31">
        <v>264</v>
      </c>
      <c r="N114" s="31">
        <v>2016</v>
      </c>
      <c r="O114" s="31">
        <v>1134</v>
      </c>
      <c r="P114" s="31"/>
      <c r="Q114" s="31"/>
      <c r="R114" s="33"/>
      <c r="S114" s="34" t="str">
        <f>HYPERLINK("http://www.cnpol.ru/covers/17079.jpg","фото на сайте")</f>
        <v>фото на сайте</v>
      </c>
    </row>
    <row r="115" spans="1:19" ht="50.1" customHeight="1">
      <c r="A115" s="31" t="s">
        <v>35</v>
      </c>
      <c r="B115" s="32" t="s">
        <v>502</v>
      </c>
      <c r="C115" s="31" t="s">
        <v>503</v>
      </c>
      <c r="D115" s="31" t="s">
        <v>504</v>
      </c>
      <c r="E115" s="31" t="s">
        <v>505</v>
      </c>
      <c r="F115" s="31" t="s">
        <v>31</v>
      </c>
      <c r="G115" s="35">
        <v>1632</v>
      </c>
      <c r="H115" s="31">
        <v>10</v>
      </c>
      <c r="I115" s="31">
        <v>4</v>
      </c>
      <c r="J115" s="31" t="s">
        <v>506</v>
      </c>
      <c r="K115" s="31" t="s">
        <v>41</v>
      </c>
      <c r="L115" s="31" t="s">
        <v>34</v>
      </c>
      <c r="M115" s="31">
        <v>640</v>
      </c>
      <c r="N115" s="31">
        <v>2025</v>
      </c>
      <c r="O115" s="31" t="s">
        <v>220</v>
      </c>
      <c r="P115" s="31"/>
      <c r="Q115" s="31"/>
      <c r="R115" s="33" t="s">
        <v>507</v>
      </c>
      <c r="S115" s="34" t="str">
        <f>HYPERLINK("http://www.cnpol.ru/covers/21840.jpg","фото на сайте")</f>
        <v>фото на сайте</v>
      </c>
    </row>
    <row r="116" spans="1:19" ht="50.1" customHeight="1">
      <c r="A116" s="31" t="s">
        <v>35</v>
      </c>
      <c r="B116" s="32" t="s">
        <v>508</v>
      </c>
      <c r="C116" s="31" t="s">
        <v>503</v>
      </c>
      <c r="D116" s="31" t="s">
        <v>504</v>
      </c>
      <c r="E116" s="31" t="s">
        <v>509</v>
      </c>
      <c r="F116" s="31" t="s">
        <v>31</v>
      </c>
      <c r="G116" s="35">
        <v>1132</v>
      </c>
      <c r="H116" s="31">
        <v>10</v>
      </c>
      <c r="I116" s="31">
        <v>6</v>
      </c>
      <c r="J116" s="31" t="s">
        <v>510</v>
      </c>
      <c r="K116" s="31" t="s">
        <v>41</v>
      </c>
      <c r="L116" s="31" t="s">
        <v>34</v>
      </c>
      <c r="M116" s="31">
        <v>383</v>
      </c>
      <c r="N116" s="31">
        <v>2025</v>
      </c>
      <c r="O116" s="31">
        <v>555</v>
      </c>
      <c r="P116" s="31"/>
      <c r="Q116" s="31"/>
      <c r="R116" s="33" t="s">
        <v>511</v>
      </c>
      <c r="S116" s="34" t="str">
        <f>HYPERLINK("http://www.cnpol.ru/covers/21769.jpg","фото на сайте")</f>
        <v>фото на сайте</v>
      </c>
    </row>
    <row r="117" spans="1:19" ht="50.1" customHeight="1">
      <c r="A117" s="31"/>
      <c r="B117" s="32" t="s">
        <v>512</v>
      </c>
      <c r="C117" s="31" t="s">
        <v>181</v>
      </c>
      <c r="D117" s="31" t="s">
        <v>513</v>
      </c>
      <c r="E117" s="31" t="s">
        <v>514</v>
      </c>
      <c r="F117" s="31" t="s">
        <v>31</v>
      </c>
      <c r="G117" s="31">
        <v>300</v>
      </c>
      <c r="H117" s="31">
        <v>10</v>
      </c>
      <c r="I117" s="31">
        <v>24</v>
      </c>
      <c r="J117" s="31" t="s">
        <v>515</v>
      </c>
      <c r="K117" s="31" t="s">
        <v>319</v>
      </c>
      <c r="L117" s="31" t="s">
        <v>56</v>
      </c>
      <c r="M117" s="31">
        <v>71</v>
      </c>
      <c r="N117" s="31">
        <v>2013</v>
      </c>
      <c r="O117" s="31">
        <v>115</v>
      </c>
      <c r="P117" s="31"/>
      <c r="Q117" s="31"/>
      <c r="R117" s="33"/>
      <c r="S117" s="34" t="str">
        <f>HYPERLINK("http://www.cnpol.ru/covers/14622.jpg","фото на сайте")</f>
        <v>фото на сайте</v>
      </c>
    </row>
    <row r="118" spans="1:19" ht="50.1" customHeight="1">
      <c r="A118" s="31"/>
      <c r="B118" s="32" t="s">
        <v>516</v>
      </c>
      <c r="C118" s="31" t="s">
        <v>181</v>
      </c>
      <c r="D118" s="31" t="s">
        <v>182</v>
      </c>
      <c r="E118" s="31" t="s">
        <v>517</v>
      </c>
      <c r="F118" s="31" t="s">
        <v>31</v>
      </c>
      <c r="G118" s="31">
        <v>300</v>
      </c>
      <c r="H118" s="31">
        <v>10</v>
      </c>
      <c r="I118" s="31">
        <v>35</v>
      </c>
      <c r="J118" s="31" t="s">
        <v>518</v>
      </c>
      <c r="K118" s="31" t="s">
        <v>319</v>
      </c>
      <c r="L118" s="31" t="s">
        <v>56</v>
      </c>
      <c r="M118" s="31">
        <v>39</v>
      </c>
      <c r="N118" s="31">
        <v>2012</v>
      </c>
      <c r="O118" s="31">
        <v>110</v>
      </c>
      <c r="P118" s="31"/>
      <c r="Q118" s="31"/>
      <c r="R118" s="33"/>
      <c r="S118" s="34" t="str">
        <f>HYPERLINK("http://www.cnpol.ru/covers/13393.jpg","фото на сайте")</f>
        <v>фото на сайте</v>
      </c>
    </row>
    <row r="119" spans="1:19" ht="50.1" customHeight="1">
      <c r="A119" s="31"/>
      <c r="B119" s="32" t="s">
        <v>519</v>
      </c>
      <c r="C119" s="31" t="s">
        <v>520</v>
      </c>
      <c r="D119" s="31" t="s">
        <v>521</v>
      </c>
      <c r="E119" s="31" t="s">
        <v>522</v>
      </c>
      <c r="F119" s="31">
        <v>65</v>
      </c>
      <c r="G119" s="31">
        <v>117</v>
      </c>
      <c r="H119" s="31">
        <v>10</v>
      </c>
      <c r="I119" s="31">
        <v>30</v>
      </c>
      <c r="J119" s="31" t="s">
        <v>523</v>
      </c>
      <c r="K119" s="31" t="s">
        <v>123</v>
      </c>
      <c r="L119" s="31" t="s">
        <v>56</v>
      </c>
      <c r="M119" s="31">
        <v>192</v>
      </c>
      <c r="N119" s="31">
        <v>2019</v>
      </c>
      <c r="O119" s="31">
        <v>90</v>
      </c>
      <c r="P119" s="31"/>
      <c r="Q119" s="31"/>
      <c r="R119" s="33"/>
      <c r="S119" s="34" t="str">
        <f>HYPERLINK("http://www.cnpol.ru/covers/18587.jpg","фото на сайте")</f>
        <v>фото на сайте</v>
      </c>
    </row>
    <row r="120" spans="1:19" ht="50.1" customHeight="1">
      <c r="A120" s="31"/>
      <c r="B120" s="32" t="s">
        <v>524</v>
      </c>
      <c r="C120" s="31" t="s">
        <v>315</v>
      </c>
      <c r="D120" s="31" t="s">
        <v>316</v>
      </c>
      <c r="E120" s="31" t="s">
        <v>525</v>
      </c>
      <c r="F120" s="31" t="s">
        <v>31</v>
      </c>
      <c r="G120" s="31">
        <v>251</v>
      </c>
      <c r="H120" s="31">
        <v>10</v>
      </c>
      <c r="I120" s="31">
        <v>30</v>
      </c>
      <c r="J120" s="31" t="s">
        <v>526</v>
      </c>
      <c r="K120" s="31" t="s">
        <v>319</v>
      </c>
      <c r="L120" s="31" t="s">
        <v>210</v>
      </c>
      <c r="M120" s="31">
        <v>36</v>
      </c>
      <c r="N120" s="31">
        <v>2020</v>
      </c>
      <c r="O120" s="31">
        <v>140</v>
      </c>
      <c r="P120" s="31"/>
      <c r="Q120" s="31"/>
      <c r="R120" s="33"/>
      <c r="S120" s="34" t="str">
        <f>HYPERLINK("http://www.cnpol.ru/covers/19429.jpg","фото на сайте")</f>
        <v>фото на сайте</v>
      </c>
    </row>
    <row r="121" spans="1:19" ht="50.1" customHeight="1">
      <c r="A121" s="31"/>
      <c r="B121" s="32" t="s">
        <v>527</v>
      </c>
      <c r="C121" s="31" t="s">
        <v>528</v>
      </c>
      <c r="D121" s="31" t="s">
        <v>529</v>
      </c>
      <c r="E121" s="31" t="s">
        <v>530</v>
      </c>
      <c r="F121" s="31" t="s">
        <v>31</v>
      </c>
      <c r="G121" s="31">
        <v>137</v>
      </c>
      <c r="H121" s="31">
        <v>10</v>
      </c>
      <c r="I121" s="31">
        <v>40</v>
      </c>
      <c r="J121" s="31" t="s">
        <v>531</v>
      </c>
      <c r="K121" s="31" t="s">
        <v>55</v>
      </c>
      <c r="L121" s="31" t="s">
        <v>56</v>
      </c>
      <c r="M121" s="31">
        <v>157</v>
      </c>
      <c r="N121" s="31">
        <v>2014</v>
      </c>
      <c r="O121" s="31">
        <v>70</v>
      </c>
      <c r="P121" s="31"/>
      <c r="Q121" s="31"/>
      <c r="R121" s="33"/>
      <c r="S121" s="34" t="str">
        <f>HYPERLINK("http://www.cnpol.ru/covers/15230.jpg","фото на сайте")</f>
        <v>фото на сайте</v>
      </c>
    </row>
    <row r="122" spans="1:19" ht="50.1" customHeight="1">
      <c r="A122" s="31"/>
      <c r="B122" s="32" t="s">
        <v>532</v>
      </c>
      <c r="C122" s="31" t="s">
        <v>533</v>
      </c>
      <c r="D122" s="31" t="s">
        <v>534</v>
      </c>
      <c r="E122" s="31" t="s">
        <v>535</v>
      </c>
      <c r="F122" s="31" t="s">
        <v>31</v>
      </c>
      <c r="G122" s="31">
        <v>236</v>
      </c>
      <c r="H122" s="31">
        <v>10</v>
      </c>
      <c r="I122" s="31">
        <v>12</v>
      </c>
      <c r="J122" s="31" t="s">
        <v>536</v>
      </c>
      <c r="K122" s="31" t="s">
        <v>33</v>
      </c>
      <c r="L122" s="31" t="s">
        <v>34</v>
      </c>
      <c r="M122" s="31">
        <v>459</v>
      </c>
      <c r="N122" s="31">
        <v>2001</v>
      </c>
      <c r="O122" s="31">
        <v>356</v>
      </c>
      <c r="P122" s="31"/>
      <c r="Q122" s="31"/>
      <c r="R122" s="33"/>
      <c r="S122" s="34" t="str">
        <f>HYPERLINK("http://www.cnpol.ru/covers/2902.jpg","фото на сайте")</f>
        <v>фото на сайте</v>
      </c>
    </row>
    <row r="123" spans="1:19" ht="50.1" customHeight="1">
      <c r="A123" s="31"/>
      <c r="B123" s="32" t="s">
        <v>537</v>
      </c>
      <c r="C123" s="31" t="s">
        <v>538</v>
      </c>
      <c r="D123" s="31" t="s">
        <v>539</v>
      </c>
      <c r="E123" s="31" t="s">
        <v>540</v>
      </c>
      <c r="F123" s="31" t="s">
        <v>31</v>
      </c>
      <c r="G123" s="31">
        <v>559</v>
      </c>
      <c r="H123" s="31">
        <v>10</v>
      </c>
      <c r="I123" s="31">
        <v>12</v>
      </c>
      <c r="J123" s="31" t="s">
        <v>541</v>
      </c>
      <c r="K123" s="31" t="s">
        <v>33</v>
      </c>
      <c r="L123" s="31" t="s">
        <v>34</v>
      </c>
      <c r="M123" s="31">
        <v>447</v>
      </c>
      <c r="N123" s="31">
        <v>2008</v>
      </c>
      <c r="O123" s="31">
        <v>354</v>
      </c>
      <c r="P123" s="31"/>
      <c r="Q123" s="31"/>
      <c r="R123" s="33"/>
      <c r="S123" s="34" t="str">
        <f>HYPERLINK("http://www.cnpol.ru/covers/10944.jpg","фото на сайте")</f>
        <v>фото на сайте</v>
      </c>
    </row>
    <row r="124" spans="1:19" ht="50.1" customHeight="1">
      <c r="A124" s="31"/>
      <c r="B124" s="32" t="s">
        <v>542</v>
      </c>
      <c r="C124" s="31" t="s">
        <v>543</v>
      </c>
      <c r="D124" s="31" t="s">
        <v>539</v>
      </c>
      <c r="E124" s="31" t="s">
        <v>540</v>
      </c>
      <c r="F124" s="31">
        <v>1</v>
      </c>
      <c r="G124" s="31">
        <v>169</v>
      </c>
      <c r="H124" s="31">
        <v>10</v>
      </c>
      <c r="I124" s="31">
        <v>24</v>
      </c>
      <c r="J124" s="31" t="s">
        <v>544</v>
      </c>
      <c r="K124" s="31" t="s">
        <v>123</v>
      </c>
      <c r="L124" s="31" t="s">
        <v>56</v>
      </c>
      <c r="M124" s="31">
        <v>447</v>
      </c>
      <c r="N124" s="31">
        <v>2010</v>
      </c>
      <c r="O124" s="31">
        <v>202</v>
      </c>
      <c r="P124" s="31"/>
      <c r="Q124" s="31"/>
      <c r="R124" s="33"/>
      <c r="S124" s="34" t="str">
        <f>HYPERLINK("http://www.cnpol.ru/covers/12339.jpg","фото на сайте")</f>
        <v>фото на сайте</v>
      </c>
    </row>
    <row r="125" spans="1:19" ht="50.1" customHeight="1">
      <c r="A125" s="31"/>
      <c r="B125" s="32" t="s">
        <v>545</v>
      </c>
      <c r="C125" s="31" t="s">
        <v>546</v>
      </c>
      <c r="D125" s="31" t="s">
        <v>547</v>
      </c>
      <c r="E125" s="31" t="s">
        <v>548</v>
      </c>
      <c r="F125" s="31">
        <v>176</v>
      </c>
      <c r="G125" s="31">
        <v>93</v>
      </c>
      <c r="H125" s="31">
        <v>10</v>
      </c>
      <c r="I125" s="31">
        <v>30</v>
      </c>
      <c r="J125" s="31" t="s">
        <v>549</v>
      </c>
      <c r="K125" s="31" t="s">
        <v>123</v>
      </c>
      <c r="L125" s="31" t="s">
        <v>56</v>
      </c>
      <c r="M125" s="31">
        <v>160</v>
      </c>
      <c r="N125" s="31">
        <v>2016</v>
      </c>
      <c r="O125" s="31">
        <v>76</v>
      </c>
      <c r="P125" s="31"/>
      <c r="Q125" s="31"/>
      <c r="R125" s="33"/>
      <c r="S125" s="34" t="str">
        <f>HYPERLINK("http://www.cnpol.ru/covers/16861.jpg","фото на сайте")</f>
        <v>фото на сайте</v>
      </c>
    </row>
    <row r="126" spans="1:19" ht="50.1" customHeight="1">
      <c r="A126" s="31"/>
      <c r="B126" s="32" t="s">
        <v>550</v>
      </c>
      <c r="C126" s="31" t="s">
        <v>400</v>
      </c>
      <c r="D126" s="31" t="s">
        <v>551</v>
      </c>
      <c r="E126" s="31" t="s">
        <v>552</v>
      </c>
      <c r="F126" s="31" t="s">
        <v>31</v>
      </c>
      <c r="G126" s="31">
        <v>503</v>
      </c>
      <c r="H126" s="31">
        <v>10</v>
      </c>
      <c r="I126" s="31">
        <v>14</v>
      </c>
      <c r="J126" s="31" t="s">
        <v>553</v>
      </c>
      <c r="K126" s="31" t="s">
        <v>33</v>
      </c>
      <c r="L126" s="31" t="s">
        <v>34</v>
      </c>
      <c r="M126" s="31">
        <v>320</v>
      </c>
      <c r="N126" s="31">
        <v>2020</v>
      </c>
      <c r="O126" s="31">
        <v>274</v>
      </c>
      <c r="P126" s="31"/>
      <c r="Q126" s="31"/>
      <c r="R126" s="33"/>
      <c r="S126" s="34" t="str">
        <f>HYPERLINK("http://www.cnpol.ru/covers/19434.jpg","фото на сайте")</f>
        <v>фото на сайте</v>
      </c>
    </row>
    <row r="127" spans="1:19" ht="50.1" customHeight="1">
      <c r="A127" s="31"/>
      <c r="B127" s="32" t="s">
        <v>554</v>
      </c>
      <c r="C127" s="31" t="s">
        <v>479</v>
      </c>
      <c r="D127" s="31" t="s">
        <v>555</v>
      </c>
      <c r="E127" s="31" t="s">
        <v>556</v>
      </c>
      <c r="F127" s="31" t="s">
        <v>31</v>
      </c>
      <c r="G127" s="31">
        <v>461</v>
      </c>
      <c r="H127" s="31">
        <v>10</v>
      </c>
      <c r="I127" s="31">
        <v>14</v>
      </c>
      <c r="J127" s="31" t="s">
        <v>557</v>
      </c>
      <c r="K127" s="31" t="s">
        <v>33</v>
      </c>
      <c r="L127" s="31" t="s">
        <v>34</v>
      </c>
      <c r="M127" s="31">
        <v>288</v>
      </c>
      <c r="N127" s="31">
        <v>2018</v>
      </c>
      <c r="O127" s="31">
        <v>254</v>
      </c>
      <c r="P127" s="31"/>
      <c r="Q127" s="31"/>
      <c r="R127" s="33"/>
      <c r="S127" s="34" t="str">
        <f>HYPERLINK("http://www.cnpol.ru/covers/18093.jpg","фото на сайте")</f>
        <v>фото на сайте</v>
      </c>
    </row>
    <row r="128" spans="1:19" ht="50.1" customHeight="1">
      <c r="A128" s="31"/>
      <c r="B128" s="32" t="s">
        <v>558</v>
      </c>
      <c r="C128" s="31" t="s">
        <v>520</v>
      </c>
      <c r="D128" s="31" t="s">
        <v>559</v>
      </c>
      <c r="E128" s="31" t="s">
        <v>560</v>
      </c>
      <c r="F128" s="31">
        <v>6</v>
      </c>
      <c r="G128" s="31">
        <v>117</v>
      </c>
      <c r="H128" s="31">
        <v>10</v>
      </c>
      <c r="I128" s="31">
        <v>30</v>
      </c>
      <c r="J128" s="31" t="s">
        <v>561</v>
      </c>
      <c r="K128" s="31" t="s">
        <v>123</v>
      </c>
      <c r="L128" s="31" t="s">
        <v>56</v>
      </c>
      <c r="M128" s="31">
        <v>189</v>
      </c>
      <c r="N128" s="31">
        <v>2015</v>
      </c>
      <c r="O128" s="31">
        <v>90</v>
      </c>
      <c r="P128" s="31"/>
      <c r="Q128" s="31"/>
      <c r="R128" s="33"/>
      <c r="S128" s="34" t="str">
        <f>HYPERLINK("http://www.cnpol.ru/covers/16121.jpg","фото на сайте")</f>
        <v>фото на сайте</v>
      </c>
    </row>
    <row r="129" spans="1:19" ht="50.1" customHeight="1">
      <c r="A129" s="31"/>
      <c r="B129" s="32" t="s">
        <v>562</v>
      </c>
      <c r="C129" s="31" t="s">
        <v>563</v>
      </c>
      <c r="D129" s="31" t="s">
        <v>564</v>
      </c>
      <c r="E129" s="31" t="s">
        <v>565</v>
      </c>
      <c r="F129" s="31" t="s">
        <v>31</v>
      </c>
      <c r="G129" s="31">
        <v>194</v>
      </c>
      <c r="H129" s="31">
        <v>10</v>
      </c>
      <c r="I129" s="31">
        <v>30</v>
      </c>
      <c r="J129" s="31" t="s">
        <v>566</v>
      </c>
      <c r="K129" s="31" t="s">
        <v>130</v>
      </c>
      <c r="L129" s="31" t="s">
        <v>56</v>
      </c>
      <c r="M129" s="31">
        <v>172</v>
      </c>
      <c r="N129" s="31">
        <v>2005</v>
      </c>
      <c r="O129" s="31">
        <v>90</v>
      </c>
      <c r="P129" s="31"/>
      <c r="Q129" s="31"/>
      <c r="R129" s="33"/>
      <c r="S129" s="34" t="str">
        <f>HYPERLINK("http://www.cnpol.ru/covers/5486.jpg","фото на сайте")</f>
        <v>фото на сайте</v>
      </c>
    </row>
    <row r="130" spans="1:19" ht="50.1" customHeight="1">
      <c r="A130" s="31"/>
      <c r="B130" s="32" t="s">
        <v>567</v>
      </c>
      <c r="C130" s="31" t="s">
        <v>563</v>
      </c>
      <c r="D130" s="31" t="s">
        <v>564</v>
      </c>
      <c r="E130" s="31" t="s">
        <v>568</v>
      </c>
      <c r="F130" s="31" t="s">
        <v>31</v>
      </c>
      <c r="G130" s="31">
        <v>194</v>
      </c>
      <c r="H130" s="31">
        <v>10</v>
      </c>
      <c r="I130" s="31">
        <v>40</v>
      </c>
      <c r="J130" s="31" t="s">
        <v>569</v>
      </c>
      <c r="K130" s="31" t="s">
        <v>130</v>
      </c>
      <c r="L130" s="31" t="s">
        <v>56</v>
      </c>
      <c r="M130" s="31">
        <v>140</v>
      </c>
      <c r="N130" s="31">
        <v>2005</v>
      </c>
      <c r="O130" s="31">
        <v>98</v>
      </c>
      <c r="P130" s="31"/>
      <c r="Q130" s="31"/>
      <c r="R130" s="33"/>
      <c r="S130" s="34" t="str">
        <f>HYPERLINK("http://www.cnpol.ru/covers/6241.jpg","фото на сайте")</f>
        <v>фото на сайте</v>
      </c>
    </row>
    <row r="131" spans="1:19" ht="50.1" customHeight="1">
      <c r="A131" s="31"/>
      <c r="B131" s="32" t="s">
        <v>570</v>
      </c>
      <c r="C131" s="31" t="s">
        <v>37</v>
      </c>
      <c r="D131" s="31" t="s">
        <v>571</v>
      </c>
      <c r="E131" s="31" t="s">
        <v>572</v>
      </c>
      <c r="F131" s="31" t="s">
        <v>31</v>
      </c>
      <c r="G131" s="31">
        <v>468</v>
      </c>
      <c r="H131" s="31">
        <v>10</v>
      </c>
      <c r="I131" s="31">
        <v>16</v>
      </c>
      <c r="J131" s="31" t="s">
        <v>573</v>
      </c>
      <c r="K131" s="31" t="s">
        <v>33</v>
      </c>
      <c r="L131" s="31" t="s">
        <v>34</v>
      </c>
      <c r="M131" s="31">
        <v>223</v>
      </c>
      <c r="N131" s="31">
        <v>2023</v>
      </c>
      <c r="O131" s="31">
        <v>220</v>
      </c>
      <c r="P131" s="31"/>
      <c r="Q131" s="31"/>
      <c r="R131" s="33" t="s">
        <v>574</v>
      </c>
      <c r="S131" s="34" t="str">
        <f>HYPERLINK("http://www.cnpol.ru/covers/20637.jpg","фото на сайте")</f>
        <v>фото на сайте</v>
      </c>
    </row>
    <row r="132" spans="1:19" ht="50.1" customHeight="1">
      <c r="A132" s="31"/>
      <c r="B132" s="32" t="s">
        <v>575</v>
      </c>
      <c r="C132" s="31" t="s">
        <v>576</v>
      </c>
      <c r="D132" s="31" t="s">
        <v>577</v>
      </c>
      <c r="E132" s="31" t="s">
        <v>578</v>
      </c>
      <c r="F132" s="31" t="s">
        <v>31</v>
      </c>
      <c r="G132" s="31">
        <v>226</v>
      </c>
      <c r="H132" s="31">
        <v>10</v>
      </c>
      <c r="I132" s="31">
        <v>20</v>
      </c>
      <c r="J132" s="31" t="s">
        <v>579</v>
      </c>
      <c r="K132" s="31" t="s">
        <v>123</v>
      </c>
      <c r="L132" s="31" t="s">
        <v>56</v>
      </c>
      <c r="M132" s="31">
        <v>320</v>
      </c>
      <c r="N132" s="31">
        <v>2017</v>
      </c>
      <c r="O132" s="31">
        <v>148</v>
      </c>
      <c r="P132" s="31"/>
      <c r="Q132" s="31"/>
      <c r="R132" s="33"/>
      <c r="S132" s="34" t="str">
        <f>HYPERLINK("http://www.cnpol.ru/covers/17353.jpg","фото на сайте")</f>
        <v>фото на сайте</v>
      </c>
    </row>
    <row r="133" spans="1:19" ht="50.1" customHeight="1">
      <c r="A133" s="31"/>
      <c r="B133" s="32" t="s">
        <v>580</v>
      </c>
      <c r="C133" s="31" t="s">
        <v>581</v>
      </c>
      <c r="D133" s="31" t="s">
        <v>577</v>
      </c>
      <c r="E133" s="31" t="s">
        <v>578</v>
      </c>
      <c r="F133" s="31" t="s">
        <v>31</v>
      </c>
      <c r="G133" s="31">
        <v>194</v>
      </c>
      <c r="H133" s="31">
        <v>10</v>
      </c>
      <c r="I133" s="31">
        <v>20</v>
      </c>
      <c r="J133" s="31" t="s">
        <v>582</v>
      </c>
      <c r="K133" s="31" t="s">
        <v>123</v>
      </c>
      <c r="L133" s="31" t="s">
        <v>56</v>
      </c>
      <c r="M133" s="31">
        <v>315</v>
      </c>
      <c r="N133" s="31">
        <v>2014</v>
      </c>
      <c r="O133" s="31">
        <v>150</v>
      </c>
      <c r="P133" s="31"/>
      <c r="Q133" s="31"/>
      <c r="R133" s="33"/>
      <c r="S133" s="34" t="str">
        <f>HYPERLINK("http://www.cnpol.ru/covers/15283.jpg","фото на сайте")</f>
        <v>фото на сайте</v>
      </c>
    </row>
    <row r="134" spans="1:19" ht="50.1" customHeight="1">
      <c r="A134" s="31"/>
      <c r="B134" s="32" t="s">
        <v>583</v>
      </c>
      <c r="C134" s="31" t="s">
        <v>584</v>
      </c>
      <c r="D134" s="31" t="s">
        <v>585</v>
      </c>
      <c r="E134" s="31" t="s">
        <v>586</v>
      </c>
      <c r="F134" s="31" t="s">
        <v>31</v>
      </c>
      <c r="G134" s="31">
        <v>88</v>
      </c>
      <c r="H134" s="31">
        <v>10</v>
      </c>
      <c r="I134" s="31">
        <v>36</v>
      </c>
      <c r="J134" s="31" t="s">
        <v>587</v>
      </c>
      <c r="K134" s="31" t="s">
        <v>55</v>
      </c>
      <c r="L134" s="31" t="s">
        <v>56</v>
      </c>
      <c r="M134" s="31">
        <v>254</v>
      </c>
      <c r="N134" s="31">
        <v>2011</v>
      </c>
      <c r="O134" s="31">
        <v>106</v>
      </c>
      <c r="P134" s="31"/>
      <c r="Q134" s="31"/>
      <c r="R134" s="33"/>
      <c r="S134" s="34" t="str">
        <f>HYPERLINK("http://www.cnpol.ru/covers/12441.jpg","фото на сайте")</f>
        <v>фото на сайте</v>
      </c>
    </row>
    <row r="135" spans="1:19" ht="50.1" customHeight="1">
      <c r="A135" s="31"/>
      <c r="B135" s="32" t="s">
        <v>588</v>
      </c>
      <c r="C135" s="31" t="s">
        <v>589</v>
      </c>
      <c r="D135" s="31" t="s">
        <v>590</v>
      </c>
      <c r="E135" s="31" t="s">
        <v>591</v>
      </c>
      <c r="F135" s="31" t="s">
        <v>31</v>
      </c>
      <c r="G135" s="31">
        <v>258</v>
      </c>
      <c r="H135" s="31">
        <v>10</v>
      </c>
      <c r="I135" s="31">
        <v>12</v>
      </c>
      <c r="J135" s="31" t="s">
        <v>592</v>
      </c>
      <c r="K135" s="31" t="s">
        <v>130</v>
      </c>
      <c r="L135" s="31" t="s">
        <v>56</v>
      </c>
      <c r="M135" s="31">
        <v>288</v>
      </c>
      <c r="N135" s="31">
        <v>2016</v>
      </c>
      <c r="O135" s="31">
        <v>174</v>
      </c>
      <c r="P135" s="31"/>
      <c r="Q135" s="31"/>
      <c r="R135" s="33"/>
      <c r="S135" s="34" t="str">
        <f>HYPERLINK("http://www.cnpol.ru/covers/17028.jpg","фото на сайте")</f>
        <v>фото на сайте</v>
      </c>
    </row>
    <row r="136" spans="1:19" ht="50.1" customHeight="1">
      <c r="A136" s="31"/>
      <c r="B136" s="32" t="s">
        <v>593</v>
      </c>
      <c r="C136" s="31" t="s">
        <v>413</v>
      </c>
      <c r="D136" s="31" t="s">
        <v>594</v>
      </c>
      <c r="E136" s="31" t="s">
        <v>595</v>
      </c>
      <c r="F136" s="31">
        <v>186</v>
      </c>
      <c r="G136" s="31">
        <v>117</v>
      </c>
      <c r="H136" s="31">
        <v>10</v>
      </c>
      <c r="I136" s="31">
        <v>20</v>
      </c>
      <c r="J136" s="31" t="s">
        <v>596</v>
      </c>
      <c r="K136" s="31" t="s">
        <v>123</v>
      </c>
      <c r="L136" s="31" t="s">
        <v>56</v>
      </c>
      <c r="M136" s="31">
        <v>191</v>
      </c>
      <c r="N136" s="31">
        <v>2022</v>
      </c>
      <c r="O136" s="31">
        <v>90</v>
      </c>
      <c r="P136" s="31"/>
      <c r="Q136" s="31"/>
      <c r="R136" s="33"/>
      <c r="S136" s="34" t="str">
        <f>HYPERLINK("http://www.cnpol.ru/covers/20223.jpg","фото на сайте")</f>
        <v>фото на сайте</v>
      </c>
    </row>
    <row r="137" spans="1:19" ht="50.1" customHeight="1">
      <c r="A137" s="31"/>
      <c r="B137" s="32" t="s">
        <v>597</v>
      </c>
      <c r="C137" s="31" t="s">
        <v>563</v>
      </c>
      <c r="D137" s="31" t="s">
        <v>564</v>
      </c>
      <c r="E137" s="31" t="s">
        <v>598</v>
      </c>
      <c r="F137" s="31" t="s">
        <v>31</v>
      </c>
      <c r="G137" s="31">
        <v>194</v>
      </c>
      <c r="H137" s="31">
        <v>10</v>
      </c>
      <c r="I137" s="31">
        <v>30</v>
      </c>
      <c r="J137" s="31" t="s">
        <v>599</v>
      </c>
      <c r="K137" s="31" t="s">
        <v>130</v>
      </c>
      <c r="L137" s="31" t="s">
        <v>56</v>
      </c>
      <c r="M137" s="31">
        <v>143</v>
      </c>
      <c r="N137" s="31">
        <v>2005</v>
      </c>
      <c r="O137" s="31">
        <v>96</v>
      </c>
      <c r="P137" s="31"/>
      <c r="Q137" s="31"/>
      <c r="R137" s="33"/>
      <c r="S137" s="34" t="str">
        <f>HYPERLINK("http://www.cnpol.ru/covers/5424.jpg","фото на сайте")</f>
        <v>фото на сайте</v>
      </c>
    </row>
    <row r="138" spans="1:19" ht="50.1" customHeight="1">
      <c r="A138" s="31"/>
      <c r="B138" s="32" t="s">
        <v>600</v>
      </c>
      <c r="C138" s="31" t="s">
        <v>563</v>
      </c>
      <c r="D138" s="31" t="s">
        <v>564</v>
      </c>
      <c r="E138" s="31" t="s">
        <v>601</v>
      </c>
      <c r="F138" s="31" t="s">
        <v>31</v>
      </c>
      <c r="G138" s="31">
        <v>194</v>
      </c>
      <c r="H138" s="31">
        <v>10</v>
      </c>
      <c r="I138" s="31">
        <v>30</v>
      </c>
      <c r="J138" s="31" t="s">
        <v>602</v>
      </c>
      <c r="K138" s="31" t="s">
        <v>130</v>
      </c>
      <c r="L138" s="31" t="s">
        <v>56</v>
      </c>
      <c r="M138" s="31">
        <v>163</v>
      </c>
      <c r="N138" s="31">
        <v>2005</v>
      </c>
      <c r="O138" s="31">
        <v>108</v>
      </c>
      <c r="P138" s="31"/>
      <c r="Q138" s="31"/>
      <c r="R138" s="33"/>
      <c r="S138" s="34" t="str">
        <f>HYPERLINK("http://www.cnpol.ru/covers/5568.jpg","фото на сайте")</f>
        <v>фото на сайте</v>
      </c>
    </row>
    <row r="139" spans="1:19" ht="50.1" customHeight="1">
      <c r="A139" s="31"/>
      <c r="B139" s="32" t="s">
        <v>603</v>
      </c>
      <c r="C139" s="31" t="s">
        <v>37</v>
      </c>
      <c r="D139" s="31" t="s">
        <v>604</v>
      </c>
      <c r="E139" s="31" t="s">
        <v>605</v>
      </c>
      <c r="F139" s="31" t="s">
        <v>31</v>
      </c>
      <c r="G139" s="35">
        <v>1344</v>
      </c>
      <c r="H139" s="31">
        <v>10</v>
      </c>
      <c r="I139" s="31">
        <v>10</v>
      </c>
      <c r="J139" s="31" t="s">
        <v>606</v>
      </c>
      <c r="K139" s="31" t="s">
        <v>41</v>
      </c>
      <c r="L139" s="31" t="s">
        <v>34</v>
      </c>
      <c r="M139" s="31">
        <v>416</v>
      </c>
      <c r="N139" s="31">
        <v>2024</v>
      </c>
      <c r="O139" s="31">
        <v>506</v>
      </c>
      <c r="P139" s="31"/>
      <c r="Q139" s="31"/>
      <c r="R139" s="33" t="s">
        <v>607</v>
      </c>
      <c r="S139" s="34" t="str">
        <f>HYPERLINK("http://www.cnpol.ru/covers/20968.jpg","фото на сайте")</f>
        <v>фото на сайте</v>
      </c>
    </row>
    <row r="140" spans="1:19" ht="50.1" customHeight="1">
      <c r="A140" s="31"/>
      <c r="B140" s="32" t="s">
        <v>608</v>
      </c>
      <c r="C140" s="31" t="s">
        <v>479</v>
      </c>
      <c r="D140" s="31" t="s">
        <v>609</v>
      </c>
      <c r="E140" s="31" t="s">
        <v>610</v>
      </c>
      <c r="F140" s="31" t="s">
        <v>31</v>
      </c>
      <c r="G140" s="31">
        <v>461</v>
      </c>
      <c r="H140" s="31">
        <v>10</v>
      </c>
      <c r="I140" s="31">
        <v>16</v>
      </c>
      <c r="J140" s="31" t="s">
        <v>611</v>
      </c>
      <c r="K140" s="31" t="s">
        <v>33</v>
      </c>
      <c r="L140" s="31" t="s">
        <v>34</v>
      </c>
      <c r="M140" s="31">
        <v>256</v>
      </c>
      <c r="N140" s="31">
        <v>2018</v>
      </c>
      <c r="O140" s="31">
        <v>234</v>
      </c>
      <c r="P140" s="31"/>
      <c r="Q140" s="31"/>
      <c r="R140" s="33"/>
      <c r="S140" s="34" t="str">
        <f>HYPERLINK("http://www.cnpol.ru/covers/18036.jpg","фото на сайте")</f>
        <v>фото на сайте</v>
      </c>
    </row>
    <row r="141" spans="1:19" ht="50.1" customHeight="1">
      <c r="A141" s="31"/>
      <c r="B141" s="32" t="s">
        <v>612</v>
      </c>
      <c r="C141" s="31" t="s">
        <v>613</v>
      </c>
      <c r="D141" s="31" t="s">
        <v>614</v>
      </c>
      <c r="E141" s="31" t="s">
        <v>615</v>
      </c>
      <c r="F141" s="31" t="s">
        <v>31</v>
      </c>
      <c r="G141" s="31">
        <v>658</v>
      </c>
      <c r="H141" s="31">
        <v>10</v>
      </c>
      <c r="I141" s="31">
        <v>10</v>
      </c>
      <c r="J141" s="31" t="s">
        <v>616</v>
      </c>
      <c r="K141" s="31" t="s">
        <v>300</v>
      </c>
      <c r="L141" s="31" t="s">
        <v>34</v>
      </c>
      <c r="M141" s="31">
        <v>416</v>
      </c>
      <c r="N141" s="31">
        <v>2019</v>
      </c>
      <c r="O141" s="31">
        <v>314</v>
      </c>
      <c r="P141" s="31"/>
      <c r="Q141" s="31"/>
      <c r="R141" s="33"/>
      <c r="S141" s="34" t="str">
        <f>HYPERLINK("http://www.cnpol.ru/covers/18575.jpg","фото на сайте")</f>
        <v>фото на сайте</v>
      </c>
    </row>
    <row r="142" spans="1:19" ht="50.1" customHeight="1">
      <c r="A142" s="31"/>
      <c r="B142" s="32" t="s">
        <v>617</v>
      </c>
      <c r="C142" s="31" t="s">
        <v>408</v>
      </c>
      <c r="D142" s="31" t="s">
        <v>618</v>
      </c>
      <c r="E142" s="31" t="s">
        <v>619</v>
      </c>
      <c r="F142" s="31" t="s">
        <v>31</v>
      </c>
      <c r="G142" s="31">
        <v>640</v>
      </c>
      <c r="H142" s="31">
        <v>10</v>
      </c>
      <c r="I142" s="31">
        <v>14</v>
      </c>
      <c r="J142" s="31" t="s">
        <v>620</v>
      </c>
      <c r="K142" s="31" t="s">
        <v>33</v>
      </c>
      <c r="L142" s="31" t="s">
        <v>34</v>
      </c>
      <c r="M142" s="31">
        <v>192</v>
      </c>
      <c r="N142" s="31">
        <v>2020</v>
      </c>
      <c r="O142" s="31">
        <v>294</v>
      </c>
      <c r="P142" s="31"/>
      <c r="Q142" s="31"/>
      <c r="R142" s="33"/>
      <c r="S142" s="34" t="str">
        <f>HYPERLINK("http://www.cnpol.ru/covers/19440.jpg","фото на сайте")</f>
        <v>фото на сайте</v>
      </c>
    </row>
    <row r="143" spans="1:19" ht="50.1" customHeight="1">
      <c r="A143" s="31" t="s">
        <v>43</v>
      </c>
      <c r="B143" s="32" t="s">
        <v>621</v>
      </c>
      <c r="C143" s="31" t="s">
        <v>479</v>
      </c>
      <c r="D143" s="31" t="s">
        <v>480</v>
      </c>
      <c r="E143" s="31" t="s">
        <v>622</v>
      </c>
      <c r="F143" s="31" t="s">
        <v>31</v>
      </c>
      <c r="G143" s="31">
        <v>851</v>
      </c>
      <c r="H143" s="31">
        <v>10</v>
      </c>
      <c r="I143" s="31">
        <v>14</v>
      </c>
      <c r="J143" s="31" t="s">
        <v>623</v>
      </c>
      <c r="K143" s="31" t="s">
        <v>33</v>
      </c>
      <c r="L143" s="31" t="s">
        <v>34</v>
      </c>
      <c r="M143" s="31">
        <v>287</v>
      </c>
      <c r="N143" s="31">
        <v>2024</v>
      </c>
      <c r="O143" s="31">
        <v>339</v>
      </c>
      <c r="P143" s="31"/>
      <c r="Q143" s="31"/>
      <c r="R143" s="33" t="s">
        <v>624</v>
      </c>
      <c r="S143" s="34" t="str">
        <f>HYPERLINK("http://www.cnpol.ru/covers/21023.jpg","фото на сайте")</f>
        <v>фото на сайте</v>
      </c>
    </row>
    <row r="144" spans="1:19" ht="50.1" customHeight="1">
      <c r="A144" s="31"/>
      <c r="B144" s="32" t="s">
        <v>625</v>
      </c>
      <c r="C144" s="31" t="s">
        <v>37</v>
      </c>
      <c r="D144" s="31" t="s">
        <v>626</v>
      </c>
      <c r="E144" s="31" t="s">
        <v>627</v>
      </c>
      <c r="F144" s="31" t="s">
        <v>31</v>
      </c>
      <c r="G144" s="31">
        <v>559</v>
      </c>
      <c r="H144" s="31">
        <v>10</v>
      </c>
      <c r="I144" s="31">
        <v>10</v>
      </c>
      <c r="J144" s="31" t="s">
        <v>628</v>
      </c>
      <c r="K144" s="31" t="s">
        <v>33</v>
      </c>
      <c r="L144" s="31" t="s">
        <v>34</v>
      </c>
      <c r="M144" s="31">
        <v>512</v>
      </c>
      <c r="N144" s="31">
        <v>2015</v>
      </c>
      <c r="O144" s="31">
        <v>373</v>
      </c>
      <c r="P144" s="31"/>
      <c r="Q144" s="31"/>
      <c r="R144" s="33"/>
      <c r="S144" s="34" t="str">
        <f>HYPERLINK("http://www.cnpol.ru/covers/16124.jpg","фото на сайте")</f>
        <v>фото на сайте</v>
      </c>
    </row>
    <row r="145" spans="1:19" ht="50.1" customHeight="1">
      <c r="A145" s="31"/>
      <c r="B145" s="32" t="s">
        <v>629</v>
      </c>
      <c r="C145" s="31" t="s">
        <v>630</v>
      </c>
      <c r="D145" s="31" t="s">
        <v>631</v>
      </c>
      <c r="E145" s="31" t="s">
        <v>632</v>
      </c>
      <c r="F145" s="31" t="s">
        <v>31</v>
      </c>
      <c r="G145" s="31">
        <v>96</v>
      </c>
      <c r="H145" s="31">
        <v>10</v>
      </c>
      <c r="I145" s="31">
        <v>48</v>
      </c>
      <c r="J145" s="31" t="s">
        <v>633</v>
      </c>
      <c r="K145" s="31" t="s">
        <v>55</v>
      </c>
      <c r="L145" s="31" t="s">
        <v>56</v>
      </c>
      <c r="M145" s="31">
        <v>159</v>
      </c>
      <c r="N145" s="31">
        <v>2005</v>
      </c>
      <c r="O145" s="31">
        <v>72</v>
      </c>
      <c r="P145" s="31"/>
      <c r="Q145" s="31"/>
      <c r="R145" s="33"/>
      <c r="S145" s="34" t="str">
        <f>HYPERLINK("http://www.cnpol.ru/covers/5729.jpg","фото на сайте")</f>
        <v>фото на сайте</v>
      </c>
    </row>
    <row r="146" spans="1:19" ht="50.1" customHeight="1">
      <c r="A146" s="31" t="s">
        <v>35</v>
      </c>
      <c r="B146" s="32" t="s">
        <v>634</v>
      </c>
      <c r="C146" s="31" t="s">
        <v>503</v>
      </c>
      <c r="D146" s="31" t="s">
        <v>504</v>
      </c>
      <c r="E146" s="31" t="s">
        <v>635</v>
      </c>
      <c r="F146" s="31" t="s">
        <v>31</v>
      </c>
      <c r="G146" s="35">
        <v>1455</v>
      </c>
      <c r="H146" s="31">
        <v>10</v>
      </c>
      <c r="I146" s="31">
        <v>4</v>
      </c>
      <c r="J146" s="31" t="s">
        <v>636</v>
      </c>
      <c r="K146" s="31" t="s">
        <v>41</v>
      </c>
      <c r="L146" s="31" t="s">
        <v>34</v>
      </c>
      <c r="M146" s="31">
        <v>624</v>
      </c>
      <c r="N146" s="31">
        <v>2025</v>
      </c>
      <c r="O146" s="31">
        <v>720</v>
      </c>
      <c r="P146" s="31"/>
      <c r="Q146" s="31"/>
      <c r="R146" s="33" t="s">
        <v>637</v>
      </c>
      <c r="S146" s="34" t="str">
        <f>HYPERLINK("http://www.cnpol.ru/covers/21517.jpg","фото на сайте")</f>
        <v>фото на сайте</v>
      </c>
    </row>
    <row r="147" spans="1:19" ht="50.1" customHeight="1">
      <c r="A147" s="31"/>
      <c r="B147" s="32" t="s">
        <v>638</v>
      </c>
      <c r="C147" s="31" t="s">
        <v>479</v>
      </c>
      <c r="D147" s="31" t="s">
        <v>639</v>
      </c>
      <c r="E147" s="31" t="s">
        <v>640</v>
      </c>
      <c r="F147" s="31" t="s">
        <v>31</v>
      </c>
      <c r="G147" s="31">
        <v>977</v>
      </c>
      <c r="H147" s="31">
        <v>10</v>
      </c>
      <c r="I147" s="31">
        <v>10</v>
      </c>
      <c r="J147" s="31" t="s">
        <v>641</v>
      </c>
      <c r="K147" s="31" t="s">
        <v>33</v>
      </c>
      <c r="L147" s="31" t="s">
        <v>34</v>
      </c>
      <c r="M147" s="31">
        <v>544</v>
      </c>
      <c r="N147" s="31">
        <v>2016</v>
      </c>
      <c r="O147" s="31">
        <v>560</v>
      </c>
      <c r="P147" s="31"/>
      <c r="Q147" s="31"/>
      <c r="R147" s="33"/>
      <c r="S147" s="34" t="str">
        <f>HYPERLINK("http://www.cnpol.ru/covers/16858.jpg","фото на сайте")</f>
        <v>фото на сайте</v>
      </c>
    </row>
    <row r="148" spans="1:19" ht="50.1" customHeight="1">
      <c r="A148" s="31" t="s">
        <v>35</v>
      </c>
      <c r="B148" s="32" t="s">
        <v>642</v>
      </c>
      <c r="C148" s="31" t="s">
        <v>643</v>
      </c>
      <c r="D148" s="31" t="s">
        <v>644</v>
      </c>
      <c r="E148" s="31" t="s">
        <v>645</v>
      </c>
      <c r="F148" s="31" t="s">
        <v>31</v>
      </c>
      <c r="G148" s="31">
        <v>938</v>
      </c>
      <c r="H148" s="31">
        <v>10</v>
      </c>
      <c r="I148" s="31">
        <v>12</v>
      </c>
      <c r="J148" s="31" t="s">
        <v>646</v>
      </c>
      <c r="K148" s="31" t="s">
        <v>33</v>
      </c>
      <c r="L148" s="31" t="s">
        <v>34</v>
      </c>
      <c r="M148" s="31">
        <v>287</v>
      </c>
      <c r="N148" s="31">
        <v>2025</v>
      </c>
      <c r="O148" s="31">
        <v>467</v>
      </c>
      <c r="P148" s="31"/>
      <c r="Q148" s="31"/>
      <c r="R148" s="33" t="s">
        <v>647</v>
      </c>
      <c r="S148" s="34" t="str">
        <f>HYPERLINK("http://www.cnpol.ru/covers/21552.jpg","фото на сайте")</f>
        <v>фото на сайте</v>
      </c>
    </row>
    <row r="149" spans="1:19" ht="50.1" customHeight="1">
      <c r="A149" s="31"/>
      <c r="B149" s="32" t="s">
        <v>648</v>
      </c>
      <c r="C149" s="31" t="s">
        <v>390</v>
      </c>
      <c r="D149" s="31" t="s">
        <v>649</v>
      </c>
      <c r="E149" s="31" t="s">
        <v>650</v>
      </c>
      <c r="F149" s="31">
        <v>868</v>
      </c>
      <c r="G149" s="31">
        <v>86</v>
      </c>
      <c r="H149" s="31">
        <v>10</v>
      </c>
      <c r="I149" s="31">
        <v>30</v>
      </c>
      <c r="J149" s="31" t="s">
        <v>651</v>
      </c>
      <c r="K149" s="31" t="s">
        <v>123</v>
      </c>
      <c r="L149" s="31" t="s">
        <v>56</v>
      </c>
      <c r="M149" s="31">
        <v>160</v>
      </c>
      <c r="N149" s="31">
        <v>2019</v>
      </c>
      <c r="O149" s="31">
        <v>76</v>
      </c>
      <c r="P149" s="31"/>
      <c r="Q149" s="31"/>
      <c r="R149" s="33"/>
      <c r="S149" s="34" t="str">
        <f>HYPERLINK("http://www.cnpol.ru/covers/18518.jpg","фото на сайте")</f>
        <v>фото на сайте</v>
      </c>
    </row>
    <row r="150" spans="1:19" ht="50.1" customHeight="1">
      <c r="A150" s="31"/>
      <c r="B150" s="32" t="s">
        <v>652</v>
      </c>
      <c r="C150" s="31" t="s">
        <v>546</v>
      </c>
      <c r="D150" s="31" t="s">
        <v>653</v>
      </c>
      <c r="E150" s="31" t="s">
        <v>654</v>
      </c>
      <c r="F150" s="31">
        <v>422</v>
      </c>
      <c r="G150" s="31">
        <v>93</v>
      </c>
      <c r="H150" s="31">
        <v>10</v>
      </c>
      <c r="I150" s="31">
        <v>30</v>
      </c>
      <c r="J150" s="31" t="s">
        <v>655</v>
      </c>
      <c r="K150" s="31" t="s">
        <v>123</v>
      </c>
      <c r="L150" s="31" t="s">
        <v>56</v>
      </c>
      <c r="M150" s="31">
        <v>159</v>
      </c>
      <c r="N150" s="31">
        <v>2023</v>
      </c>
      <c r="O150" s="31">
        <v>76</v>
      </c>
      <c r="P150" s="31"/>
      <c r="Q150" s="31"/>
      <c r="R150" s="33" t="s">
        <v>656</v>
      </c>
      <c r="S150" s="34" t="str">
        <f>HYPERLINK("http://www.cnpol.ru/covers/20541.jpg","фото на сайте")</f>
        <v>фото на сайте</v>
      </c>
    </row>
    <row r="151" spans="1:19" ht="50.1" customHeight="1">
      <c r="A151" s="31"/>
      <c r="B151" s="32" t="s">
        <v>657</v>
      </c>
      <c r="C151" s="31" t="s">
        <v>658</v>
      </c>
      <c r="D151" s="31" t="s">
        <v>659</v>
      </c>
      <c r="E151" s="31" t="s">
        <v>660</v>
      </c>
      <c r="F151" s="31" t="s">
        <v>31</v>
      </c>
      <c r="G151" s="31">
        <v>640</v>
      </c>
      <c r="H151" s="31">
        <v>10</v>
      </c>
      <c r="I151" s="31">
        <v>16</v>
      </c>
      <c r="J151" s="31" t="s">
        <v>661</v>
      </c>
      <c r="K151" s="31" t="s">
        <v>33</v>
      </c>
      <c r="L151" s="31" t="s">
        <v>34</v>
      </c>
      <c r="M151" s="31">
        <v>286</v>
      </c>
      <c r="N151" s="31">
        <v>2015</v>
      </c>
      <c r="O151" s="31">
        <v>308</v>
      </c>
      <c r="P151" s="31"/>
      <c r="Q151" s="31"/>
      <c r="R151" s="33"/>
      <c r="S151" s="34" t="str">
        <f>HYPERLINK("http://www.cnpol.ru/covers/16090.jpg","фото на сайте")</f>
        <v>фото на сайте</v>
      </c>
    </row>
    <row r="152" spans="1:19" ht="50.1" customHeight="1">
      <c r="A152" s="31"/>
      <c r="B152" s="32" t="s">
        <v>662</v>
      </c>
      <c r="C152" s="31" t="s">
        <v>663</v>
      </c>
      <c r="D152" s="31" t="s">
        <v>664</v>
      </c>
      <c r="E152" s="31" t="s">
        <v>665</v>
      </c>
      <c r="F152" s="31" t="s">
        <v>31</v>
      </c>
      <c r="G152" s="35">
        <v>1522</v>
      </c>
      <c r="H152" s="31">
        <v>10</v>
      </c>
      <c r="I152" s="31">
        <v>6</v>
      </c>
      <c r="J152" s="31" t="s">
        <v>666</v>
      </c>
      <c r="K152" s="31" t="s">
        <v>41</v>
      </c>
      <c r="L152" s="31" t="s">
        <v>34</v>
      </c>
      <c r="M152" s="31">
        <v>665</v>
      </c>
      <c r="N152" s="31">
        <v>2022</v>
      </c>
      <c r="O152" s="31">
        <v>578</v>
      </c>
      <c r="P152" s="31"/>
      <c r="Q152" s="31"/>
      <c r="R152" s="33"/>
      <c r="S152" s="34" t="str">
        <f>HYPERLINK("http://www.cnpol.ru/covers/20105.jpg","фото на сайте")</f>
        <v>фото на сайте</v>
      </c>
    </row>
    <row r="153" spans="1:19" ht="50.1" customHeight="1">
      <c r="A153" s="31" t="s">
        <v>35</v>
      </c>
      <c r="B153" s="32" t="s">
        <v>667</v>
      </c>
      <c r="C153" s="31" t="s">
        <v>668</v>
      </c>
      <c r="D153" s="31" t="s">
        <v>669</v>
      </c>
      <c r="E153" s="31" t="s">
        <v>670</v>
      </c>
      <c r="F153" s="31" t="s">
        <v>31</v>
      </c>
      <c r="G153" s="35">
        <v>1088</v>
      </c>
      <c r="H153" s="31">
        <v>10</v>
      </c>
      <c r="I153" s="31">
        <v>10</v>
      </c>
      <c r="J153" s="31" t="s">
        <v>671</v>
      </c>
      <c r="K153" s="31" t="s">
        <v>41</v>
      </c>
      <c r="L153" s="31" t="s">
        <v>34</v>
      </c>
      <c r="M153" s="31">
        <v>559</v>
      </c>
      <c r="N153" s="31">
        <v>2025</v>
      </c>
      <c r="O153" s="31">
        <v>618</v>
      </c>
      <c r="P153" s="31"/>
      <c r="Q153" s="31"/>
      <c r="R153" s="33" t="s">
        <v>672</v>
      </c>
      <c r="S153" s="34" t="str">
        <f>HYPERLINK("http://www.cnpol.ru/covers/21678.jpg","фото на сайте")</f>
        <v>фото на сайте</v>
      </c>
    </row>
    <row r="154" spans="1:19" ht="50.1" customHeight="1">
      <c r="A154" s="31"/>
      <c r="B154" s="32" t="s">
        <v>673</v>
      </c>
      <c r="C154" s="31" t="s">
        <v>479</v>
      </c>
      <c r="D154" s="31" t="s">
        <v>674</v>
      </c>
      <c r="E154" s="31" t="s">
        <v>675</v>
      </c>
      <c r="F154" s="31" t="s">
        <v>31</v>
      </c>
      <c r="G154" s="31">
        <v>486</v>
      </c>
      <c r="H154" s="31">
        <v>10</v>
      </c>
      <c r="I154" s="31">
        <v>16</v>
      </c>
      <c r="J154" s="31" t="s">
        <v>676</v>
      </c>
      <c r="K154" s="31" t="s">
        <v>194</v>
      </c>
      <c r="L154" s="31" t="s">
        <v>34</v>
      </c>
      <c r="M154" s="31">
        <v>224</v>
      </c>
      <c r="N154" s="31">
        <v>2017</v>
      </c>
      <c r="O154" s="31">
        <v>220</v>
      </c>
      <c r="P154" s="31"/>
      <c r="Q154" s="31"/>
      <c r="R154" s="33"/>
      <c r="S154" s="34" t="str">
        <f>HYPERLINK("http://www.cnpol.ru/covers/17427.jpg","фото на сайте")</f>
        <v>фото на сайте</v>
      </c>
    </row>
    <row r="155" spans="1:19" ht="50.1" customHeight="1">
      <c r="A155" s="31"/>
      <c r="B155" s="32" t="s">
        <v>677</v>
      </c>
      <c r="C155" s="31" t="s">
        <v>678</v>
      </c>
      <c r="D155" s="31" t="s">
        <v>679</v>
      </c>
      <c r="E155" s="31" t="s">
        <v>680</v>
      </c>
      <c r="F155" s="31" t="s">
        <v>31</v>
      </c>
      <c r="G155" s="31">
        <v>219</v>
      </c>
      <c r="H155" s="31">
        <v>10</v>
      </c>
      <c r="I155" s="31">
        <v>12</v>
      </c>
      <c r="J155" s="31" t="s">
        <v>681</v>
      </c>
      <c r="K155" s="31" t="s">
        <v>33</v>
      </c>
      <c r="L155" s="31" t="s">
        <v>34</v>
      </c>
      <c r="M155" s="31">
        <v>363</v>
      </c>
      <c r="N155" s="31">
        <v>2001</v>
      </c>
      <c r="O155" s="31">
        <v>472</v>
      </c>
      <c r="P155" s="31"/>
      <c r="Q155" s="31"/>
      <c r="R155" s="33"/>
      <c r="S155" s="34" t="str">
        <f>HYPERLINK("http://www.cnpol.ru/covers/2551.jpg","фото на сайте")</f>
        <v>фото на сайте</v>
      </c>
    </row>
    <row r="156" spans="1:19" ht="50.1" customHeight="1">
      <c r="A156" s="31"/>
      <c r="B156" s="32" t="s">
        <v>682</v>
      </c>
      <c r="C156" s="31" t="s">
        <v>683</v>
      </c>
      <c r="D156" s="31" t="s">
        <v>684</v>
      </c>
      <c r="E156" s="31" t="s">
        <v>685</v>
      </c>
      <c r="F156" s="31" t="s">
        <v>31</v>
      </c>
      <c r="G156" s="31">
        <v>325</v>
      </c>
      <c r="H156" s="31">
        <v>10</v>
      </c>
      <c r="I156" s="31">
        <v>10</v>
      </c>
      <c r="J156" s="31" t="s">
        <v>686</v>
      </c>
      <c r="K156" s="31" t="s">
        <v>158</v>
      </c>
      <c r="L156" s="31" t="s">
        <v>34</v>
      </c>
      <c r="M156" s="31">
        <v>460</v>
      </c>
      <c r="N156" s="31">
        <v>2005</v>
      </c>
      <c r="O156" s="31">
        <v>360</v>
      </c>
      <c r="P156" s="31"/>
      <c r="Q156" s="31"/>
      <c r="R156" s="33"/>
      <c r="S156" s="34" t="str">
        <f>HYPERLINK("http://www.cnpol.ru/covers/5597.jpg","фото на сайте")</f>
        <v>фото на сайте</v>
      </c>
    </row>
    <row r="157" spans="1:19" ht="50.1" customHeight="1">
      <c r="A157" s="31" t="s">
        <v>43</v>
      </c>
      <c r="B157" s="32" t="s">
        <v>687</v>
      </c>
      <c r="C157" s="31" t="s">
        <v>688</v>
      </c>
      <c r="D157" s="31" t="s">
        <v>689</v>
      </c>
      <c r="E157" s="31" t="s">
        <v>690</v>
      </c>
      <c r="F157" s="31" t="s">
        <v>31</v>
      </c>
      <c r="G157" s="31">
        <v>851</v>
      </c>
      <c r="H157" s="31">
        <v>10</v>
      </c>
      <c r="I157" s="31">
        <v>10</v>
      </c>
      <c r="J157" s="31" t="s">
        <v>691</v>
      </c>
      <c r="K157" s="31" t="s">
        <v>33</v>
      </c>
      <c r="L157" s="31" t="s">
        <v>34</v>
      </c>
      <c r="M157" s="31">
        <v>287</v>
      </c>
      <c r="N157" s="31">
        <v>2026</v>
      </c>
      <c r="O157" s="31" t="s">
        <v>220</v>
      </c>
      <c r="P157" s="31"/>
      <c r="Q157" s="31"/>
      <c r="R157" s="33" t="s">
        <v>692</v>
      </c>
      <c r="S157" s="34" t="str">
        <f>HYPERLINK("http://www.cnpol.ru/covers/21903.jpg","фото на сайте")</f>
        <v>фото на сайте</v>
      </c>
    </row>
    <row r="158" spans="1:19" ht="50.1" customHeight="1">
      <c r="A158" s="31" t="s">
        <v>35</v>
      </c>
      <c r="B158" s="32" t="s">
        <v>693</v>
      </c>
      <c r="C158" s="31" t="s">
        <v>37</v>
      </c>
      <c r="D158" s="31" t="s">
        <v>694</v>
      </c>
      <c r="E158" s="31" t="s">
        <v>695</v>
      </c>
      <c r="F158" s="31" t="s">
        <v>31</v>
      </c>
      <c r="G158" s="31">
        <v>611</v>
      </c>
      <c r="H158" s="31">
        <v>10</v>
      </c>
      <c r="I158" s="31">
        <v>18</v>
      </c>
      <c r="J158" s="31" t="s">
        <v>696</v>
      </c>
      <c r="K158" s="31" t="s">
        <v>33</v>
      </c>
      <c r="L158" s="31" t="s">
        <v>34</v>
      </c>
      <c r="M158" s="31">
        <v>190</v>
      </c>
      <c r="N158" s="31">
        <v>2024</v>
      </c>
      <c r="O158" s="31">
        <v>133</v>
      </c>
      <c r="P158" s="31"/>
      <c r="Q158" s="31"/>
      <c r="R158" s="33" t="s">
        <v>697</v>
      </c>
      <c r="S158" s="34" t="str">
        <f>HYPERLINK("http://www.cnpol.ru/covers/21273.jpg","фото на сайте")</f>
        <v>фото на сайте</v>
      </c>
    </row>
    <row r="159" spans="1:19" ht="50.1" customHeight="1">
      <c r="A159" s="31"/>
      <c r="B159" s="32" t="s">
        <v>698</v>
      </c>
      <c r="C159" s="31" t="s">
        <v>37</v>
      </c>
      <c r="D159" s="31" t="s">
        <v>699</v>
      </c>
      <c r="E159" s="31" t="s">
        <v>700</v>
      </c>
      <c r="F159" s="31" t="s">
        <v>31</v>
      </c>
      <c r="G159" s="31">
        <v>961</v>
      </c>
      <c r="H159" s="31">
        <v>10</v>
      </c>
      <c r="I159" s="31">
        <v>12</v>
      </c>
      <c r="J159" s="31" t="s">
        <v>701</v>
      </c>
      <c r="K159" s="31" t="s">
        <v>33</v>
      </c>
      <c r="L159" s="31" t="s">
        <v>34</v>
      </c>
      <c r="M159" s="31">
        <v>352</v>
      </c>
      <c r="N159" s="31">
        <v>2024</v>
      </c>
      <c r="O159" s="31">
        <v>394</v>
      </c>
      <c r="P159" s="31"/>
      <c r="Q159" s="31"/>
      <c r="R159" s="33" t="s">
        <v>702</v>
      </c>
      <c r="S159" s="34" t="str">
        <f>HYPERLINK("http://www.cnpol.ru/covers/20957.jpg","фото на сайте")</f>
        <v>фото на сайте</v>
      </c>
    </row>
    <row r="160" spans="1:19" ht="50.1" customHeight="1">
      <c r="A160" s="31" t="s">
        <v>35</v>
      </c>
      <c r="B160" s="32" t="s">
        <v>703</v>
      </c>
      <c r="C160" s="31" t="s">
        <v>37</v>
      </c>
      <c r="D160" s="31" t="s">
        <v>704</v>
      </c>
      <c r="E160" s="31" t="s">
        <v>705</v>
      </c>
      <c r="F160" s="31" t="s">
        <v>31</v>
      </c>
      <c r="G160" s="31">
        <v>753</v>
      </c>
      <c r="H160" s="31">
        <v>10</v>
      </c>
      <c r="I160" s="31">
        <v>6</v>
      </c>
      <c r="J160" s="31" t="s">
        <v>706</v>
      </c>
      <c r="K160" s="31" t="s">
        <v>33</v>
      </c>
      <c r="L160" s="31" t="s">
        <v>34</v>
      </c>
      <c r="M160" s="31">
        <v>223</v>
      </c>
      <c r="N160" s="31">
        <v>2025</v>
      </c>
      <c r="O160" s="31" t="s">
        <v>220</v>
      </c>
      <c r="P160" s="31"/>
      <c r="Q160" s="31"/>
      <c r="R160" s="33" t="s">
        <v>707</v>
      </c>
      <c r="S160" s="34" t="str">
        <f>HYPERLINK("http://www.cnpol.ru/covers/21811.jpg","фото на сайте")</f>
        <v>фото на сайте</v>
      </c>
    </row>
    <row r="161" spans="1:19" ht="50.1" customHeight="1">
      <c r="A161" s="31"/>
      <c r="B161" s="32" t="s">
        <v>708</v>
      </c>
      <c r="C161" s="31" t="s">
        <v>709</v>
      </c>
      <c r="D161" s="31" t="s">
        <v>710</v>
      </c>
      <c r="E161" s="31" t="s">
        <v>711</v>
      </c>
      <c r="F161" s="31" t="s">
        <v>31</v>
      </c>
      <c r="G161" s="31">
        <v>325</v>
      </c>
      <c r="H161" s="31">
        <v>10</v>
      </c>
      <c r="I161" s="31">
        <v>14</v>
      </c>
      <c r="J161" s="31" t="s">
        <v>712</v>
      </c>
      <c r="K161" s="31" t="s">
        <v>260</v>
      </c>
      <c r="L161" s="31" t="s">
        <v>34</v>
      </c>
      <c r="M161" s="31">
        <v>272</v>
      </c>
      <c r="N161" s="31">
        <v>2004</v>
      </c>
      <c r="O161" s="31">
        <v>264</v>
      </c>
      <c r="P161" s="31"/>
      <c r="Q161" s="31"/>
      <c r="R161" s="33"/>
      <c r="S161" s="34" t="str">
        <f>HYPERLINK("http://www.cnpol.ru/covers/4649.jpg","фото на сайте")</f>
        <v>фото на сайте</v>
      </c>
    </row>
    <row r="162" spans="1:19" ht="50.1" customHeight="1">
      <c r="A162" s="31"/>
      <c r="B162" s="32" t="s">
        <v>713</v>
      </c>
      <c r="C162" s="31" t="s">
        <v>143</v>
      </c>
      <c r="D162" s="31" t="s">
        <v>710</v>
      </c>
      <c r="E162" s="31" t="s">
        <v>714</v>
      </c>
      <c r="F162" s="31" t="s">
        <v>31</v>
      </c>
      <c r="G162" s="31">
        <v>851</v>
      </c>
      <c r="H162" s="31">
        <v>10</v>
      </c>
      <c r="I162" s="31">
        <v>14</v>
      </c>
      <c r="J162" s="31" t="s">
        <v>715</v>
      </c>
      <c r="K162" s="31" t="s">
        <v>33</v>
      </c>
      <c r="L162" s="31" t="s">
        <v>34</v>
      </c>
      <c r="M162" s="31">
        <v>271</v>
      </c>
      <c r="N162" s="31">
        <v>2022</v>
      </c>
      <c r="O162" s="31">
        <v>330</v>
      </c>
      <c r="P162" s="31"/>
      <c r="Q162" s="31"/>
      <c r="R162" s="33" t="s">
        <v>716</v>
      </c>
      <c r="S162" s="34" t="str">
        <f>HYPERLINK("http://www.cnpol.ru/covers/20363.jpg","фото на сайте")</f>
        <v>фото на сайте</v>
      </c>
    </row>
    <row r="163" spans="1:19" ht="50.1" customHeight="1">
      <c r="A163" s="31"/>
      <c r="B163" s="32" t="s">
        <v>717</v>
      </c>
      <c r="C163" s="31" t="s">
        <v>408</v>
      </c>
      <c r="D163" s="31" t="s">
        <v>718</v>
      </c>
      <c r="E163" s="31" t="s">
        <v>719</v>
      </c>
      <c r="F163" s="31" t="s">
        <v>31</v>
      </c>
      <c r="G163" s="31">
        <v>640</v>
      </c>
      <c r="H163" s="31">
        <v>10</v>
      </c>
      <c r="I163" s="31">
        <v>14</v>
      </c>
      <c r="J163" s="31" t="s">
        <v>720</v>
      </c>
      <c r="K163" s="31" t="s">
        <v>33</v>
      </c>
      <c r="L163" s="31" t="s">
        <v>34</v>
      </c>
      <c r="M163" s="31">
        <v>272</v>
      </c>
      <c r="N163" s="31">
        <v>2020</v>
      </c>
      <c r="O163" s="31">
        <v>312</v>
      </c>
      <c r="P163" s="31"/>
      <c r="Q163" s="31"/>
      <c r="R163" s="33"/>
      <c r="S163" s="34" t="str">
        <f>HYPERLINK("http://www.cnpol.ru/covers/19399.jpg","фото на сайте")</f>
        <v>фото на сайте</v>
      </c>
    </row>
    <row r="164" spans="1:19" ht="50.1" customHeight="1">
      <c r="A164" s="31"/>
      <c r="B164" s="32" t="s">
        <v>721</v>
      </c>
      <c r="C164" s="31" t="s">
        <v>400</v>
      </c>
      <c r="D164" s="31" t="s">
        <v>722</v>
      </c>
      <c r="E164" s="31" t="s">
        <v>723</v>
      </c>
      <c r="F164" s="31" t="s">
        <v>31</v>
      </c>
      <c r="G164" s="31">
        <v>503</v>
      </c>
      <c r="H164" s="31">
        <v>10</v>
      </c>
      <c r="I164" s="31">
        <v>14</v>
      </c>
      <c r="J164" s="31" t="s">
        <v>724</v>
      </c>
      <c r="K164" s="31" t="s">
        <v>33</v>
      </c>
      <c r="L164" s="31" t="s">
        <v>34</v>
      </c>
      <c r="M164" s="31">
        <v>287</v>
      </c>
      <c r="N164" s="31">
        <v>2021</v>
      </c>
      <c r="O164" s="31">
        <v>250</v>
      </c>
      <c r="P164" s="31"/>
      <c r="Q164" s="31"/>
      <c r="R164" s="33"/>
      <c r="S164" s="34" t="str">
        <f>HYPERLINK("http://www.cnpol.ru/covers/19544.jpg","фото на сайте")</f>
        <v>фото на сайте</v>
      </c>
    </row>
    <row r="165" spans="1:19" ht="50.1" customHeight="1">
      <c r="A165" s="31"/>
      <c r="B165" s="32" t="s">
        <v>725</v>
      </c>
      <c r="C165" s="31" t="s">
        <v>418</v>
      </c>
      <c r="D165" s="31" t="s">
        <v>726</v>
      </c>
      <c r="E165" s="31" t="s">
        <v>727</v>
      </c>
      <c r="F165" s="31">
        <v>102</v>
      </c>
      <c r="G165" s="31">
        <v>153</v>
      </c>
      <c r="H165" s="31">
        <v>10</v>
      </c>
      <c r="I165" s="31">
        <v>24</v>
      </c>
      <c r="J165" s="31" t="s">
        <v>728</v>
      </c>
      <c r="K165" s="31" t="s">
        <v>123</v>
      </c>
      <c r="L165" s="31" t="s">
        <v>56</v>
      </c>
      <c r="M165" s="31">
        <v>256</v>
      </c>
      <c r="N165" s="31">
        <v>2019</v>
      </c>
      <c r="O165" s="31">
        <v>116</v>
      </c>
      <c r="P165" s="31"/>
      <c r="Q165" s="31"/>
      <c r="R165" s="33"/>
      <c r="S165" s="34" t="str">
        <f>HYPERLINK("http://www.cnpol.ru/covers/18849.jpg","фото на сайте")</f>
        <v>фото на сайте</v>
      </c>
    </row>
    <row r="166" spans="1:19" ht="50.1" customHeight="1">
      <c r="A166" s="31"/>
      <c r="B166" s="32" t="s">
        <v>729</v>
      </c>
      <c r="C166" s="31" t="s">
        <v>730</v>
      </c>
      <c r="D166" s="31" t="s">
        <v>731</v>
      </c>
      <c r="E166" s="31" t="s">
        <v>732</v>
      </c>
      <c r="F166" s="31" t="s">
        <v>31</v>
      </c>
      <c r="G166" s="31">
        <v>441</v>
      </c>
      <c r="H166" s="31">
        <v>10</v>
      </c>
      <c r="I166" s="31">
        <v>18</v>
      </c>
      <c r="J166" s="31" t="s">
        <v>733</v>
      </c>
      <c r="K166" s="31" t="s">
        <v>33</v>
      </c>
      <c r="L166" s="31" t="s">
        <v>34</v>
      </c>
      <c r="M166" s="31">
        <v>224</v>
      </c>
      <c r="N166" s="31">
        <v>2017</v>
      </c>
      <c r="O166" s="31">
        <v>214</v>
      </c>
      <c r="P166" s="31"/>
      <c r="Q166" s="31"/>
      <c r="R166" s="33"/>
      <c r="S166" s="34" t="str">
        <f>HYPERLINK("http://www.cnpol.ru/covers/17606.jpg","фото на сайте")</f>
        <v>фото на сайте</v>
      </c>
    </row>
    <row r="167" spans="1:19" ht="50.1" customHeight="1">
      <c r="A167" s="31"/>
      <c r="B167" s="32" t="s">
        <v>734</v>
      </c>
      <c r="C167" s="31" t="s">
        <v>735</v>
      </c>
      <c r="D167" s="31" t="s">
        <v>736</v>
      </c>
      <c r="E167" s="31" t="s">
        <v>737</v>
      </c>
      <c r="F167" s="31" t="s">
        <v>31</v>
      </c>
      <c r="G167" s="31">
        <v>307</v>
      </c>
      <c r="H167" s="31">
        <v>10</v>
      </c>
      <c r="I167" s="31">
        <v>14</v>
      </c>
      <c r="J167" s="31" t="s">
        <v>738</v>
      </c>
      <c r="K167" s="31" t="s">
        <v>739</v>
      </c>
      <c r="L167" s="31" t="s">
        <v>34</v>
      </c>
      <c r="M167" s="31">
        <v>285</v>
      </c>
      <c r="N167" s="31">
        <v>2003</v>
      </c>
      <c r="O167" s="31">
        <v>202</v>
      </c>
      <c r="P167" s="31"/>
      <c r="Q167" s="31"/>
      <c r="R167" s="33"/>
      <c r="S167" s="34" t="str">
        <f>HYPERLINK("http://www.cnpol.ru/covers/4441.jpg","фото на сайте")</f>
        <v>фото на сайте</v>
      </c>
    </row>
    <row r="168" spans="1:19" ht="50.1" customHeight="1">
      <c r="A168" s="31"/>
      <c r="B168" s="32" t="s">
        <v>740</v>
      </c>
      <c r="C168" s="31" t="s">
        <v>741</v>
      </c>
      <c r="D168" s="31" t="s">
        <v>742</v>
      </c>
      <c r="E168" s="31" t="s">
        <v>743</v>
      </c>
      <c r="F168" s="31" t="s">
        <v>31</v>
      </c>
      <c r="G168" s="35">
        <v>1194</v>
      </c>
      <c r="H168" s="31">
        <v>10</v>
      </c>
      <c r="I168" s="31">
        <v>6</v>
      </c>
      <c r="J168" s="31" t="s">
        <v>744</v>
      </c>
      <c r="K168" s="31" t="s">
        <v>41</v>
      </c>
      <c r="L168" s="31" t="s">
        <v>34</v>
      </c>
      <c r="M168" s="31">
        <v>785</v>
      </c>
      <c r="N168" s="31">
        <v>2016</v>
      </c>
      <c r="O168" s="31">
        <v>760</v>
      </c>
      <c r="P168" s="31"/>
      <c r="Q168" s="31"/>
      <c r="R168" s="33"/>
      <c r="S168" s="34" t="str">
        <f>HYPERLINK("http://www.cnpol.ru/covers/16798.jpg","фото на сайте")</f>
        <v>фото на сайте</v>
      </c>
    </row>
    <row r="169" spans="1:19" ht="50.1" customHeight="1">
      <c r="A169" s="31"/>
      <c r="B169" s="32" t="s">
        <v>745</v>
      </c>
      <c r="C169" s="31" t="s">
        <v>746</v>
      </c>
      <c r="D169" s="31" t="s">
        <v>747</v>
      </c>
      <c r="E169" s="31" t="s">
        <v>748</v>
      </c>
      <c r="F169" s="31" t="s">
        <v>31</v>
      </c>
      <c r="G169" s="31">
        <v>461</v>
      </c>
      <c r="H169" s="31">
        <v>10</v>
      </c>
      <c r="I169" s="31">
        <v>22</v>
      </c>
      <c r="J169" s="31" t="s">
        <v>749</v>
      </c>
      <c r="K169" s="31" t="s">
        <v>33</v>
      </c>
      <c r="L169" s="31" t="s">
        <v>34</v>
      </c>
      <c r="M169" s="31">
        <v>191</v>
      </c>
      <c r="N169" s="31">
        <v>2022</v>
      </c>
      <c r="O169" s="31">
        <v>218</v>
      </c>
      <c r="P169" s="31"/>
      <c r="Q169" s="31"/>
      <c r="R169" s="33" t="s">
        <v>750</v>
      </c>
      <c r="S169" s="34" t="str">
        <f>HYPERLINK("http://www.cnpol.ru/covers/20428.jpg","фото на сайте")</f>
        <v>фото на сайте</v>
      </c>
    </row>
    <row r="170" spans="1:19" ht="50.1" customHeight="1">
      <c r="A170" s="31" t="s">
        <v>43</v>
      </c>
      <c r="B170" s="32" t="s">
        <v>751</v>
      </c>
      <c r="C170" s="31" t="s">
        <v>37</v>
      </c>
      <c r="D170" s="31" t="s">
        <v>752</v>
      </c>
      <c r="E170" s="31" t="s">
        <v>753</v>
      </c>
      <c r="F170" s="31" t="s">
        <v>31</v>
      </c>
      <c r="G170" s="31">
        <v>461</v>
      </c>
      <c r="H170" s="31">
        <v>10</v>
      </c>
      <c r="I170" s="31">
        <v>14</v>
      </c>
      <c r="J170" s="31" t="s">
        <v>754</v>
      </c>
      <c r="K170" s="31" t="s">
        <v>33</v>
      </c>
      <c r="L170" s="31" t="s">
        <v>34</v>
      </c>
      <c r="M170" s="31">
        <v>255</v>
      </c>
      <c r="N170" s="31">
        <v>2025</v>
      </c>
      <c r="O170" s="31">
        <v>277</v>
      </c>
      <c r="P170" s="31"/>
      <c r="Q170" s="31"/>
      <c r="R170" s="33" t="s">
        <v>755</v>
      </c>
      <c r="S170" s="34" t="str">
        <f>HYPERLINK("http://www.cnpol.ru/covers/21505.jpg","фото на сайте")</f>
        <v>фото на сайте</v>
      </c>
    </row>
    <row r="171" spans="1:19" ht="50.1" customHeight="1">
      <c r="A171" s="31"/>
      <c r="B171" s="32" t="s">
        <v>756</v>
      </c>
      <c r="C171" s="31" t="s">
        <v>408</v>
      </c>
      <c r="D171" s="31" t="s">
        <v>757</v>
      </c>
      <c r="E171" s="31" t="s">
        <v>758</v>
      </c>
      <c r="F171" s="31" t="s">
        <v>31</v>
      </c>
      <c r="G171" s="31">
        <v>795</v>
      </c>
      <c r="H171" s="31">
        <v>10</v>
      </c>
      <c r="I171" s="31">
        <v>16</v>
      </c>
      <c r="J171" s="31" t="s">
        <v>759</v>
      </c>
      <c r="K171" s="31" t="s">
        <v>33</v>
      </c>
      <c r="L171" s="31" t="s">
        <v>34</v>
      </c>
      <c r="M171" s="31">
        <v>352</v>
      </c>
      <c r="N171" s="31">
        <v>2022</v>
      </c>
      <c r="O171" s="31">
        <v>428</v>
      </c>
      <c r="P171" s="31"/>
      <c r="Q171" s="31"/>
      <c r="R171" s="33"/>
      <c r="S171" s="34" t="str">
        <f>HYPERLINK("http://www.cnpol.ru/covers/20285.jpg","фото на сайте")</f>
        <v>фото на сайте</v>
      </c>
    </row>
    <row r="172" spans="1:19" ht="50.1" customHeight="1">
      <c r="A172" s="31"/>
      <c r="B172" s="32" t="s">
        <v>760</v>
      </c>
      <c r="C172" s="31" t="s">
        <v>390</v>
      </c>
      <c r="D172" s="31" t="s">
        <v>761</v>
      </c>
      <c r="E172" s="31" t="s">
        <v>762</v>
      </c>
      <c r="F172" s="31">
        <v>552</v>
      </c>
      <c r="G172" s="31">
        <v>86</v>
      </c>
      <c r="H172" s="31">
        <v>10</v>
      </c>
      <c r="I172" s="31">
        <v>30</v>
      </c>
      <c r="J172" s="31" t="s">
        <v>763</v>
      </c>
      <c r="K172" s="31" t="s">
        <v>123</v>
      </c>
      <c r="L172" s="31" t="s">
        <v>56</v>
      </c>
      <c r="M172" s="31">
        <v>158</v>
      </c>
      <c r="N172" s="31">
        <v>2015</v>
      </c>
      <c r="O172" s="31">
        <v>76</v>
      </c>
      <c r="P172" s="31"/>
      <c r="Q172" s="31"/>
      <c r="R172" s="33"/>
      <c r="S172" s="34" t="str">
        <f>HYPERLINK("http://www.cnpol.ru/covers/16233.jpg","фото на сайте")</f>
        <v>фото на сайте</v>
      </c>
    </row>
    <row r="173" spans="1:19" ht="50.1" customHeight="1">
      <c r="A173" s="31"/>
      <c r="B173" s="32" t="s">
        <v>764</v>
      </c>
      <c r="C173" s="31" t="s">
        <v>413</v>
      </c>
      <c r="D173" s="31" t="s">
        <v>765</v>
      </c>
      <c r="E173" s="31" t="s">
        <v>766</v>
      </c>
      <c r="F173" s="31">
        <v>164</v>
      </c>
      <c r="G173" s="31">
        <v>117</v>
      </c>
      <c r="H173" s="31">
        <v>10</v>
      </c>
      <c r="I173" s="31">
        <v>30</v>
      </c>
      <c r="J173" s="31" t="s">
        <v>767</v>
      </c>
      <c r="K173" s="31" t="s">
        <v>123</v>
      </c>
      <c r="L173" s="31" t="s">
        <v>56</v>
      </c>
      <c r="M173" s="31">
        <v>192</v>
      </c>
      <c r="N173" s="31">
        <v>2019</v>
      </c>
      <c r="O173" s="31">
        <v>90</v>
      </c>
      <c r="P173" s="31"/>
      <c r="Q173" s="31"/>
      <c r="R173" s="33"/>
      <c r="S173" s="34" t="str">
        <f>HYPERLINK("http://www.cnpol.ru/covers/18640.jpg","фото на сайте")</f>
        <v>фото на сайте</v>
      </c>
    </row>
    <row r="174" spans="1:19" ht="50.1" customHeight="1">
      <c r="A174" s="31"/>
      <c r="B174" s="32" t="s">
        <v>768</v>
      </c>
      <c r="C174" s="31" t="s">
        <v>769</v>
      </c>
      <c r="D174" s="31" t="s">
        <v>770</v>
      </c>
      <c r="E174" s="31" t="s">
        <v>771</v>
      </c>
      <c r="F174" s="31" t="s">
        <v>31</v>
      </c>
      <c r="G174" s="31">
        <v>243</v>
      </c>
      <c r="H174" s="31">
        <v>10</v>
      </c>
      <c r="I174" s="31">
        <v>16</v>
      </c>
      <c r="J174" s="31" t="s">
        <v>772</v>
      </c>
      <c r="K174" s="31" t="s">
        <v>130</v>
      </c>
      <c r="L174" s="31" t="s">
        <v>56</v>
      </c>
      <c r="M174" s="31">
        <v>414</v>
      </c>
      <c r="N174" s="31">
        <v>2014</v>
      </c>
      <c r="O174" s="31">
        <v>242</v>
      </c>
      <c r="P174" s="31"/>
      <c r="Q174" s="31"/>
      <c r="R174" s="33"/>
      <c r="S174" s="34" t="str">
        <f>HYPERLINK("http://www.cnpol.ru/covers/15340.jpg","фото на сайте")</f>
        <v>фото на сайте</v>
      </c>
    </row>
    <row r="175" spans="1:19" ht="50.1" customHeight="1">
      <c r="A175" s="31"/>
      <c r="B175" s="32" t="s">
        <v>773</v>
      </c>
      <c r="C175" s="31" t="s">
        <v>774</v>
      </c>
      <c r="D175" s="31" t="s">
        <v>775</v>
      </c>
      <c r="E175" s="31" t="s">
        <v>776</v>
      </c>
      <c r="F175" s="31" t="s">
        <v>31</v>
      </c>
      <c r="G175" s="31">
        <v>122</v>
      </c>
      <c r="H175" s="31">
        <v>10</v>
      </c>
      <c r="I175" s="31">
        <v>18</v>
      </c>
      <c r="J175" s="31" t="s">
        <v>777</v>
      </c>
      <c r="K175" s="31" t="s">
        <v>130</v>
      </c>
      <c r="L175" s="31" t="s">
        <v>56</v>
      </c>
      <c r="M175" s="31">
        <v>254</v>
      </c>
      <c r="N175" s="31">
        <v>2008</v>
      </c>
      <c r="O175" s="31" t="s">
        <v>220</v>
      </c>
      <c r="P175" s="31"/>
      <c r="Q175" s="31"/>
      <c r="R175" s="33"/>
      <c r="S175" s="34" t="str">
        <f>HYPERLINK("http://www.cnpol.ru/covers/10417.jpg","фото на сайте")</f>
        <v>фото на сайте</v>
      </c>
    </row>
    <row r="176" spans="1:19" ht="50.1" customHeight="1">
      <c r="A176" s="31" t="s">
        <v>35</v>
      </c>
      <c r="B176" s="32" t="s">
        <v>778</v>
      </c>
      <c r="C176" s="31" t="s">
        <v>779</v>
      </c>
      <c r="D176" s="31" t="s">
        <v>780</v>
      </c>
      <c r="E176" s="31" t="s">
        <v>781</v>
      </c>
      <c r="F176" s="31" t="s">
        <v>31</v>
      </c>
      <c r="G176" s="35">
        <v>1083</v>
      </c>
      <c r="H176" s="31">
        <v>10</v>
      </c>
      <c r="I176" s="31">
        <v>10</v>
      </c>
      <c r="J176" s="31" t="s">
        <v>782</v>
      </c>
      <c r="K176" s="31" t="s">
        <v>33</v>
      </c>
      <c r="L176" s="31" t="s">
        <v>34</v>
      </c>
      <c r="M176" s="31">
        <v>389</v>
      </c>
      <c r="N176" s="31">
        <v>2024</v>
      </c>
      <c r="O176" s="31">
        <v>420</v>
      </c>
      <c r="P176" s="31"/>
      <c r="Q176" s="31"/>
      <c r="R176" s="33" t="s">
        <v>783</v>
      </c>
      <c r="S176" s="34" t="str">
        <f>HYPERLINK("http://www.cnpol.ru/covers/21278.jpg","фото на сайте")</f>
        <v>фото на сайте</v>
      </c>
    </row>
    <row r="177" spans="1:19" ht="50.1" customHeight="1">
      <c r="A177" s="31"/>
      <c r="B177" s="32" t="s">
        <v>784</v>
      </c>
      <c r="C177" s="31" t="s">
        <v>400</v>
      </c>
      <c r="D177" s="31" t="s">
        <v>785</v>
      </c>
      <c r="E177" s="31" t="s">
        <v>786</v>
      </c>
      <c r="F177" s="31" t="s">
        <v>31</v>
      </c>
      <c r="G177" s="31">
        <v>503</v>
      </c>
      <c r="H177" s="31">
        <v>10</v>
      </c>
      <c r="I177" s="31">
        <v>10</v>
      </c>
      <c r="J177" s="31" t="s">
        <v>787</v>
      </c>
      <c r="K177" s="31" t="s">
        <v>33</v>
      </c>
      <c r="L177" s="31" t="s">
        <v>34</v>
      </c>
      <c r="M177" s="31">
        <v>288</v>
      </c>
      <c r="N177" s="31">
        <v>2016</v>
      </c>
      <c r="O177" s="31">
        <v>244</v>
      </c>
      <c r="P177" s="31"/>
      <c r="Q177" s="31"/>
      <c r="R177" s="33"/>
      <c r="S177" s="34" t="str">
        <f>HYPERLINK("http://www.cnpol.ru/covers/16733.jpg","фото на сайте")</f>
        <v>фото на сайте</v>
      </c>
    </row>
    <row r="178" spans="1:19" ht="50.1" customHeight="1">
      <c r="A178" s="31" t="s">
        <v>35</v>
      </c>
      <c r="B178" s="32" t="s">
        <v>788</v>
      </c>
      <c r="C178" s="31" t="s">
        <v>37</v>
      </c>
      <c r="D178" s="31" t="s">
        <v>704</v>
      </c>
      <c r="E178" s="31" t="s">
        <v>789</v>
      </c>
      <c r="F178" s="31" t="s">
        <v>31</v>
      </c>
      <c r="G178" s="31">
        <v>711</v>
      </c>
      <c r="H178" s="31">
        <v>10</v>
      </c>
      <c r="I178" s="31">
        <v>18</v>
      </c>
      <c r="J178" s="31" t="s">
        <v>790</v>
      </c>
      <c r="K178" s="31" t="s">
        <v>33</v>
      </c>
      <c r="L178" s="31" t="s">
        <v>34</v>
      </c>
      <c r="M178" s="31">
        <v>191</v>
      </c>
      <c r="N178" s="31">
        <v>2025</v>
      </c>
      <c r="O178" s="31">
        <v>242</v>
      </c>
      <c r="P178" s="31"/>
      <c r="Q178" s="31"/>
      <c r="R178" s="33" t="s">
        <v>791</v>
      </c>
      <c r="S178" s="34" t="str">
        <f>HYPERLINK("http://www.cnpol.ru/covers/21495.jpg","фото на сайте")</f>
        <v>фото на сайте</v>
      </c>
    </row>
    <row r="179" spans="1:19" ht="50.1" customHeight="1">
      <c r="A179" s="31"/>
      <c r="B179" s="32" t="s">
        <v>792</v>
      </c>
      <c r="C179" s="31" t="s">
        <v>408</v>
      </c>
      <c r="D179" s="31" t="s">
        <v>793</v>
      </c>
      <c r="E179" s="31" t="s">
        <v>794</v>
      </c>
      <c r="F179" s="31" t="s">
        <v>31</v>
      </c>
      <c r="G179" s="31">
        <v>640</v>
      </c>
      <c r="H179" s="31">
        <v>10</v>
      </c>
      <c r="I179" s="31">
        <v>14</v>
      </c>
      <c r="J179" s="31" t="s">
        <v>795</v>
      </c>
      <c r="K179" s="31" t="s">
        <v>33</v>
      </c>
      <c r="L179" s="31" t="s">
        <v>34</v>
      </c>
      <c r="M179" s="31">
        <v>256</v>
      </c>
      <c r="N179" s="31">
        <v>2020</v>
      </c>
      <c r="O179" s="31">
        <v>326</v>
      </c>
      <c r="P179" s="31"/>
      <c r="Q179" s="31"/>
      <c r="R179" s="33"/>
      <c r="S179" s="34" t="str">
        <f>HYPERLINK("http://www.cnpol.ru/covers/19438.jpg","фото на сайте")</f>
        <v>фото на сайте</v>
      </c>
    </row>
    <row r="180" spans="1:19" ht="50.1" customHeight="1">
      <c r="A180" s="31"/>
      <c r="B180" s="32" t="s">
        <v>796</v>
      </c>
      <c r="C180" s="31" t="s">
        <v>797</v>
      </c>
      <c r="D180" s="31" t="s">
        <v>798</v>
      </c>
      <c r="E180" s="31" t="s">
        <v>799</v>
      </c>
      <c r="F180" s="31" t="s">
        <v>31</v>
      </c>
      <c r="G180" s="31">
        <v>137</v>
      </c>
      <c r="H180" s="31">
        <v>10</v>
      </c>
      <c r="I180" s="31">
        <v>22</v>
      </c>
      <c r="J180" s="31" t="s">
        <v>800</v>
      </c>
      <c r="K180" s="31" t="s">
        <v>130</v>
      </c>
      <c r="L180" s="31" t="s">
        <v>56</v>
      </c>
      <c r="M180" s="31">
        <v>318</v>
      </c>
      <c r="N180" s="31">
        <v>2000</v>
      </c>
      <c r="O180" s="31">
        <v>200</v>
      </c>
      <c r="P180" s="31"/>
      <c r="Q180" s="31"/>
      <c r="R180" s="33"/>
      <c r="S180" s="34" t="str">
        <f>HYPERLINK("http://www.cnpol.ru/covers/1854.jpg","фото на сайте")</f>
        <v>фото на сайте</v>
      </c>
    </row>
    <row r="181" spans="1:19" ht="50.1" customHeight="1">
      <c r="A181" s="31" t="s">
        <v>43</v>
      </c>
      <c r="B181" s="32" t="s">
        <v>801</v>
      </c>
      <c r="C181" s="31" t="s">
        <v>802</v>
      </c>
      <c r="D181" s="31" t="s">
        <v>803</v>
      </c>
      <c r="E181" s="31" t="s">
        <v>804</v>
      </c>
      <c r="F181" s="31" t="s">
        <v>31</v>
      </c>
      <c r="G181" s="35">
        <v>1119</v>
      </c>
      <c r="H181" s="31">
        <v>10</v>
      </c>
      <c r="I181" s="31">
        <v>6</v>
      </c>
      <c r="J181" s="31" t="s">
        <v>805</v>
      </c>
      <c r="K181" s="31" t="s">
        <v>33</v>
      </c>
      <c r="L181" s="31" t="s">
        <v>34</v>
      </c>
      <c r="M181" s="31">
        <v>479</v>
      </c>
      <c r="N181" s="31">
        <v>2025</v>
      </c>
      <c r="O181" s="31" t="s">
        <v>220</v>
      </c>
      <c r="P181" s="31"/>
      <c r="Q181" s="31"/>
      <c r="R181" s="33" t="s">
        <v>806</v>
      </c>
      <c r="S181" s="34" t="str">
        <f>HYPERLINK("http://www.cnpol.ru/covers/21884.jpg","фото на сайте")</f>
        <v>фото на сайте</v>
      </c>
    </row>
    <row r="182" spans="1:19" ht="50.1" customHeight="1">
      <c r="A182" s="31"/>
      <c r="B182" s="32" t="s">
        <v>807</v>
      </c>
      <c r="C182" s="31" t="s">
        <v>808</v>
      </c>
      <c r="D182" s="31" t="s">
        <v>809</v>
      </c>
      <c r="E182" s="31" t="s">
        <v>810</v>
      </c>
      <c r="F182" s="31" t="s">
        <v>31</v>
      </c>
      <c r="G182" s="31">
        <v>129</v>
      </c>
      <c r="H182" s="31">
        <v>10</v>
      </c>
      <c r="I182" s="31">
        <v>12</v>
      </c>
      <c r="J182" s="31" t="s">
        <v>811</v>
      </c>
      <c r="K182" s="31" t="s">
        <v>123</v>
      </c>
      <c r="L182" s="31" t="s">
        <v>34</v>
      </c>
      <c r="M182" s="31" t="s">
        <v>431</v>
      </c>
      <c r="N182" s="31" t="s">
        <v>431</v>
      </c>
      <c r="O182" s="31" t="s">
        <v>220</v>
      </c>
      <c r="P182" s="31"/>
      <c r="Q182" s="31"/>
      <c r="R182" s="33"/>
      <c r="S182" s="34" t="str">
        <f>HYPERLINK("http://www.cnpol.ru/covers/2049.jpg","фото на сайте")</f>
        <v>фото на сайте</v>
      </c>
    </row>
    <row r="183" spans="1:19" ht="50.1" customHeight="1">
      <c r="A183" s="31"/>
      <c r="B183" s="32" t="s">
        <v>812</v>
      </c>
      <c r="C183" s="31" t="s">
        <v>808</v>
      </c>
      <c r="D183" s="31" t="s">
        <v>809</v>
      </c>
      <c r="E183" s="31" t="s">
        <v>810</v>
      </c>
      <c r="F183" s="31" t="s">
        <v>31</v>
      </c>
      <c r="G183" s="31">
        <v>272</v>
      </c>
      <c r="H183" s="31">
        <v>10</v>
      </c>
      <c r="I183" s="31">
        <v>12</v>
      </c>
      <c r="J183" s="31" t="s">
        <v>811</v>
      </c>
      <c r="K183" s="31" t="s">
        <v>123</v>
      </c>
      <c r="L183" s="31" t="s">
        <v>34</v>
      </c>
      <c r="M183" s="31">
        <v>444</v>
      </c>
      <c r="N183" s="31">
        <v>2003</v>
      </c>
      <c r="O183" s="31">
        <v>244</v>
      </c>
      <c r="P183" s="31"/>
      <c r="Q183" s="31"/>
      <c r="R183" s="33"/>
      <c r="S183" s="34" t="str">
        <f>HYPERLINK("http://www.cnpol.ru/covers/3847.jpg","фото на сайте")</f>
        <v>фото на сайте</v>
      </c>
    </row>
    <row r="184" spans="1:19" ht="50.1" customHeight="1">
      <c r="A184" s="31"/>
      <c r="B184" s="32" t="s">
        <v>813</v>
      </c>
      <c r="C184" s="31" t="s">
        <v>546</v>
      </c>
      <c r="D184" s="31" t="s">
        <v>814</v>
      </c>
      <c r="E184" s="31" t="s">
        <v>815</v>
      </c>
      <c r="F184" s="31">
        <v>300</v>
      </c>
      <c r="G184" s="31">
        <v>93</v>
      </c>
      <c r="H184" s="31">
        <v>10</v>
      </c>
      <c r="I184" s="31">
        <v>30</v>
      </c>
      <c r="J184" s="31" t="s">
        <v>816</v>
      </c>
      <c r="K184" s="31" t="s">
        <v>123</v>
      </c>
      <c r="L184" s="31" t="s">
        <v>56</v>
      </c>
      <c r="M184" s="31">
        <v>160</v>
      </c>
      <c r="N184" s="31">
        <v>2019</v>
      </c>
      <c r="O184" s="31">
        <v>78</v>
      </c>
      <c r="P184" s="31"/>
      <c r="Q184" s="31"/>
      <c r="R184" s="33"/>
      <c r="S184" s="34" t="str">
        <f>HYPERLINK("http://www.cnpol.ru/covers/18566.jpg","фото на сайте")</f>
        <v>фото на сайте</v>
      </c>
    </row>
    <row r="185" spans="1:19" ht="50.1" customHeight="1">
      <c r="A185" s="31"/>
      <c r="B185" s="32" t="s">
        <v>817</v>
      </c>
      <c r="C185" s="31" t="s">
        <v>818</v>
      </c>
      <c r="D185" s="31" t="s">
        <v>819</v>
      </c>
      <c r="E185" s="31" t="s">
        <v>820</v>
      </c>
      <c r="F185" s="31" t="s">
        <v>31</v>
      </c>
      <c r="G185" s="31">
        <v>88</v>
      </c>
      <c r="H185" s="31">
        <v>10</v>
      </c>
      <c r="I185" s="31">
        <v>38</v>
      </c>
      <c r="J185" s="31" t="s">
        <v>821</v>
      </c>
      <c r="K185" s="31" t="s">
        <v>130</v>
      </c>
      <c r="L185" s="31" t="s">
        <v>56</v>
      </c>
      <c r="M185" s="31" t="s">
        <v>431</v>
      </c>
      <c r="N185" s="31">
        <v>2003</v>
      </c>
      <c r="O185" s="31">
        <v>98</v>
      </c>
      <c r="P185" s="31"/>
      <c r="Q185" s="31"/>
      <c r="R185" s="33"/>
      <c r="S185" s="34" t="str">
        <f>HYPERLINK("http://www.cnpol.ru/covers/4400.jpg","фото на сайте")</f>
        <v>фото на сайте</v>
      </c>
    </row>
    <row r="186" spans="1:19" ht="50.1" customHeight="1">
      <c r="A186" s="31"/>
      <c r="B186" s="32" t="s">
        <v>822</v>
      </c>
      <c r="C186" s="31" t="s">
        <v>408</v>
      </c>
      <c r="D186" s="31" t="s">
        <v>823</v>
      </c>
      <c r="E186" s="31" t="s">
        <v>824</v>
      </c>
      <c r="F186" s="31" t="s">
        <v>31</v>
      </c>
      <c r="G186" s="31">
        <v>640</v>
      </c>
      <c r="H186" s="31">
        <v>10</v>
      </c>
      <c r="I186" s="31">
        <v>18</v>
      </c>
      <c r="J186" s="31" t="s">
        <v>825</v>
      </c>
      <c r="K186" s="31" t="s">
        <v>33</v>
      </c>
      <c r="L186" s="31" t="s">
        <v>34</v>
      </c>
      <c r="M186" s="31">
        <v>272</v>
      </c>
      <c r="N186" s="31">
        <v>2023</v>
      </c>
      <c r="O186" s="31">
        <v>322</v>
      </c>
      <c r="P186" s="31"/>
      <c r="Q186" s="31"/>
      <c r="R186" s="33" t="s">
        <v>826</v>
      </c>
      <c r="S186" s="34" t="str">
        <f>HYPERLINK("http://www.cnpol.ru/covers/20502.jpg","фото на сайте")</f>
        <v>фото на сайте</v>
      </c>
    </row>
    <row r="187" spans="1:19" ht="50.1" customHeight="1">
      <c r="A187" s="31"/>
      <c r="B187" s="32" t="s">
        <v>827</v>
      </c>
      <c r="C187" s="31" t="s">
        <v>828</v>
      </c>
      <c r="D187" s="31" t="s">
        <v>829</v>
      </c>
      <c r="E187" s="31" t="s">
        <v>830</v>
      </c>
      <c r="F187" s="31" t="s">
        <v>31</v>
      </c>
      <c r="G187" s="35">
        <v>7082</v>
      </c>
      <c r="H187" s="31">
        <v>10</v>
      </c>
      <c r="I187" s="31">
        <v>2</v>
      </c>
      <c r="J187" s="31" t="s">
        <v>831</v>
      </c>
      <c r="K187" s="31" t="s">
        <v>260</v>
      </c>
      <c r="L187" s="31" t="s">
        <v>34</v>
      </c>
      <c r="M187" s="31">
        <v>862</v>
      </c>
      <c r="N187" s="31">
        <v>2003</v>
      </c>
      <c r="O187" s="31">
        <v>1910</v>
      </c>
      <c r="P187" s="31"/>
      <c r="Q187" s="31"/>
      <c r="R187" s="33"/>
      <c r="S187" s="34" t="str">
        <f>HYPERLINK("http://www.cnpol.ru/covers/4053.jpg","фото на сайте")</f>
        <v>фото на сайте</v>
      </c>
    </row>
    <row r="188" spans="1:19" ht="50.1" customHeight="1">
      <c r="A188" s="31"/>
      <c r="B188" s="32" t="s">
        <v>832</v>
      </c>
      <c r="C188" s="31" t="s">
        <v>37</v>
      </c>
      <c r="D188" s="31" t="s">
        <v>833</v>
      </c>
      <c r="E188" s="31" t="s">
        <v>834</v>
      </c>
      <c r="F188" s="31" t="s">
        <v>31</v>
      </c>
      <c r="G188" s="31">
        <v>539</v>
      </c>
      <c r="H188" s="31">
        <v>10</v>
      </c>
      <c r="I188" s="31">
        <v>14</v>
      </c>
      <c r="J188" s="31" t="s">
        <v>835</v>
      </c>
      <c r="K188" s="31" t="s">
        <v>33</v>
      </c>
      <c r="L188" s="31" t="s">
        <v>34</v>
      </c>
      <c r="M188" s="31">
        <v>320</v>
      </c>
      <c r="N188" s="31">
        <v>2019</v>
      </c>
      <c r="O188" s="31">
        <v>272</v>
      </c>
      <c r="P188" s="31"/>
      <c r="Q188" s="31"/>
      <c r="R188" s="33"/>
      <c r="S188" s="34" t="str">
        <f>HYPERLINK("http://www.cnpol.ru/covers/18665.jpg","фото на сайте")</f>
        <v>фото на сайте</v>
      </c>
    </row>
    <row r="189" spans="1:19" ht="50.1" customHeight="1">
      <c r="A189" s="31" t="s">
        <v>43</v>
      </c>
      <c r="B189" s="32" t="s">
        <v>836</v>
      </c>
      <c r="C189" s="31" t="s">
        <v>434</v>
      </c>
      <c r="D189" s="31" t="s">
        <v>837</v>
      </c>
      <c r="E189" s="31" t="s">
        <v>838</v>
      </c>
      <c r="F189" s="31" t="s">
        <v>31</v>
      </c>
      <c r="G189" s="31">
        <v>807</v>
      </c>
      <c r="H189" s="31">
        <v>10</v>
      </c>
      <c r="I189" s="31">
        <v>16</v>
      </c>
      <c r="J189" s="31" t="s">
        <v>839</v>
      </c>
      <c r="K189" s="31" t="s">
        <v>33</v>
      </c>
      <c r="L189" s="31" t="s">
        <v>34</v>
      </c>
      <c r="M189" s="31">
        <v>239</v>
      </c>
      <c r="N189" s="31">
        <v>2025</v>
      </c>
      <c r="O189" s="31">
        <v>299</v>
      </c>
      <c r="P189" s="31"/>
      <c r="Q189" s="31"/>
      <c r="R189" s="33" t="s">
        <v>840</v>
      </c>
      <c r="S189" s="34" t="str">
        <f>HYPERLINK("http://www.cnpol.ru/covers/21617.jpg","фото на сайте")</f>
        <v>фото на сайте</v>
      </c>
    </row>
    <row r="190" spans="1:19" ht="50.1" customHeight="1">
      <c r="A190" s="31"/>
      <c r="B190" s="32" t="s">
        <v>841</v>
      </c>
      <c r="C190" s="31" t="s">
        <v>413</v>
      </c>
      <c r="D190" s="31" t="s">
        <v>842</v>
      </c>
      <c r="E190" s="31" t="s">
        <v>843</v>
      </c>
      <c r="F190" s="31">
        <v>106</v>
      </c>
      <c r="G190" s="31">
        <v>117</v>
      </c>
      <c r="H190" s="31">
        <v>10</v>
      </c>
      <c r="I190" s="31">
        <v>36</v>
      </c>
      <c r="J190" s="31" t="s">
        <v>844</v>
      </c>
      <c r="K190" s="31" t="s">
        <v>123</v>
      </c>
      <c r="L190" s="31" t="s">
        <v>56</v>
      </c>
      <c r="M190" s="31">
        <v>192</v>
      </c>
      <c r="N190" s="31">
        <v>2016</v>
      </c>
      <c r="O190" s="31">
        <v>90</v>
      </c>
      <c r="P190" s="31"/>
      <c r="Q190" s="31"/>
      <c r="R190" s="33"/>
      <c r="S190" s="34" t="str">
        <f>HYPERLINK("http://www.cnpol.ru/covers/16776.jpg","фото на сайте")</f>
        <v>фото на сайте</v>
      </c>
    </row>
    <row r="191" spans="1:19" ht="50.1" customHeight="1">
      <c r="A191" s="31"/>
      <c r="B191" s="32" t="s">
        <v>845</v>
      </c>
      <c r="C191" s="31" t="s">
        <v>846</v>
      </c>
      <c r="D191" s="31" t="s">
        <v>847</v>
      </c>
      <c r="E191" s="31" t="s">
        <v>848</v>
      </c>
      <c r="F191" s="31" t="s">
        <v>31</v>
      </c>
      <c r="G191" s="31">
        <v>370</v>
      </c>
      <c r="H191" s="31">
        <v>10</v>
      </c>
      <c r="I191" s="31">
        <v>16</v>
      </c>
      <c r="J191" s="31" t="s">
        <v>849</v>
      </c>
      <c r="K191" s="31" t="s">
        <v>33</v>
      </c>
      <c r="L191" s="31" t="s">
        <v>34</v>
      </c>
      <c r="M191" s="31">
        <v>254</v>
      </c>
      <c r="N191" s="31">
        <v>2008</v>
      </c>
      <c r="O191" s="31">
        <v>270</v>
      </c>
      <c r="P191" s="31"/>
      <c r="Q191" s="31"/>
      <c r="R191" s="33"/>
      <c r="S191" s="34" t="str">
        <f>HYPERLINK("http://www.cnpol.ru/covers/7936.jpg","фото на сайте")</f>
        <v>фото на сайте</v>
      </c>
    </row>
    <row r="192" spans="1:19" ht="50.1" customHeight="1">
      <c r="A192" s="31"/>
      <c r="B192" s="32" t="s">
        <v>850</v>
      </c>
      <c r="C192" s="31" t="s">
        <v>851</v>
      </c>
      <c r="D192" s="31" t="s">
        <v>847</v>
      </c>
      <c r="E192" s="31" t="s">
        <v>848</v>
      </c>
      <c r="F192" s="31" t="s">
        <v>31</v>
      </c>
      <c r="G192" s="31">
        <v>144</v>
      </c>
      <c r="H192" s="31">
        <v>10</v>
      </c>
      <c r="I192" s="31">
        <v>32</v>
      </c>
      <c r="J192" s="31" t="s">
        <v>852</v>
      </c>
      <c r="K192" s="31" t="s">
        <v>55</v>
      </c>
      <c r="L192" s="31" t="s">
        <v>56</v>
      </c>
      <c r="M192" s="31">
        <v>270</v>
      </c>
      <c r="N192" s="31">
        <v>2008</v>
      </c>
      <c r="O192" s="31">
        <v>112</v>
      </c>
      <c r="P192" s="31"/>
      <c r="Q192" s="31"/>
      <c r="R192" s="33"/>
      <c r="S192" s="34" t="str">
        <f>HYPERLINK("http://www.cnpol.ru/covers/10124.jpg","фото на сайте")</f>
        <v>фото на сайте</v>
      </c>
    </row>
    <row r="193" spans="1:19" ht="50.1" customHeight="1">
      <c r="A193" s="31"/>
      <c r="B193" s="32" t="s">
        <v>853</v>
      </c>
      <c r="C193" s="31" t="s">
        <v>854</v>
      </c>
      <c r="D193" s="31" t="s">
        <v>855</v>
      </c>
      <c r="E193" s="31" t="s">
        <v>856</v>
      </c>
      <c r="F193" s="31" t="s">
        <v>31</v>
      </c>
      <c r="G193" s="31">
        <v>154</v>
      </c>
      <c r="H193" s="31">
        <v>10</v>
      </c>
      <c r="I193" s="31">
        <v>20</v>
      </c>
      <c r="J193" s="31" t="s">
        <v>857</v>
      </c>
      <c r="K193" s="31" t="s">
        <v>55</v>
      </c>
      <c r="L193" s="31" t="s">
        <v>56</v>
      </c>
      <c r="M193" s="31">
        <v>286</v>
      </c>
      <c r="N193" s="31">
        <v>2008</v>
      </c>
      <c r="O193" s="31">
        <v>120</v>
      </c>
      <c r="P193" s="31"/>
      <c r="Q193" s="31"/>
      <c r="R193" s="33"/>
      <c r="S193" s="34" t="str">
        <f>HYPERLINK("http://www.cnpol.ru/covers/10267.jpg","фото на сайте")</f>
        <v>фото на сайте</v>
      </c>
    </row>
    <row r="194" spans="1:19" ht="50.1" customHeight="1">
      <c r="A194" s="31"/>
      <c r="B194" s="32" t="s">
        <v>858</v>
      </c>
      <c r="C194" s="31" t="s">
        <v>390</v>
      </c>
      <c r="D194" s="31" t="s">
        <v>859</v>
      </c>
      <c r="E194" s="31" t="s">
        <v>860</v>
      </c>
      <c r="F194" s="31">
        <v>871</v>
      </c>
      <c r="G194" s="31">
        <v>86</v>
      </c>
      <c r="H194" s="31">
        <v>10</v>
      </c>
      <c r="I194" s="31">
        <v>30</v>
      </c>
      <c r="J194" s="31" t="s">
        <v>861</v>
      </c>
      <c r="K194" s="31" t="s">
        <v>123</v>
      </c>
      <c r="L194" s="31" t="s">
        <v>56</v>
      </c>
      <c r="M194" s="31">
        <v>160</v>
      </c>
      <c r="N194" s="31">
        <v>2019</v>
      </c>
      <c r="O194" s="31">
        <v>74</v>
      </c>
      <c r="P194" s="31"/>
      <c r="Q194" s="31"/>
      <c r="R194" s="33"/>
      <c r="S194" s="34" t="str">
        <f>HYPERLINK("http://www.cnpol.ru/covers/18523.jpg","фото на сайте")</f>
        <v>фото на сайте</v>
      </c>
    </row>
    <row r="195" spans="1:19" ht="50.1" customHeight="1">
      <c r="A195" s="31"/>
      <c r="B195" s="32" t="s">
        <v>862</v>
      </c>
      <c r="C195" s="31" t="s">
        <v>863</v>
      </c>
      <c r="D195" s="31" t="s">
        <v>864</v>
      </c>
      <c r="E195" s="31" t="s">
        <v>865</v>
      </c>
      <c r="F195" s="31" t="s">
        <v>31</v>
      </c>
      <c r="G195" s="31">
        <v>795</v>
      </c>
      <c r="H195" s="31">
        <v>10</v>
      </c>
      <c r="I195" s="31">
        <v>8</v>
      </c>
      <c r="J195" s="31" t="s">
        <v>866</v>
      </c>
      <c r="K195" s="31" t="s">
        <v>41</v>
      </c>
      <c r="L195" s="31" t="s">
        <v>34</v>
      </c>
      <c r="M195" s="31">
        <v>544</v>
      </c>
      <c r="N195" s="31">
        <v>2022</v>
      </c>
      <c r="O195" s="31">
        <v>570</v>
      </c>
      <c r="P195" s="31"/>
      <c r="Q195" s="31"/>
      <c r="R195" s="33"/>
      <c r="S195" s="34" t="str">
        <f>HYPERLINK("http://www.cnpol.ru/covers/20294.jpg","фото на сайте")</f>
        <v>фото на сайте</v>
      </c>
    </row>
    <row r="196" spans="1:19" ht="50.1" customHeight="1">
      <c r="A196" s="31"/>
      <c r="B196" s="32" t="s">
        <v>867</v>
      </c>
      <c r="C196" s="31" t="s">
        <v>408</v>
      </c>
      <c r="D196" s="31" t="s">
        <v>868</v>
      </c>
      <c r="E196" s="31" t="s">
        <v>869</v>
      </c>
      <c r="F196" s="31" t="s">
        <v>31</v>
      </c>
      <c r="G196" s="31">
        <v>640</v>
      </c>
      <c r="H196" s="31">
        <v>10</v>
      </c>
      <c r="I196" s="31">
        <v>14</v>
      </c>
      <c r="J196" s="31" t="s">
        <v>870</v>
      </c>
      <c r="K196" s="31" t="s">
        <v>33</v>
      </c>
      <c r="L196" s="31" t="s">
        <v>34</v>
      </c>
      <c r="M196" s="31">
        <v>288</v>
      </c>
      <c r="N196" s="31">
        <v>2020</v>
      </c>
      <c r="O196" s="31">
        <v>338</v>
      </c>
      <c r="P196" s="31"/>
      <c r="Q196" s="31"/>
      <c r="R196" s="33"/>
      <c r="S196" s="34" t="str">
        <f>HYPERLINK("http://www.cnpol.ru/covers/19333.jpg","фото на сайте")</f>
        <v>фото на сайте</v>
      </c>
    </row>
    <row r="197" spans="1:19" ht="50.1" customHeight="1">
      <c r="A197" s="31" t="s">
        <v>35</v>
      </c>
      <c r="B197" s="32" t="s">
        <v>871</v>
      </c>
      <c r="C197" s="31" t="s">
        <v>297</v>
      </c>
      <c r="D197" s="31" t="s">
        <v>872</v>
      </c>
      <c r="E197" s="31" t="s">
        <v>873</v>
      </c>
      <c r="F197" s="31" t="s">
        <v>31</v>
      </c>
      <c r="G197" s="31">
        <v>300</v>
      </c>
      <c r="H197" s="31">
        <v>10</v>
      </c>
      <c r="I197" s="31">
        <v>18</v>
      </c>
      <c r="J197" s="31" t="s">
        <v>874</v>
      </c>
      <c r="K197" s="31" t="s">
        <v>300</v>
      </c>
      <c r="L197" s="31" t="s">
        <v>56</v>
      </c>
      <c r="M197" s="31">
        <v>319</v>
      </c>
      <c r="N197" s="31">
        <v>2024</v>
      </c>
      <c r="O197" s="31">
        <v>161</v>
      </c>
      <c r="P197" s="31"/>
      <c r="Q197" s="31"/>
      <c r="R197" s="33" t="s">
        <v>875</v>
      </c>
      <c r="S197" s="34" t="str">
        <f>HYPERLINK("http://www.cnpol.ru/covers/21233.jpg","фото на сайте")</f>
        <v>фото на сайте</v>
      </c>
    </row>
    <row r="198" spans="1:19" ht="50.1" customHeight="1">
      <c r="A198" s="31" t="s">
        <v>35</v>
      </c>
      <c r="B198" s="32" t="s">
        <v>876</v>
      </c>
      <c r="C198" s="31" t="s">
        <v>302</v>
      </c>
      <c r="D198" s="31" t="s">
        <v>872</v>
      </c>
      <c r="E198" s="31" t="s">
        <v>873</v>
      </c>
      <c r="F198" s="31" t="s">
        <v>31</v>
      </c>
      <c r="G198" s="31">
        <v>977</v>
      </c>
      <c r="H198" s="31">
        <v>10</v>
      </c>
      <c r="I198" s="31">
        <v>14</v>
      </c>
      <c r="J198" s="31" t="s">
        <v>877</v>
      </c>
      <c r="K198" s="31" t="s">
        <v>41</v>
      </c>
      <c r="L198" s="31" t="s">
        <v>304</v>
      </c>
      <c r="M198" s="31">
        <v>351</v>
      </c>
      <c r="N198" s="31">
        <v>2024</v>
      </c>
      <c r="O198" s="31">
        <v>448</v>
      </c>
      <c r="P198" s="31"/>
      <c r="Q198" s="31"/>
      <c r="R198" s="33" t="s">
        <v>875</v>
      </c>
      <c r="S198" s="34" t="str">
        <f>HYPERLINK("http://www.cnpol.ru/covers/21296.jpg","фото на сайте")</f>
        <v>фото на сайте</v>
      </c>
    </row>
    <row r="199" spans="1:19" ht="50.1" customHeight="1">
      <c r="A199" s="31"/>
      <c r="B199" s="32" t="s">
        <v>878</v>
      </c>
      <c r="C199" s="31" t="s">
        <v>879</v>
      </c>
      <c r="D199" s="31" t="s">
        <v>880</v>
      </c>
      <c r="E199" s="31" t="s">
        <v>881</v>
      </c>
      <c r="F199" s="31" t="s">
        <v>31</v>
      </c>
      <c r="G199" s="31">
        <v>275</v>
      </c>
      <c r="H199" s="31">
        <v>10</v>
      </c>
      <c r="I199" s="31">
        <v>12</v>
      </c>
      <c r="J199" s="31" t="s">
        <v>882</v>
      </c>
      <c r="K199" s="31" t="s">
        <v>130</v>
      </c>
      <c r="L199" s="31" t="s">
        <v>56</v>
      </c>
      <c r="M199" s="31">
        <v>352</v>
      </c>
      <c r="N199" s="31">
        <v>2022</v>
      </c>
      <c r="O199" s="31">
        <v>208</v>
      </c>
      <c r="P199" s="31"/>
      <c r="Q199" s="31"/>
      <c r="R199" s="33" t="s">
        <v>883</v>
      </c>
      <c r="S199" s="34" t="str">
        <f>HYPERLINK("http://www.cnpol.ru/covers/20373.jpg","фото на сайте")</f>
        <v>фото на сайте</v>
      </c>
    </row>
    <row r="200" spans="1:19" ht="50.1" customHeight="1">
      <c r="A200" s="31" t="s">
        <v>35</v>
      </c>
      <c r="B200" s="32" t="s">
        <v>884</v>
      </c>
      <c r="C200" s="31" t="s">
        <v>879</v>
      </c>
      <c r="D200" s="31" t="s">
        <v>880</v>
      </c>
      <c r="E200" s="31" t="s">
        <v>885</v>
      </c>
      <c r="F200" s="31" t="s">
        <v>31</v>
      </c>
      <c r="G200" s="31">
        <v>275</v>
      </c>
      <c r="H200" s="31">
        <v>10</v>
      </c>
      <c r="I200" s="31">
        <v>9</v>
      </c>
      <c r="J200" s="31" t="s">
        <v>886</v>
      </c>
      <c r="K200" s="31" t="s">
        <v>130</v>
      </c>
      <c r="L200" s="31" t="s">
        <v>56</v>
      </c>
      <c r="M200" s="31">
        <v>319</v>
      </c>
      <c r="N200" s="31">
        <v>2024</v>
      </c>
      <c r="O200" s="31">
        <v>115</v>
      </c>
      <c r="P200" s="31"/>
      <c r="Q200" s="31"/>
      <c r="R200" s="33" t="s">
        <v>887</v>
      </c>
      <c r="S200" s="34" t="str">
        <f>HYPERLINK("http://www.cnpol.ru/covers/21349.jpg","фото на сайте")</f>
        <v>фото на сайте</v>
      </c>
    </row>
    <row r="201" spans="1:19" ht="50.1" customHeight="1">
      <c r="A201" s="31"/>
      <c r="B201" s="32" t="s">
        <v>888</v>
      </c>
      <c r="C201" s="31" t="s">
        <v>879</v>
      </c>
      <c r="D201" s="31" t="s">
        <v>880</v>
      </c>
      <c r="E201" s="31" t="s">
        <v>889</v>
      </c>
      <c r="F201" s="31" t="s">
        <v>31</v>
      </c>
      <c r="G201" s="31">
        <v>675</v>
      </c>
      <c r="H201" s="31">
        <v>10</v>
      </c>
      <c r="I201" s="31">
        <v>8</v>
      </c>
      <c r="J201" s="31" t="s">
        <v>890</v>
      </c>
      <c r="K201" s="31" t="s">
        <v>33</v>
      </c>
      <c r="L201" s="31" t="s">
        <v>34</v>
      </c>
      <c r="M201" s="31">
        <v>512</v>
      </c>
      <c r="N201" s="31">
        <v>2019</v>
      </c>
      <c r="O201" s="31">
        <v>380</v>
      </c>
      <c r="P201" s="31"/>
      <c r="Q201" s="31"/>
      <c r="R201" s="33"/>
      <c r="S201" s="34" t="str">
        <f>HYPERLINK("http://www.cnpol.ru/covers/18702.jpg","фото на сайте")</f>
        <v>фото на сайте</v>
      </c>
    </row>
    <row r="202" spans="1:19" ht="50.1" customHeight="1">
      <c r="A202" s="31" t="s">
        <v>35</v>
      </c>
      <c r="B202" s="32" t="s">
        <v>891</v>
      </c>
      <c r="C202" s="31" t="s">
        <v>879</v>
      </c>
      <c r="D202" s="31" t="s">
        <v>880</v>
      </c>
      <c r="E202" s="31" t="s">
        <v>892</v>
      </c>
      <c r="F202" s="31" t="s">
        <v>31</v>
      </c>
      <c r="G202" s="31">
        <v>275</v>
      </c>
      <c r="H202" s="31">
        <v>10</v>
      </c>
      <c r="I202" s="31">
        <v>8</v>
      </c>
      <c r="J202" s="31" t="s">
        <v>893</v>
      </c>
      <c r="K202" s="31" t="s">
        <v>33</v>
      </c>
      <c r="L202" s="31" t="s">
        <v>56</v>
      </c>
      <c r="M202" s="31">
        <v>383</v>
      </c>
      <c r="N202" s="31">
        <v>2025</v>
      </c>
      <c r="O202" s="31" t="s">
        <v>220</v>
      </c>
      <c r="P202" s="31"/>
      <c r="Q202" s="31"/>
      <c r="R202" s="33" t="s">
        <v>894</v>
      </c>
      <c r="S202" s="34" t="str">
        <f>HYPERLINK("http://www.cnpol.ru/covers/21722.jpg","фото на сайте")</f>
        <v>фото на сайте</v>
      </c>
    </row>
    <row r="203" spans="1:19" ht="50.1" customHeight="1">
      <c r="A203" s="31"/>
      <c r="B203" s="32" t="s">
        <v>895</v>
      </c>
      <c r="C203" s="31" t="s">
        <v>879</v>
      </c>
      <c r="D203" s="31" t="s">
        <v>880</v>
      </c>
      <c r="E203" s="31" t="s">
        <v>896</v>
      </c>
      <c r="F203" s="31" t="s">
        <v>31</v>
      </c>
      <c r="G203" s="31">
        <v>243</v>
      </c>
      <c r="H203" s="31">
        <v>10</v>
      </c>
      <c r="I203" s="31">
        <v>10</v>
      </c>
      <c r="J203" s="31" t="s">
        <v>897</v>
      </c>
      <c r="K203" s="31" t="s">
        <v>130</v>
      </c>
      <c r="L203" s="31" t="s">
        <v>56</v>
      </c>
      <c r="M203" s="31">
        <v>256</v>
      </c>
      <c r="N203" s="31">
        <v>2018</v>
      </c>
      <c r="O203" s="31">
        <v>154</v>
      </c>
      <c r="P203" s="31"/>
      <c r="Q203" s="31"/>
      <c r="R203" s="33"/>
      <c r="S203" s="34" t="str">
        <f>HYPERLINK("http://www.cnpol.ru/covers/18250.jpg","фото на сайте")</f>
        <v>фото на сайте</v>
      </c>
    </row>
    <row r="204" spans="1:19" ht="50.1" customHeight="1">
      <c r="A204" s="31"/>
      <c r="B204" s="32" t="s">
        <v>898</v>
      </c>
      <c r="C204" s="31" t="s">
        <v>879</v>
      </c>
      <c r="D204" s="31" t="s">
        <v>880</v>
      </c>
      <c r="E204" s="31" t="s">
        <v>899</v>
      </c>
      <c r="F204" s="31" t="s">
        <v>31</v>
      </c>
      <c r="G204" s="31">
        <v>275</v>
      </c>
      <c r="H204" s="31">
        <v>10</v>
      </c>
      <c r="I204" s="31">
        <v>12</v>
      </c>
      <c r="J204" s="31" t="s">
        <v>900</v>
      </c>
      <c r="K204" s="31" t="s">
        <v>130</v>
      </c>
      <c r="L204" s="31" t="s">
        <v>56</v>
      </c>
      <c r="M204" s="31">
        <v>352</v>
      </c>
      <c r="N204" s="31">
        <v>2022</v>
      </c>
      <c r="O204" s="31">
        <v>202</v>
      </c>
      <c r="P204" s="31"/>
      <c r="Q204" s="31"/>
      <c r="R204" s="33"/>
      <c r="S204" s="34" t="str">
        <f>HYPERLINK("http://www.cnpol.ru/covers/20165.jpg","фото на сайте")</f>
        <v>фото на сайте</v>
      </c>
    </row>
    <row r="205" spans="1:19" ht="50.1" customHeight="1">
      <c r="A205" s="31" t="s">
        <v>35</v>
      </c>
      <c r="B205" s="32" t="s">
        <v>901</v>
      </c>
      <c r="C205" s="31" t="s">
        <v>879</v>
      </c>
      <c r="D205" s="31" t="s">
        <v>880</v>
      </c>
      <c r="E205" s="31" t="s">
        <v>902</v>
      </c>
      <c r="F205" s="31" t="s">
        <v>31</v>
      </c>
      <c r="G205" s="31">
        <v>275</v>
      </c>
      <c r="H205" s="31">
        <v>10</v>
      </c>
      <c r="I205" s="31">
        <v>22</v>
      </c>
      <c r="J205" s="31" t="s">
        <v>903</v>
      </c>
      <c r="K205" s="31" t="s">
        <v>130</v>
      </c>
      <c r="L205" s="31" t="s">
        <v>56</v>
      </c>
      <c r="M205" s="31">
        <v>255</v>
      </c>
      <c r="N205" s="31">
        <v>2024</v>
      </c>
      <c r="O205" s="31" t="s">
        <v>220</v>
      </c>
      <c r="P205" s="31"/>
      <c r="Q205" s="31"/>
      <c r="R205" s="33" t="s">
        <v>904</v>
      </c>
      <c r="S205" s="34" t="str">
        <f>HYPERLINK("http://www.cnpol.ru/covers/21171.jpg","фото на сайте")</f>
        <v>фото на сайте</v>
      </c>
    </row>
    <row r="206" spans="1:19" ht="50.1" customHeight="1">
      <c r="A206" s="31"/>
      <c r="B206" s="32" t="s">
        <v>905</v>
      </c>
      <c r="C206" s="31" t="s">
        <v>879</v>
      </c>
      <c r="D206" s="31" t="s">
        <v>880</v>
      </c>
      <c r="E206" s="31" t="s">
        <v>906</v>
      </c>
      <c r="F206" s="31" t="s">
        <v>31</v>
      </c>
      <c r="G206" s="31">
        <v>675</v>
      </c>
      <c r="H206" s="31">
        <v>10</v>
      </c>
      <c r="I206" s="31">
        <v>8</v>
      </c>
      <c r="J206" s="31" t="s">
        <v>907</v>
      </c>
      <c r="K206" s="31" t="s">
        <v>33</v>
      </c>
      <c r="L206" s="31" t="s">
        <v>34</v>
      </c>
      <c r="M206" s="31">
        <v>608</v>
      </c>
      <c r="N206" s="31">
        <v>2023</v>
      </c>
      <c r="O206" s="31">
        <v>460</v>
      </c>
      <c r="P206" s="31"/>
      <c r="Q206" s="31"/>
      <c r="R206" s="33" t="s">
        <v>908</v>
      </c>
      <c r="S206" s="34" t="str">
        <f>HYPERLINK("http://www.cnpol.ru/covers/20724.jpg","фото на сайте")</f>
        <v>фото на сайте</v>
      </c>
    </row>
    <row r="207" spans="1:19" ht="50.1" customHeight="1">
      <c r="A207" s="31"/>
      <c r="B207" s="32" t="s">
        <v>909</v>
      </c>
      <c r="C207" s="31" t="s">
        <v>879</v>
      </c>
      <c r="D207" s="31" t="s">
        <v>880</v>
      </c>
      <c r="E207" s="31" t="s">
        <v>910</v>
      </c>
      <c r="F207" s="31" t="s">
        <v>31</v>
      </c>
      <c r="G207" s="31">
        <v>275</v>
      </c>
      <c r="H207" s="31">
        <v>10</v>
      </c>
      <c r="I207" s="31">
        <v>11</v>
      </c>
      <c r="J207" s="31" t="s">
        <v>911</v>
      </c>
      <c r="K207" s="31" t="s">
        <v>130</v>
      </c>
      <c r="L207" s="31" t="s">
        <v>56</v>
      </c>
      <c r="M207" s="31">
        <v>288</v>
      </c>
      <c r="N207" s="31">
        <v>2022</v>
      </c>
      <c r="O207" s="31">
        <v>170</v>
      </c>
      <c r="P207" s="31"/>
      <c r="Q207" s="31"/>
      <c r="R207" s="33"/>
      <c r="S207" s="34" t="str">
        <f>HYPERLINK("http://www.cnpol.ru/covers/20291.jpg","фото на сайте")</f>
        <v>фото на сайте</v>
      </c>
    </row>
    <row r="208" spans="1:19" ht="50.1" customHeight="1">
      <c r="A208" s="31" t="s">
        <v>43</v>
      </c>
      <c r="B208" s="32" t="s">
        <v>912</v>
      </c>
      <c r="C208" s="31" t="s">
        <v>434</v>
      </c>
      <c r="D208" s="31" t="s">
        <v>913</v>
      </c>
      <c r="E208" s="31" t="s">
        <v>914</v>
      </c>
      <c r="F208" s="31" t="s">
        <v>31</v>
      </c>
      <c r="G208" s="35">
        <v>1125</v>
      </c>
      <c r="H208" s="31">
        <v>10</v>
      </c>
      <c r="I208" s="31">
        <v>10</v>
      </c>
      <c r="J208" s="31" t="s">
        <v>915</v>
      </c>
      <c r="K208" s="31" t="s">
        <v>33</v>
      </c>
      <c r="L208" s="31" t="s">
        <v>34</v>
      </c>
      <c r="M208" s="31">
        <v>445</v>
      </c>
      <c r="N208" s="31">
        <v>2024</v>
      </c>
      <c r="O208" s="31">
        <v>375</v>
      </c>
      <c r="P208" s="31"/>
      <c r="Q208" s="31"/>
      <c r="R208" s="33" t="s">
        <v>916</v>
      </c>
      <c r="S208" s="34" t="str">
        <f>HYPERLINK("http://www.cnpol.ru/covers/21266.jpg","фото на сайте")</f>
        <v>фото на сайте</v>
      </c>
    </row>
    <row r="209" spans="1:19" ht="50.1" customHeight="1">
      <c r="A209" s="31"/>
      <c r="B209" s="32" t="s">
        <v>917</v>
      </c>
      <c r="C209" s="31" t="s">
        <v>464</v>
      </c>
      <c r="D209" s="31" t="s">
        <v>918</v>
      </c>
      <c r="E209" s="31" t="s">
        <v>919</v>
      </c>
      <c r="F209" s="31" t="s">
        <v>31</v>
      </c>
      <c r="G209" s="31">
        <v>137</v>
      </c>
      <c r="H209" s="31">
        <v>10</v>
      </c>
      <c r="I209" s="31">
        <v>50</v>
      </c>
      <c r="J209" s="31" t="s">
        <v>920</v>
      </c>
      <c r="K209" s="31" t="s">
        <v>468</v>
      </c>
      <c r="L209" s="31" t="s">
        <v>56</v>
      </c>
      <c r="M209" s="31">
        <v>18</v>
      </c>
      <c r="N209" s="31">
        <v>2008</v>
      </c>
      <c r="O209" s="31">
        <v>76</v>
      </c>
      <c r="P209" s="31"/>
      <c r="Q209" s="31"/>
      <c r="R209" s="33"/>
      <c r="S209" s="34" t="str">
        <f>HYPERLINK("http://www.cnpol.ru/covers/7654.jpg","фото на сайте")</f>
        <v>фото на сайте</v>
      </c>
    </row>
    <row r="210" spans="1:19" ht="50.1" customHeight="1">
      <c r="A210" s="31" t="s">
        <v>35</v>
      </c>
      <c r="B210" s="32" t="s">
        <v>921</v>
      </c>
      <c r="C210" s="31" t="s">
        <v>45</v>
      </c>
      <c r="D210" s="31" t="s">
        <v>922</v>
      </c>
      <c r="E210" s="31" t="s">
        <v>923</v>
      </c>
      <c r="F210" s="31" t="s">
        <v>31</v>
      </c>
      <c r="G210" s="35">
        <v>1002</v>
      </c>
      <c r="H210" s="31">
        <v>10</v>
      </c>
      <c r="I210" s="31">
        <v>12</v>
      </c>
      <c r="J210" s="31" t="s">
        <v>924</v>
      </c>
      <c r="K210" s="31" t="s">
        <v>33</v>
      </c>
      <c r="L210" s="31" t="s">
        <v>34</v>
      </c>
      <c r="M210" s="31">
        <v>351</v>
      </c>
      <c r="N210" s="31">
        <v>2025</v>
      </c>
      <c r="O210" s="31">
        <v>393</v>
      </c>
      <c r="P210" s="31"/>
      <c r="Q210" s="31"/>
      <c r="R210" s="33" t="s">
        <v>925</v>
      </c>
      <c r="S210" s="34" t="str">
        <f>HYPERLINK("http://www.cnpol.ru/covers/21406.jpg","фото на сайте")</f>
        <v>фото на сайте</v>
      </c>
    </row>
    <row r="211" spans="1:19" ht="50.1" customHeight="1">
      <c r="A211" s="31"/>
      <c r="B211" s="32" t="s">
        <v>926</v>
      </c>
      <c r="C211" s="31" t="s">
        <v>408</v>
      </c>
      <c r="D211" s="31" t="s">
        <v>927</v>
      </c>
      <c r="E211" s="31" t="s">
        <v>928</v>
      </c>
      <c r="F211" s="31" t="s">
        <v>31</v>
      </c>
      <c r="G211" s="31">
        <v>640</v>
      </c>
      <c r="H211" s="31">
        <v>10</v>
      </c>
      <c r="I211" s="31">
        <v>14</v>
      </c>
      <c r="J211" s="31" t="s">
        <v>929</v>
      </c>
      <c r="K211" s="31" t="s">
        <v>33</v>
      </c>
      <c r="L211" s="31" t="s">
        <v>34</v>
      </c>
      <c r="M211" s="31">
        <v>224</v>
      </c>
      <c r="N211" s="31">
        <v>2021</v>
      </c>
      <c r="O211" s="31">
        <v>316</v>
      </c>
      <c r="P211" s="31"/>
      <c r="Q211" s="31"/>
      <c r="R211" s="33"/>
      <c r="S211" s="34" t="str">
        <f>HYPERLINK("http://www.cnpol.ru/covers/19459.jpg","фото на сайте")</f>
        <v>фото на сайте</v>
      </c>
    </row>
    <row r="212" spans="1:19" ht="50.1" customHeight="1">
      <c r="A212" s="31"/>
      <c r="B212" s="32" t="s">
        <v>930</v>
      </c>
      <c r="C212" s="31" t="s">
        <v>385</v>
      </c>
      <c r="D212" s="31" t="s">
        <v>386</v>
      </c>
      <c r="E212" s="31" t="s">
        <v>931</v>
      </c>
      <c r="F212" s="31" t="s">
        <v>31</v>
      </c>
      <c r="G212" s="31">
        <v>162</v>
      </c>
      <c r="H212" s="31">
        <v>10</v>
      </c>
      <c r="I212" s="31">
        <v>32</v>
      </c>
      <c r="J212" s="31" t="s">
        <v>932</v>
      </c>
      <c r="K212" s="31" t="s">
        <v>55</v>
      </c>
      <c r="L212" s="31" t="s">
        <v>56</v>
      </c>
      <c r="M212" s="31">
        <v>256</v>
      </c>
      <c r="N212" s="31">
        <v>2016</v>
      </c>
      <c r="O212" s="31">
        <v>110</v>
      </c>
      <c r="P212" s="31"/>
      <c r="Q212" s="31"/>
      <c r="R212" s="33"/>
      <c r="S212" s="34" t="str">
        <f>HYPERLINK("http://www.cnpol.ru/covers/16819.jpg","фото на сайте")</f>
        <v>фото на сайте</v>
      </c>
    </row>
    <row r="213" spans="1:19" ht="50.1" customHeight="1">
      <c r="A213" s="31" t="s">
        <v>43</v>
      </c>
      <c r="B213" s="32" t="s">
        <v>933</v>
      </c>
      <c r="C213" s="31" t="s">
        <v>143</v>
      </c>
      <c r="D213" s="31" t="s">
        <v>934</v>
      </c>
      <c r="E213" s="31" t="s">
        <v>935</v>
      </c>
      <c r="F213" s="31" t="s">
        <v>31</v>
      </c>
      <c r="G213" s="31">
        <v>640</v>
      </c>
      <c r="H213" s="31">
        <v>10</v>
      </c>
      <c r="I213" s="31">
        <v>8</v>
      </c>
      <c r="J213" s="31" t="s">
        <v>936</v>
      </c>
      <c r="K213" s="31" t="s">
        <v>33</v>
      </c>
      <c r="L213" s="31" t="s">
        <v>34</v>
      </c>
      <c r="M213" s="31">
        <v>575</v>
      </c>
      <c r="N213" s="31">
        <v>2025</v>
      </c>
      <c r="O213" s="31">
        <v>455</v>
      </c>
      <c r="P213" s="31"/>
      <c r="Q213" s="31"/>
      <c r="R213" s="33" t="s">
        <v>937</v>
      </c>
      <c r="S213" s="34" t="str">
        <f>HYPERLINK("http://www.cnpol.ru/covers/21509.jpg","фото на сайте")</f>
        <v>фото на сайте</v>
      </c>
    </row>
    <row r="214" spans="1:19" ht="50.1" customHeight="1">
      <c r="A214" s="31"/>
      <c r="B214" s="32" t="s">
        <v>938</v>
      </c>
      <c r="C214" s="31" t="s">
        <v>939</v>
      </c>
      <c r="D214" s="31" t="s">
        <v>940</v>
      </c>
      <c r="E214" s="31" t="s">
        <v>941</v>
      </c>
      <c r="F214" s="31" t="s">
        <v>31</v>
      </c>
      <c r="G214" s="31">
        <v>105</v>
      </c>
      <c r="H214" s="31">
        <v>10</v>
      </c>
      <c r="I214" s="31">
        <v>40</v>
      </c>
      <c r="J214" s="31" t="s">
        <v>942</v>
      </c>
      <c r="K214" s="31" t="s">
        <v>130</v>
      </c>
      <c r="L214" s="31" t="s">
        <v>56</v>
      </c>
      <c r="M214" s="31">
        <v>111</v>
      </c>
      <c r="N214" s="31">
        <v>2004</v>
      </c>
      <c r="O214" s="31">
        <v>72</v>
      </c>
      <c r="P214" s="31"/>
      <c r="Q214" s="31"/>
      <c r="R214" s="33"/>
      <c r="S214" s="34" t="str">
        <f>HYPERLINK("http://www.cnpol.ru/covers/4658.jpg","фото на сайте")</f>
        <v>фото на сайте</v>
      </c>
    </row>
    <row r="215" spans="1:19" ht="50.1" customHeight="1">
      <c r="A215" s="31"/>
      <c r="B215" s="32" t="s">
        <v>943</v>
      </c>
      <c r="C215" s="31" t="s">
        <v>400</v>
      </c>
      <c r="D215" s="31" t="s">
        <v>944</v>
      </c>
      <c r="E215" s="31" t="s">
        <v>945</v>
      </c>
      <c r="F215" s="31" t="s">
        <v>31</v>
      </c>
      <c r="G215" s="31">
        <v>503</v>
      </c>
      <c r="H215" s="31">
        <v>10</v>
      </c>
      <c r="I215" s="31">
        <v>12</v>
      </c>
      <c r="J215" s="31" t="s">
        <v>946</v>
      </c>
      <c r="K215" s="31" t="s">
        <v>33</v>
      </c>
      <c r="L215" s="31" t="s">
        <v>34</v>
      </c>
      <c r="M215" s="31">
        <v>382</v>
      </c>
      <c r="N215" s="31">
        <v>2013</v>
      </c>
      <c r="O215" s="31">
        <v>318</v>
      </c>
      <c r="P215" s="31"/>
      <c r="Q215" s="31"/>
      <c r="R215" s="33"/>
      <c r="S215" s="34" t="str">
        <f>HYPERLINK("http://www.cnpol.ru/covers/14506.jpg","фото на сайте")</f>
        <v>фото на сайте</v>
      </c>
    </row>
    <row r="216" spans="1:19" ht="50.1" customHeight="1">
      <c r="A216" s="31"/>
      <c r="B216" s="32" t="s">
        <v>947</v>
      </c>
      <c r="C216" s="31" t="s">
        <v>948</v>
      </c>
      <c r="D216" s="31" t="s">
        <v>949</v>
      </c>
      <c r="E216" s="31" t="s">
        <v>950</v>
      </c>
      <c r="F216" s="31" t="s">
        <v>31</v>
      </c>
      <c r="G216" s="31">
        <v>370</v>
      </c>
      <c r="H216" s="31">
        <v>10</v>
      </c>
      <c r="I216" s="31">
        <v>14</v>
      </c>
      <c r="J216" s="31" t="s">
        <v>951</v>
      </c>
      <c r="K216" s="31" t="s">
        <v>33</v>
      </c>
      <c r="L216" s="31" t="s">
        <v>34</v>
      </c>
      <c r="M216" s="31">
        <v>270</v>
      </c>
      <c r="N216" s="31">
        <v>2008</v>
      </c>
      <c r="O216" s="31">
        <v>284</v>
      </c>
      <c r="P216" s="31"/>
      <c r="Q216" s="31"/>
      <c r="R216" s="33"/>
      <c r="S216" s="34" t="str">
        <f>HYPERLINK("http://www.cnpol.ru/covers/6489.jpg","фото на сайте")</f>
        <v>фото на сайте</v>
      </c>
    </row>
    <row r="217" spans="1:19" ht="50.1" customHeight="1">
      <c r="A217" s="31"/>
      <c r="B217" s="32" t="s">
        <v>952</v>
      </c>
      <c r="C217" s="31" t="s">
        <v>953</v>
      </c>
      <c r="D217" s="31" t="s">
        <v>949</v>
      </c>
      <c r="E217" s="31" t="s">
        <v>950</v>
      </c>
      <c r="F217" s="31" t="s">
        <v>31</v>
      </c>
      <c r="G217" s="31">
        <v>154</v>
      </c>
      <c r="H217" s="31">
        <v>10</v>
      </c>
      <c r="I217" s="31">
        <v>14</v>
      </c>
      <c r="J217" s="31" t="s">
        <v>954</v>
      </c>
      <c r="K217" s="31" t="s">
        <v>55</v>
      </c>
      <c r="L217" s="31" t="s">
        <v>56</v>
      </c>
      <c r="M217" s="31">
        <v>379</v>
      </c>
      <c r="N217" s="31">
        <v>2008</v>
      </c>
      <c r="O217" s="31">
        <v>162</v>
      </c>
      <c r="P217" s="31"/>
      <c r="Q217" s="31"/>
      <c r="R217" s="33"/>
      <c r="S217" s="34" t="str">
        <f>HYPERLINK("http://www.cnpol.ru/covers/10829.jpg","фото на сайте")</f>
        <v>фото на сайте</v>
      </c>
    </row>
    <row r="218" spans="1:19" ht="50.1" customHeight="1">
      <c r="A218" s="31"/>
      <c r="B218" s="32" t="s">
        <v>955</v>
      </c>
      <c r="C218" s="31" t="s">
        <v>956</v>
      </c>
      <c r="D218" s="31" t="s">
        <v>957</v>
      </c>
      <c r="E218" s="31" t="s">
        <v>958</v>
      </c>
      <c r="F218" s="31" t="s">
        <v>31</v>
      </c>
      <c r="G218" s="31">
        <v>503</v>
      </c>
      <c r="H218" s="31">
        <v>10</v>
      </c>
      <c r="I218" s="31">
        <v>12</v>
      </c>
      <c r="J218" s="31" t="s">
        <v>959</v>
      </c>
      <c r="K218" s="31" t="s">
        <v>33</v>
      </c>
      <c r="L218" s="31" t="s">
        <v>34</v>
      </c>
      <c r="M218" s="31">
        <v>350</v>
      </c>
      <c r="N218" s="31">
        <v>2011</v>
      </c>
      <c r="O218" s="31">
        <v>360</v>
      </c>
      <c r="P218" s="31"/>
      <c r="Q218" s="31"/>
      <c r="R218" s="33"/>
      <c r="S218" s="34" t="str">
        <f>HYPERLINK("http://www.cnpol.ru/covers/12585.jpg","фото на сайте")</f>
        <v>фото на сайте</v>
      </c>
    </row>
    <row r="219" spans="1:19" ht="50.1" customHeight="1">
      <c r="A219" s="31"/>
      <c r="B219" s="32" t="s">
        <v>960</v>
      </c>
      <c r="C219" s="31" t="s">
        <v>390</v>
      </c>
      <c r="D219" s="31" t="s">
        <v>961</v>
      </c>
      <c r="E219" s="31" t="s">
        <v>962</v>
      </c>
      <c r="F219" s="31">
        <v>374</v>
      </c>
      <c r="G219" s="31">
        <v>86</v>
      </c>
      <c r="H219" s="31">
        <v>10</v>
      </c>
      <c r="I219" s="31">
        <v>30</v>
      </c>
      <c r="J219" s="31" t="s">
        <v>963</v>
      </c>
      <c r="K219" s="31" t="s">
        <v>123</v>
      </c>
      <c r="L219" s="31" t="s">
        <v>56</v>
      </c>
      <c r="M219" s="31">
        <v>158</v>
      </c>
      <c r="N219" s="31">
        <v>2014</v>
      </c>
      <c r="O219" s="31">
        <v>80</v>
      </c>
      <c r="P219" s="31"/>
      <c r="Q219" s="31"/>
      <c r="R219" s="33"/>
      <c r="S219" s="34" t="str">
        <f>HYPERLINK("http://www.cnpol.ru/covers/14806.jpg","фото на сайте")</f>
        <v>фото на сайте</v>
      </c>
    </row>
    <row r="220" spans="1:19" ht="50.1" customHeight="1">
      <c r="A220" s="31"/>
      <c r="B220" s="32" t="s">
        <v>964</v>
      </c>
      <c r="C220" s="31" t="s">
        <v>385</v>
      </c>
      <c r="D220" s="31" t="s">
        <v>386</v>
      </c>
      <c r="E220" s="31" t="s">
        <v>965</v>
      </c>
      <c r="F220" s="31" t="s">
        <v>31</v>
      </c>
      <c r="G220" s="31">
        <v>162</v>
      </c>
      <c r="H220" s="31">
        <v>10</v>
      </c>
      <c r="I220" s="31">
        <v>32</v>
      </c>
      <c r="J220" s="31" t="s">
        <v>966</v>
      </c>
      <c r="K220" s="31" t="s">
        <v>55</v>
      </c>
      <c r="L220" s="31" t="s">
        <v>56</v>
      </c>
      <c r="M220" s="31">
        <v>256</v>
      </c>
      <c r="N220" s="31">
        <v>2016</v>
      </c>
      <c r="O220" s="31">
        <v>108</v>
      </c>
      <c r="P220" s="31"/>
      <c r="Q220" s="31"/>
      <c r="R220" s="33"/>
      <c r="S220" s="34" t="str">
        <f>HYPERLINK("http://www.cnpol.ru/covers/0112.jpg","фото на сайте")</f>
        <v>фото на сайте</v>
      </c>
    </row>
    <row r="221" spans="1:19" ht="50.1" customHeight="1">
      <c r="A221" s="31"/>
      <c r="B221" s="32" t="s">
        <v>967</v>
      </c>
      <c r="C221" s="31" t="s">
        <v>968</v>
      </c>
      <c r="D221" s="31" t="s">
        <v>969</v>
      </c>
      <c r="E221" s="31" t="s">
        <v>970</v>
      </c>
      <c r="F221" s="31" t="s">
        <v>31</v>
      </c>
      <c r="G221" s="31">
        <v>178</v>
      </c>
      <c r="H221" s="31">
        <v>10</v>
      </c>
      <c r="I221" s="31">
        <v>24</v>
      </c>
      <c r="J221" s="31" t="s">
        <v>971</v>
      </c>
      <c r="K221" s="31" t="s">
        <v>123</v>
      </c>
      <c r="L221" s="31" t="s">
        <v>56</v>
      </c>
      <c r="M221" s="31">
        <v>286</v>
      </c>
      <c r="N221" s="31">
        <v>2014</v>
      </c>
      <c r="O221" s="31">
        <v>132</v>
      </c>
      <c r="P221" s="31"/>
      <c r="Q221" s="31"/>
      <c r="R221" s="33"/>
      <c r="S221" s="34" t="str">
        <f>HYPERLINK("http://www.cnpol.ru/covers/15343.jpg","фото на сайте")</f>
        <v>фото на сайте</v>
      </c>
    </row>
    <row r="222" spans="1:19" ht="50.1" customHeight="1">
      <c r="A222" s="31"/>
      <c r="B222" s="32" t="s">
        <v>972</v>
      </c>
      <c r="C222" s="31" t="s">
        <v>956</v>
      </c>
      <c r="D222" s="31" t="s">
        <v>969</v>
      </c>
      <c r="E222" s="31" t="s">
        <v>970</v>
      </c>
      <c r="F222" s="31" t="s">
        <v>31</v>
      </c>
      <c r="G222" s="31">
        <v>503</v>
      </c>
      <c r="H222" s="31">
        <v>10</v>
      </c>
      <c r="I222" s="31">
        <v>12</v>
      </c>
      <c r="J222" s="31" t="s">
        <v>973</v>
      </c>
      <c r="K222" s="31" t="s">
        <v>33</v>
      </c>
      <c r="L222" s="31" t="s">
        <v>34</v>
      </c>
      <c r="M222" s="31">
        <v>318</v>
      </c>
      <c r="N222" s="31">
        <v>2010</v>
      </c>
      <c r="O222" s="31">
        <v>346</v>
      </c>
      <c r="P222" s="31"/>
      <c r="Q222" s="31"/>
      <c r="R222" s="33"/>
      <c r="S222" s="34" t="str">
        <f>HYPERLINK("http://www.cnpol.ru/covers/12358.jpg","фото на сайте")</f>
        <v>фото на сайте</v>
      </c>
    </row>
    <row r="223" spans="1:19" ht="50.1" customHeight="1">
      <c r="A223" s="31"/>
      <c r="B223" s="32" t="s">
        <v>974</v>
      </c>
      <c r="C223" s="31" t="s">
        <v>975</v>
      </c>
      <c r="D223" s="31" t="s">
        <v>976</v>
      </c>
      <c r="E223" s="31" t="s">
        <v>977</v>
      </c>
      <c r="F223" s="31" t="s">
        <v>31</v>
      </c>
      <c r="G223" s="31">
        <v>154</v>
      </c>
      <c r="H223" s="31">
        <v>10</v>
      </c>
      <c r="I223" s="31">
        <v>20</v>
      </c>
      <c r="J223" s="31" t="s">
        <v>978</v>
      </c>
      <c r="K223" s="31" t="s">
        <v>55</v>
      </c>
      <c r="L223" s="31" t="s">
        <v>56</v>
      </c>
      <c r="M223" s="31">
        <v>286</v>
      </c>
      <c r="N223" s="31">
        <v>2009</v>
      </c>
      <c r="O223" s="31">
        <v>120</v>
      </c>
      <c r="P223" s="31"/>
      <c r="Q223" s="31"/>
      <c r="R223" s="33"/>
      <c r="S223" s="34" t="str">
        <f>HYPERLINK("http://www.cnpol.ru/covers/11510.jpg","фото на сайте")</f>
        <v>фото на сайте</v>
      </c>
    </row>
    <row r="224" spans="1:19" ht="50.1" customHeight="1">
      <c r="A224" s="31" t="s">
        <v>43</v>
      </c>
      <c r="B224" s="32" t="s">
        <v>979</v>
      </c>
      <c r="C224" s="31" t="s">
        <v>143</v>
      </c>
      <c r="D224" s="31" t="s">
        <v>980</v>
      </c>
      <c r="E224" s="31" t="s">
        <v>981</v>
      </c>
      <c r="F224" s="31" t="s">
        <v>31</v>
      </c>
      <c r="G224" s="35">
        <v>1149</v>
      </c>
      <c r="H224" s="31">
        <v>10</v>
      </c>
      <c r="I224" s="31">
        <v>8</v>
      </c>
      <c r="J224" s="31" t="s">
        <v>982</v>
      </c>
      <c r="K224" s="31" t="s">
        <v>33</v>
      </c>
      <c r="L224" s="31" t="s">
        <v>34</v>
      </c>
      <c r="M224" s="31">
        <v>447</v>
      </c>
      <c r="N224" s="31">
        <v>2025</v>
      </c>
      <c r="O224" s="31" t="s">
        <v>220</v>
      </c>
      <c r="P224" s="31"/>
      <c r="Q224" s="31"/>
      <c r="R224" s="33" t="s">
        <v>983</v>
      </c>
      <c r="S224" s="34" t="str">
        <f>HYPERLINK("http://www.cnpol.ru/covers/21391.jpg","фото на сайте")</f>
        <v>фото на сайте</v>
      </c>
    </row>
    <row r="225" spans="1:19" ht="50.1" customHeight="1">
      <c r="A225" s="31"/>
      <c r="B225" s="32" t="s">
        <v>984</v>
      </c>
      <c r="C225" s="31" t="s">
        <v>400</v>
      </c>
      <c r="D225" s="31" t="s">
        <v>985</v>
      </c>
      <c r="E225" s="31" t="s">
        <v>986</v>
      </c>
      <c r="F225" s="31" t="s">
        <v>31</v>
      </c>
      <c r="G225" s="31">
        <v>503</v>
      </c>
      <c r="H225" s="31">
        <v>10</v>
      </c>
      <c r="I225" s="31">
        <v>10</v>
      </c>
      <c r="J225" s="31" t="s">
        <v>987</v>
      </c>
      <c r="K225" s="31" t="s">
        <v>33</v>
      </c>
      <c r="L225" s="31" t="s">
        <v>34</v>
      </c>
      <c r="M225" s="31">
        <v>415</v>
      </c>
      <c r="N225" s="31">
        <v>2021</v>
      </c>
      <c r="O225" s="31">
        <v>330</v>
      </c>
      <c r="P225" s="31"/>
      <c r="Q225" s="31"/>
      <c r="R225" s="33"/>
      <c r="S225" s="34" t="str">
        <f>HYPERLINK("http://www.cnpol.ru/covers/19896.jpg","фото на сайте")</f>
        <v>фото на сайте</v>
      </c>
    </row>
    <row r="226" spans="1:19" ht="50.1" customHeight="1">
      <c r="A226" s="31"/>
      <c r="B226" s="32" t="s">
        <v>988</v>
      </c>
      <c r="C226" s="31" t="s">
        <v>390</v>
      </c>
      <c r="D226" s="31" t="s">
        <v>989</v>
      </c>
      <c r="E226" s="31" t="s">
        <v>990</v>
      </c>
      <c r="F226" s="31">
        <v>1014</v>
      </c>
      <c r="G226" s="31">
        <v>86</v>
      </c>
      <c r="H226" s="31">
        <v>10</v>
      </c>
      <c r="I226" s="31">
        <v>30</v>
      </c>
      <c r="J226" s="31" t="s">
        <v>991</v>
      </c>
      <c r="K226" s="31" t="s">
        <v>123</v>
      </c>
      <c r="L226" s="31" t="s">
        <v>56</v>
      </c>
      <c r="M226" s="31">
        <v>160</v>
      </c>
      <c r="N226" s="31">
        <v>2021</v>
      </c>
      <c r="O226" s="31">
        <v>76</v>
      </c>
      <c r="P226" s="31"/>
      <c r="Q226" s="31"/>
      <c r="R226" s="33"/>
      <c r="S226" s="34" t="str">
        <f>HYPERLINK("http://www.cnpol.ru/covers/19499.jpg","фото на сайте")</f>
        <v>фото на сайте</v>
      </c>
    </row>
    <row r="227" spans="1:19" ht="50.1" customHeight="1">
      <c r="A227" s="31"/>
      <c r="B227" s="32" t="s">
        <v>992</v>
      </c>
      <c r="C227" s="31" t="s">
        <v>993</v>
      </c>
      <c r="D227" s="31" t="s">
        <v>994</v>
      </c>
      <c r="E227" s="31" t="s">
        <v>995</v>
      </c>
      <c r="F227" s="31" t="s">
        <v>31</v>
      </c>
      <c r="G227" s="31">
        <v>56</v>
      </c>
      <c r="H227" s="31">
        <v>10</v>
      </c>
      <c r="I227" s="31">
        <v>40</v>
      </c>
      <c r="J227" s="31" t="s">
        <v>996</v>
      </c>
      <c r="K227" s="31" t="s">
        <v>123</v>
      </c>
      <c r="L227" s="31" t="s">
        <v>56</v>
      </c>
      <c r="M227" s="31">
        <v>127</v>
      </c>
      <c r="N227" s="31">
        <v>2008</v>
      </c>
      <c r="O227" s="31">
        <v>60</v>
      </c>
      <c r="P227" s="31"/>
      <c r="Q227" s="31"/>
      <c r="R227" s="33"/>
      <c r="S227" s="34" t="str">
        <f>HYPERLINK("http://www.cnpol.ru/covers/10132.jpg","фото на сайте")</f>
        <v>фото на сайте</v>
      </c>
    </row>
    <row r="228" spans="1:19" ht="50.1" customHeight="1">
      <c r="A228" s="31"/>
      <c r="B228" s="32" t="s">
        <v>997</v>
      </c>
      <c r="C228" s="31" t="s">
        <v>998</v>
      </c>
      <c r="D228" s="31" t="s">
        <v>999</v>
      </c>
      <c r="E228" s="31" t="s">
        <v>1000</v>
      </c>
      <c r="F228" s="31" t="s">
        <v>31</v>
      </c>
      <c r="G228" s="31">
        <v>389</v>
      </c>
      <c r="H228" s="31">
        <v>10</v>
      </c>
      <c r="I228" s="31">
        <v>24</v>
      </c>
      <c r="J228" s="31" t="s">
        <v>1001</v>
      </c>
      <c r="K228" s="31" t="s">
        <v>33</v>
      </c>
      <c r="L228" s="31" t="s">
        <v>34</v>
      </c>
      <c r="M228" s="31">
        <v>190</v>
      </c>
      <c r="N228" s="31">
        <v>2008</v>
      </c>
      <c r="O228" s="31">
        <v>202</v>
      </c>
      <c r="P228" s="31"/>
      <c r="Q228" s="31"/>
      <c r="R228" s="33"/>
      <c r="S228" s="34" t="str">
        <f>HYPERLINK("http://www.cnpol.ru/covers/10685.jpg","фото на сайте")</f>
        <v>фото на сайте</v>
      </c>
    </row>
    <row r="229" spans="1:19" ht="50.1" customHeight="1">
      <c r="A229" s="31"/>
      <c r="B229" s="32" t="s">
        <v>1002</v>
      </c>
      <c r="C229" s="31" t="s">
        <v>1003</v>
      </c>
      <c r="D229" s="31" t="s">
        <v>1004</v>
      </c>
      <c r="E229" s="31" t="s">
        <v>1005</v>
      </c>
      <c r="F229" s="31" t="s">
        <v>31</v>
      </c>
      <c r="G229" s="31">
        <v>122</v>
      </c>
      <c r="H229" s="31">
        <v>10</v>
      </c>
      <c r="I229" s="31">
        <v>30</v>
      </c>
      <c r="J229" s="31" t="s">
        <v>1006</v>
      </c>
      <c r="K229" s="31" t="s">
        <v>123</v>
      </c>
      <c r="L229" s="31" t="s">
        <v>56</v>
      </c>
      <c r="M229" s="31">
        <v>127</v>
      </c>
      <c r="N229" s="31">
        <v>2022</v>
      </c>
      <c r="O229" s="31">
        <v>86</v>
      </c>
      <c r="P229" s="31"/>
      <c r="Q229" s="31"/>
      <c r="R229" s="33"/>
      <c r="S229" s="34" t="str">
        <f>HYPERLINK("http://www.cnpol.ru/covers/20299.jpg","фото на сайте")</f>
        <v>фото на сайте</v>
      </c>
    </row>
    <row r="230" spans="1:19" ht="50.1" customHeight="1">
      <c r="A230" s="31"/>
      <c r="B230" s="32" t="s">
        <v>1007</v>
      </c>
      <c r="C230" s="31" t="s">
        <v>400</v>
      </c>
      <c r="D230" s="31" t="s">
        <v>1008</v>
      </c>
      <c r="E230" s="31" t="s">
        <v>1009</v>
      </c>
      <c r="F230" s="31" t="s">
        <v>31</v>
      </c>
      <c r="G230" s="31">
        <v>503</v>
      </c>
      <c r="H230" s="31">
        <v>10</v>
      </c>
      <c r="I230" s="31">
        <v>18</v>
      </c>
      <c r="J230" s="31" t="s">
        <v>1010</v>
      </c>
      <c r="K230" s="31" t="s">
        <v>33</v>
      </c>
      <c r="L230" s="31" t="s">
        <v>34</v>
      </c>
      <c r="M230" s="31">
        <v>320</v>
      </c>
      <c r="N230" s="31">
        <v>2011</v>
      </c>
      <c r="O230" s="31">
        <v>284</v>
      </c>
      <c r="P230" s="31"/>
      <c r="Q230" s="31"/>
      <c r="R230" s="33"/>
      <c r="S230" s="34" t="str">
        <f>HYPERLINK("http://www.cnpol.ru/covers/12919.jpg","фото на сайте")</f>
        <v>фото на сайте</v>
      </c>
    </row>
    <row r="231" spans="1:19" ht="50.1" customHeight="1">
      <c r="A231" s="31"/>
      <c r="B231" s="32" t="s">
        <v>1011</v>
      </c>
      <c r="C231" s="31" t="s">
        <v>171</v>
      </c>
      <c r="D231" s="31" t="s">
        <v>172</v>
      </c>
      <c r="E231" s="31" t="s">
        <v>1012</v>
      </c>
      <c r="F231" s="31" t="s">
        <v>31</v>
      </c>
      <c r="G231" s="35">
        <v>1772</v>
      </c>
      <c r="H231" s="31">
        <v>10</v>
      </c>
      <c r="I231" s="31">
        <v>5</v>
      </c>
      <c r="J231" s="31" t="s">
        <v>1013</v>
      </c>
      <c r="K231" s="31" t="s">
        <v>41</v>
      </c>
      <c r="L231" s="31" t="s">
        <v>34</v>
      </c>
      <c r="M231" s="31">
        <v>687</v>
      </c>
      <c r="N231" s="31">
        <v>2023</v>
      </c>
      <c r="O231" s="31">
        <v>795</v>
      </c>
      <c r="P231" s="31"/>
      <c r="Q231" s="31"/>
      <c r="R231" s="33" t="s">
        <v>1014</v>
      </c>
      <c r="S231" s="34" t="str">
        <f>HYPERLINK("http://www.cnpol.ru/covers/20808.jpg","фото на сайте")</f>
        <v>фото на сайте</v>
      </c>
    </row>
    <row r="232" spans="1:19" ht="50.1" customHeight="1">
      <c r="A232" s="31" t="s">
        <v>43</v>
      </c>
      <c r="B232" s="32" t="s">
        <v>1015</v>
      </c>
      <c r="C232" s="31" t="s">
        <v>1016</v>
      </c>
      <c r="D232" s="31" t="s">
        <v>1017</v>
      </c>
      <c r="E232" s="31" t="s">
        <v>1018</v>
      </c>
      <c r="F232" s="31" t="s">
        <v>31</v>
      </c>
      <c r="G232" s="35">
        <v>1198</v>
      </c>
      <c r="H232" s="31">
        <v>10</v>
      </c>
      <c r="I232" s="31">
        <v>8</v>
      </c>
      <c r="J232" s="31" t="s">
        <v>1019</v>
      </c>
      <c r="K232" s="31" t="s">
        <v>33</v>
      </c>
      <c r="L232" s="31" t="s">
        <v>34</v>
      </c>
      <c r="M232" s="31">
        <v>511</v>
      </c>
      <c r="N232" s="31">
        <v>2024</v>
      </c>
      <c r="O232" s="31">
        <v>481</v>
      </c>
      <c r="P232" s="31"/>
      <c r="Q232" s="31"/>
      <c r="R232" s="33" t="s">
        <v>1020</v>
      </c>
      <c r="S232" s="34" t="str">
        <f>HYPERLINK("http://www.cnpol.ru/covers/21342.jpg","фото на сайте")</f>
        <v>фото на сайте</v>
      </c>
    </row>
    <row r="233" spans="1:19" ht="50.1" customHeight="1">
      <c r="A233" s="31" t="s">
        <v>35</v>
      </c>
      <c r="B233" s="32" t="s">
        <v>1021</v>
      </c>
      <c r="C233" s="31" t="s">
        <v>1022</v>
      </c>
      <c r="D233" s="31" t="s">
        <v>1023</v>
      </c>
      <c r="E233" s="31" t="s">
        <v>1024</v>
      </c>
      <c r="F233" s="31" t="s">
        <v>31</v>
      </c>
      <c r="G233" s="35">
        <v>1235</v>
      </c>
      <c r="H233" s="31">
        <v>10</v>
      </c>
      <c r="I233" s="31">
        <v>8</v>
      </c>
      <c r="J233" s="31" t="s">
        <v>1025</v>
      </c>
      <c r="K233" s="31" t="s">
        <v>33</v>
      </c>
      <c r="L233" s="31" t="s">
        <v>34</v>
      </c>
      <c r="M233" s="31">
        <v>512</v>
      </c>
      <c r="N233" s="31">
        <v>2024</v>
      </c>
      <c r="O233" s="31">
        <v>533</v>
      </c>
      <c r="P233" s="31"/>
      <c r="Q233" s="31"/>
      <c r="R233" s="33" t="s">
        <v>1026</v>
      </c>
      <c r="S233" s="34" t="str">
        <f>HYPERLINK("http://www.cnpol.ru/covers/21223.jpg","фото на сайте")</f>
        <v>фото на сайте</v>
      </c>
    </row>
    <row r="234" spans="1:19" ht="50.1" customHeight="1">
      <c r="A234" s="31" t="s">
        <v>43</v>
      </c>
      <c r="B234" s="32" t="s">
        <v>1027</v>
      </c>
      <c r="C234" s="31" t="s">
        <v>171</v>
      </c>
      <c r="D234" s="31" t="s">
        <v>172</v>
      </c>
      <c r="E234" s="31" t="s">
        <v>1028</v>
      </c>
      <c r="F234" s="31" t="s">
        <v>31</v>
      </c>
      <c r="G234" s="35">
        <v>1429</v>
      </c>
      <c r="H234" s="31">
        <v>10</v>
      </c>
      <c r="I234" s="31">
        <v>6</v>
      </c>
      <c r="J234" s="31" t="s">
        <v>1029</v>
      </c>
      <c r="K234" s="31" t="s">
        <v>41</v>
      </c>
      <c r="L234" s="31" t="s">
        <v>34</v>
      </c>
      <c r="M234" s="31">
        <v>431</v>
      </c>
      <c r="N234" s="31">
        <v>2024</v>
      </c>
      <c r="O234" s="31">
        <v>549</v>
      </c>
      <c r="P234" s="31"/>
      <c r="Q234" s="31"/>
      <c r="R234" s="33" t="s">
        <v>1030</v>
      </c>
      <c r="S234" s="34" t="str">
        <f>HYPERLINK("http://www.cnpol.ru/covers/21199.jpg","фото на сайте")</f>
        <v>фото на сайте</v>
      </c>
    </row>
    <row r="235" spans="1:19" ht="50.1" customHeight="1">
      <c r="A235" s="31"/>
      <c r="B235" s="32" t="s">
        <v>1031</v>
      </c>
      <c r="C235" s="31" t="s">
        <v>576</v>
      </c>
      <c r="D235" s="31" t="s">
        <v>577</v>
      </c>
      <c r="E235" s="31" t="s">
        <v>1032</v>
      </c>
      <c r="F235" s="31" t="s">
        <v>31</v>
      </c>
      <c r="G235" s="31">
        <v>226</v>
      </c>
      <c r="H235" s="31">
        <v>10</v>
      </c>
      <c r="I235" s="31">
        <v>20</v>
      </c>
      <c r="J235" s="31" t="s">
        <v>1033</v>
      </c>
      <c r="K235" s="31" t="s">
        <v>123</v>
      </c>
      <c r="L235" s="31" t="s">
        <v>56</v>
      </c>
      <c r="M235" s="31">
        <v>320</v>
      </c>
      <c r="N235" s="31">
        <v>2018</v>
      </c>
      <c r="O235" s="31">
        <v>148</v>
      </c>
      <c r="P235" s="31"/>
      <c r="Q235" s="31"/>
      <c r="R235" s="33"/>
      <c r="S235" s="34" t="str">
        <f>HYPERLINK("http://www.cnpol.ru/covers/18257.jpg","фото на сайте")</f>
        <v>фото на сайте</v>
      </c>
    </row>
    <row r="236" spans="1:19" ht="50.1" customHeight="1">
      <c r="A236" s="31"/>
      <c r="B236" s="32" t="s">
        <v>1034</v>
      </c>
      <c r="C236" s="31" t="s">
        <v>1035</v>
      </c>
      <c r="D236" s="31" t="s">
        <v>1036</v>
      </c>
      <c r="E236" s="31" t="s">
        <v>1037</v>
      </c>
      <c r="F236" s="31" t="s">
        <v>31</v>
      </c>
      <c r="G236" s="31">
        <v>461</v>
      </c>
      <c r="H236" s="31">
        <v>20</v>
      </c>
      <c r="I236" s="31">
        <v>12</v>
      </c>
      <c r="J236" s="31" t="s">
        <v>1038</v>
      </c>
      <c r="K236" s="31" t="s">
        <v>33</v>
      </c>
      <c r="L236" s="31" t="s">
        <v>34</v>
      </c>
      <c r="M236" s="31">
        <v>384</v>
      </c>
      <c r="N236" s="31">
        <v>2013</v>
      </c>
      <c r="O236" s="31">
        <v>310</v>
      </c>
      <c r="P236" s="31"/>
      <c r="Q236" s="31"/>
      <c r="R236" s="33" t="s">
        <v>1039</v>
      </c>
      <c r="S236" s="34" t="str">
        <f>HYPERLINK("http://www.cnpol.ru/covers/14044.jpg","фото на сайте")</f>
        <v>фото на сайте</v>
      </c>
    </row>
    <row r="237" spans="1:19" ht="50.1" customHeight="1">
      <c r="A237" s="31"/>
      <c r="B237" s="32" t="s">
        <v>1040</v>
      </c>
      <c r="C237" s="31" t="s">
        <v>143</v>
      </c>
      <c r="D237" s="31" t="s">
        <v>1041</v>
      </c>
      <c r="E237" s="31" t="s">
        <v>1042</v>
      </c>
      <c r="F237" s="31" t="s">
        <v>31</v>
      </c>
      <c r="G237" s="31">
        <v>977</v>
      </c>
      <c r="H237" s="31">
        <v>10</v>
      </c>
      <c r="I237" s="31">
        <v>10</v>
      </c>
      <c r="J237" s="31" t="s">
        <v>1043</v>
      </c>
      <c r="K237" s="31" t="s">
        <v>33</v>
      </c>
      <c r="L237" s="31" t="s">
        <v>34</v>
      </c>
      <c r="M237" s="31">
        <v>415</v>
      </c>
      <c r="N237" s="31">
        <v>2023</v>
      </c>
      <c r="O237" s="31">
        <v>455</v>
      </c>
      <c r="P237" s="31"/>
      <c r="Q237" s="31"/>
      <c r="R237" s="33" t="s">
        <v>1044</v>
      </c>
      <c r="S237" s="34" t="str">
        <f>HYPERLINK("http://www.cnpol.ru/covers/20857.jpg","фото на сайте")</f>
        <v>фото на сайте</v>
      </c>
    </row>
    <row r="238" spans="1:19" ht="50.1" customHeight="1">
      <c r="A238" s="31"/>
      <c r="B238" s="32" t="s">
        <v>1045</v>
      </c>
      <c r="C238" s="31" t="s">
        <v>143</v>
      </c>
      <c r="D238" s="31" t="s">
        <v>1041</v>
      </c>
      <c r="E238" s="31" t="s">
        <v>1046</v>
      </c>
      <c r="F238" s="31" t="s">
        <v>31</v>
      </c>
      <c r="G238" s="31">
        <v>765</v>
      </c>
      <c r="H238" s="31">
        <v>10</v>
      </c>
      <c r="I238" s="31">
        <v>12</v>
      </c>
      <c r="J238" s="31" t="s">
        <v>1047</v>
      </c>
      <c r="K238" s="31" t="s">
        <v>33</v>
      </c>
      <c r="L238" s="31" t="s">
        <v>34</v>
      </c>
      <c r="M238" s="31">
        <v>287</v>
      </c>
      <c r="N238" s="31">
        <v>2023</v>
      </c>
      <c r="O238" s="31">
        <v>346</v>
      </c>
      <c r="P238" s="31"/>
      <c r="Q238" s="31"/>
      <c r="R238" s="33" t="s">
        <v>1048</v>
      </c>
      <c r="S238" s="34" t="str">
        <f>HYPERLINK("http://www.cnpol.ru/covers/20858.jpg","фото на сайте")</f>
        <v>фото на сайте</v>
      </c>
    </row>
    <row r="239" spans="1:19" ht="50.1" customHeight="1">
      <c r="A239" s="31"/>
      <c r="B239" s="32" t="s">
        <v>1049</v>
      </c>
      <c r="C239" s="31" t="s">
        <v>1050</v>
      </c>
      <c r="D239" s="31" t="s">
        <v>1051</v>
      </c>
      <c r="E239" s="31" t="s">
        <v>1052</v>
      </c>
      <c r="F239" s="31" t="s">
        <v>31</v>
      </c>
      <c r="G239" s="31">
        <v>386</v>
      </c>
      <c r="H239" s="31">
        <v>10</v>
      </c>
      <c r="I239" s="31">
        <v>18</v>
      </c>
      <c r="J239" s="31" t="s">
        <v>1053</v>
      </c>
      <c r="K239" s="31" t="s">
        <v>130</v>
      </c>
      <c r="L239" s="31" t="s">
        <v>210</v>
      </c>
      <c r="M239" s="31">
        <v>224</v>
      </c>
      <c r="N239" s="31">
        <v>2019</v>
      </c>
      <c r="O239" s="31">
        <v>198</v>
      </c>
      <c r="P239" s="31"/>
      <c r="Q239" s="31"/>
      <c r="R239" s="33"/>
      <c r="S239" s="34" t="str">
        <f>HYPERLINK("http://www.cnpol.ru/covers/18899.jpg","фото на сайте")</f>
        <v>фото на сайте</v>
      </c>
    </row>
    <row r="240" spans="1:19" ht="50.1" customHeight="1">
      <c r="A240" s="31" t="s">
        <v>43</v>
      </c>
      <c r="B240" s="32" t="s">
        <v>1054</v>
      </c>
      <c r="C240" s="31" t="s">
        <v>28</v>
      </c>
      <c r="D240" s="31" t="s">
        <v>1055</v>
      </c>
      <c r="E240" s="31" t="s">
        <v>1056</v>
      </c>
      <c r="F240" s="31" t="s">
        <v>31</v>
      </c>
      <c r="G240" s="35">
        <v>1344</v>
      </c>
      <c r="H240" s="31">
        <v>10</v>
      </c>
      <c r="I240" s="31">
        <v>6</v>
      </c>
      <c r="J240" s="31" t="s">
        <v>1057</v>
      </c>
      <c r="K240" s="31" t="s">
        <v>33</v>
      </c>
      <c r="L240" s="31" t="s">
        <v>34</v>
      </c>
      <c r="M240" s="31">
        <v>678</v>
      </c>
      <c r="N240" s="31">
        <v>2024</v>
      </c>
      <c r="O240" s="31">
        <v>673</v>
      </c>
      <c r="P240" s="31"/>
      <c r="Q240" s="31"/>
      <c r="R240" s="33" t="s">
        <v>1058</v>
      </c>
      <c r="S240" s="34" t="str">
        <f>HYPERLINK("http://www.cnpol.ru/covers/21001.jpg","фото на сайте")</f>
        <v>фото на сайте</v>
      </c>
    </row>
    <row r="241" spans="1:19" ht="50.1" customHeight="1">
      <c r="A241" s="31"/>
      <c r="B241" s="32" t="s">
        <v>1059</v>
      </c>
      <c r="C241" s="31" t="s">
        <v>37</v>
      </c>
      <c r="D241" s="31" t="s">
        <v>1060</v>
      </c>
      <c r="E241" s="31" t="s">
        <v>1061</v>
      </c>
      <c r="F241" s="31" t="s">
        <v>31</v>
      </c>
      <c r="G241" s="31">
        <v>461</v>
      </c>
      <c r="H241" s="31">
        <v>10</v>
      </c>
      <c r="I241" s="31">
        <v>14</v>
      </c>
      <c r="J241" s="31" t="s">
        <v>1062</v>
      </c>
      <c r="K241" s="31" t="s">
        <v>33</v>
      </c>
      <c r="L241" s="31" t="s">
        <v>34</v>
      </c>
      <c r="M241" s="31">
        <v>256</v>
      </c>
      <c r="N241" s="31">
        <v>2020</v>
      </c>
      <c r="O241" s="31">
        <v>234</v>
      </c>
      <c r="P241" s="31"/>
      <c r="Q241" s="31"/>
      <c r="R241" s="33"/>
      <c r="S241" s="34" t="str">
        <f>HYPERLINK("http://www.cnpol.ru/covers/19265.jpg","фото на сайте")</f>
        <v>фото на сайте</v>
      </c>
    </row>
    <row r="242" spans="1:19" ht="50.1" customHeight="1">
      <c r="A242" s="31" t="s">
        <v>43</v>
      </c>
      <c r="B242" s="32" t="s">
        <v>1063</v>
      </c>
      <c r="C242" s="31" t="s">
        <v>1064</v>
      </c>
      <c r="D242" s="31" t="s">
        <v>1065</v>
      </c>
      <c r="E242" s="31" t="s">
        <v>1066</v>
      </c>
      <c r="F242" s="31" t="s">
        <v>31</v>
      </c>
      <c r="G242" s="35">
        <v>1077</v>
      </c>
      <c r="H242" s="31">
        <v>10</v>
      </c>
      <c r="I242" s="31">
        <v>5</v>
      </c>
      <c r="J242" s="31" t="s">
        <v>1067</v>
      </c>
      <c r="K242" s="31" t="s">
        <v>33</v>
      </c>
      <c r="L242" s="31" t="s">
        <v>34</v>
      </c>
      <c r="M242" s="31">
        <v>471</v>
      </c>
      <c r="N242" s="31">
        <v>2025</v>
      </c>
      <c r="O242" s="31">
        <v>375</v>
      </c>
      <c r="P242" s="31"/>
      <c r="Q242" s="31"/>
      <c r="R242" s="33" t="s">
        <v>1068</v>
      </c>
      <c r="S242" s="34" t="str">
        <f>HYPERLINK("http://www.cnpol.ru/covers/21601.jpg","фото на сайте")</f>
        <v>фото на сайте</v>
      </c>
    </row>
    <row r="243" spans="1:19" ht="50.1" customHeight="1">
      <c r="A243" s="31" t="s">
        <v>35</v>
      </c>
      <c r="B243" s="32" t="s">
        <v>1069</v>
      </c>
      <c r="C243" s="31" t="s">
        <v>37</v>
      </c>
      <c r="D243" s="31" t="s">
        <v>1070</v>
      </c>
      <c r="E243" s="31" t="s">
        <v>1071</v>
      </c>
      <c r="F243" s="31" t="s">
        <v>31</v>
      </c>
      <c r="G243" s="35">
        <v>1235</v>
      </c>
      <c r="H243" s="31">
        <v>10</v>
      </c>
      <c r="I243" s="31">
        <v>10</v>
      </c>
      <c r="J243" s="31" t="s">
        <v>1072</v>
      </c>
      <c r="K243" s="31" t="s">
        <v>33</v>
      </c>
      <c r="L243" s="31" t="s">
        <v>34</v>
      </c>
      <c r="M243" s="31">
        <v>508</v>
      </c>
      <c r="N243" s="31">
        <v>2026</v>
      </c>
      <c r="O243" s="31" t="s">
        <v>220</v>
      </c>
      <c r="P243" s="31"/>
      <c r="Q243" s="31"/>
      <c r="R243" s="33" t="s">
        <v>1073</v>
      </c>
      <c r="S243" s="34" t="str">
        <f>HYPERLINK("http://www.cnpol.ru/covers/21889.jpg","фото на сайте")</f>
        <v>фото на сайте</v>
      </c>
    </row>
    <row r="244" spans="1:19" ht="50.1" customHeight="1">
      <c r="A244" s="31"/>
      <c r="B244" s="32" t="s">
        <v>1074</v>
      </c>
      <c r="C244" s="31" t="s">
        <v>400</v>
      </c>
      <c r="D244" s="31" t="s">
        <v>785</v>
      </c>
      <c r="E244" s="31" t="s">
        <v>1075</v>
      </c>
      <c r="F244" s="31" t="s">
        <v>31</v>
      </c>
      <c r="G244" s="31">
        <v>503</v>
      </c>
      <c r="H244" s="31">
        <v>10</v>
      </c>
      <c r="I244" s="31">
        <v>14</v>
      </c>
      <c r="J244" s="31" t="s">
        <v>1076</v>
      </c>
      <c r="K244" s="31" t="s">
        <v>33</v>
      </c>
      <c r="L244" s="31" t="s">
        <v>34</v>
      </c>
      <c r="M244" s="31">
        <v>288</v>
      </c>
      <c r="N244" s="31">
        <v>2017</v>
      </c>
      <c r="O244" s="31">
        <v>256</v>
      </c>
      <c r="P244" s="31"/>
      <c r="Q244" s="31"/>
      <c r="R244" s="33"/>
      <c r="S244" s="34" t="str">
        <f>HYPERLINK("http://www.cnpol.ru/covers/17645.jpg","фото на сайте")</f>
        <v>фото на сайте</v>
      </c>
    </row>
    <row r="245" spans="1:19" ht="50.1" customHeight="1">
      <c r="A245" s="31" t="s">
        <v>43</v>
      </c>
      <c r="B245" s="32" t="s">
        <v>1077</v>
      </c>
      <c r="C245" s="31" t="s">
        <v>143</v>
      </c>
      <c r="D245" s="31" t="s">
        <v>1078</v>
      </c>
      <c r="E245" s="31" t="s">
        <v>1079</v>
      </c>
      <c r="F245" s="31" t="s">
        <v>31</v>
      </c>
      <c r="G245" s="31">
        <v>693</v>
      </c>
      <c r="H245" s="31">
        <v>10</v>
      </c>
      <c r="I245" s="31">
        <v>18</v>
      </c>
      <c r="J245" s="31" t="s">
        <v>1080</v>
      </c>
      <c r="K245" s="31" t="s">
        <v>33</v>
      </c>
      <c r="L245" s="31" t="s">
        <v>34</v>
      </c>
      <c r="M245" s="31">
        <v>287</v>
      </c>
      <c r="N245" s="31">
        <v>2024</v>
      </c>
      <c r="O245" s="31">
        <v>342</v>
      </c>
      <c r="P245" s="31"/>
      <c r="Q245" s="31"/>
      <c r="R245" s="33" t="s">
        <v>1081</v>
      </c>
      <c r="S245" s="34" t="str">
        <f>HYPERLINK("http://www.cnpol.ru/covers/21210.jpg","фото на сайте")</f>
        <v>фото на сайте</v>
      </c>
    </row>
    <row r="246" spans="1:19" ht="50.1" customHeight="1">
      <c r="A246" s="31" t="s">
        <v>35</v>
      </c>
      <c r="B246" s="32" t="s">
        <v>1082</v>
      </c>
      <c r="C246" s="31" t="s">
        <v>143</v>
      </c>
      <c r="D246" s="31" t="s">
        <v>1083</v>
      </c>
      <c r="E246" s="31" t="s">
        <v>1084</v>
      </c>
      <c r="F246" s="31" t="s">
        <v>31</v>
      </c>
      <c r="G246" s="31">
        <v>789</v>
      </c>
      <c r="H246" s="31">
        <v>10</v>
      </c>
      <c r="I246" s="31">
        <v>16</v>
      </c>
      <c r="J246" s="31" t="s">
        <v>1085</v>
      </c>
      <c r="K246" s="31" t="s">
        <v>33</v>
      </c>
      <c r="L246" s="31" t="s">
        <v>34</v>
      </c>
      <c r="M246" s="31">
        <v>221</v>
      </c>
      <c r="N246" s="31">
        <v>2025</v>
      </c>
      <c r="O246" s="31">
        <v>279</v>
      </c>
      <c r="P246" s="31"/>
      <c r="Q246" s="31"/>
      <c r="R246" s="33" t="s">
        <v>1086</v>
      </c>
      <c r="S246" s="34" t="str">
        <f>HYPERLINK("http://www.cnpol.ru/covers/21556.jpg","фото на сайте")</f>
        <v>фото на сайте</v>
      </c>
    </row>
    <row r="247" spans="1:19" ht="50.1" customHeight="1">
      <c r="A247" s="31"/>
      <c r="B247" s="32" t="s">
        <v>1087</v>
      </c>
      <c r="C247" s="31" t="s">
        <v>400</v>
      </c>
      <c r="D247" s="31" t="s">
        <v>1088</v>
      </c>
      <c r="E247" s="31" t="s">
        <v>1089</v>
      </c>
      <c r="F247" s="31" t="s">
        <v>31</v>
      </c>
      <c r="G247" s="31">
        <v>503</v>
      </c>
      <c r="H247" s="31">
        <v>10</v>
      </c>
      <c r="I247" s="31">
        <v>14</v>
      </c>
      <c r="J247" s="31" t="s">
        <v>1090</v>
      </c>
      <c r="K247" s="31" t="s">
        <v>33</v>
      </c>
      <c r="L247" s="31" t="s">
        <v>34</v>
      </c>
      <c r="M247" s="31">
        <v>288</v>
      </c>
      <c r="N247" s="31">
        <v>2019</v>
      </c>
      <c r="O247" s="31">
        <v>252</v>
      </c>
      <c r="P247" s="31"/>
      <c r="Q247" s="31"/>
      <c r="R247" s="33"/>
      <c r="S247" s="34" t="str">
        <f>HYPERLINK("http://www.cnpol.ru/covers/18824.jpg","фото на сайте")</f>
        <v>фото на сайте</v>
      </c>
    </row>
    <row r="248" spans="1:19" ht="50.1" customHeight="1">
      <c r="A248" s="31"/>
      <c r="B248" s="32" t="s">
        <v>1091</v>
      </c>
      <c r="C248" s="31" t="s">
        <v>418</v>
      </c>
      <c r="D248" s="31" t="s">
        <v>1092</v>
      </c>
      <c r="E248" s="31" t="s">
        <v>1093</v>
      </c>
      <c r="F248" s="31">
        <v>1</v>
      </c>
      <c r="G248" s="31">
        <v>153</v>
      </c>
      <c r="H248" s="31">
        <v>10</v>
      </c>
      <c r="I248" s="31">
        <v>28</v>
      </c>
      <c r="J248" s="31" t="s">
        <v>1094</v>
      </c>
      <c r="K248" s="31" t="s">
        <v>123</v>
      </c>
      <c r="L248" s="31" t="s">
        <v>56</v>
      </c>
      <c r="M248" s="31">
        <v>317</v>
      </c>
      <c r="N248" s="31">
        <v>2011</v>
      </c>
      <c r="O248" s="31">
        <v>150</v>
      </c>
      <c r="P248" s="31"/>
      <c r="Q248" s="31"/>
      <c r="R248" s="33"/>
      <c r="S248" s="34" t="str">
        <f>HYPERLINK("http://www.cnpol.ru/covers/13002.jpg","фото на сайте")</f>
        <v>фото на сайте</v>
      </c>
    </row>
    <row r="249" spans="1:19" ht="50.1" customHeight="1">
      <c r="A249" s="31"/>
      <c r="B249" s="32" t="s">
        <v>1095</v>
      </c>
      <c r="C249" s="31" t="s">
        <v>297</v>
      </c>
      <c r="D249" s="31" t="s">
        <v>1096</v>
      </c>
      <c r="E249" s="31" t="s">
        <v>1097</v>
      </c>
      <c r="F249" s="31" t="s">
        <v>31</v>
      </c>
      <c r="G249" s="31">
        <v>300</v>
      </c>
      <c r="H249" s="31">
        <v>10</v>
      </c>
      <c r="I249" s="31">
        <v>20</v>
      </c>
      <c r="J249" s="31" t="s">
        <v>1098</v>
      </c>
      <c r="K249" s="31" t="s">
        <v>300</v>
      </c>
      <c r="L249" s="31" t="s">
        <v>56</v>
      </c>
      <c r="M249" s="31">
        <v>320</v>
      </c>
      <c r="N249" s="31">
        <v>2019</v>
      </c>
      <c r="O249" s="31">
        <v>160</v>
      </c>
      <c r="P249" s="31"/>
      <c r="Q249" s="31"/>
      <c r="R249" s="33"/>
      <c r="S249" s="34" t="str">
        <f>HYPERLINK("http://www.cnpol.ru/covers/18632.jpg","фото на сайте")</f>
        <v>фото на сайте</v>
      </c>
    </row>
    <row r="250" spans="1:19" ht="50.1" customHeight="1">
      <c r="A250" s="31"/>
      <c r="B250" s="32" t="s">
        <v>1099</v>
      </c>
      <c r="C250" s="31" t="s">
        <v>302</v>
      </c>
      <c r="D250" s="31" t="s">
        <v>1096</v>
      </c>
      <c r="E250" s="31" t="s">
        <v>1097</v>
      </c>
      <c r="F250" s="31" t="s">
        <v>31</v>
      </c>
      <c r="G250" s="31">
        <v>917</v>
      </c>
      <c r="H250" s="31">
        <v>10</v>
      </c>
      <c r="I250" s="31">
        <v>10</v>
      </c>
      <c r="J250" s="31" t="s">
        <v>1100</v>
      </c>
      <c r="K250" s="31" t="s">
        <v>41</v>
      </c>
      <c r="L250" s="31" t="s">
        <v>304</v>
      </c>
      <c r="M250" s="31">
        <v>336</v>
      </c>
      <c r="N250" s="31">
        <v>2016</v>
      </c>
      <c r="O250" s="31">
        <v>406</v>
      </c>
      <c r="P250" s="31"/>
      <c r="Q250" s="31"/>
      <c r="R250" s="33"/>
      <c r="S250" s="34" t="str">
        <f>HYPERLINK("http://www.cnpol.ru/covers/17129.jpg","фото на сайте")</f>
        <v>фото на сайте</v>
      </c>
    </row>
    <row r="251" spans="1:19" ht="50.1" customHeight="1">
      <c r="A251" s="31"/>
      <c r="B251" s="32" t="s">
        <v>1101</v>
      </c>
      <c r="C251" s="31" t="s">
        <v>1102</v>
      </c>
      <c r="D251" s="31" t="s">
        <v>1103</v>
      </c>
      <c r="E251" s="31" t="s">
        <v>1104</v>
      </c>
      <c r="F251" s="31" t="s">
        <v>31</v>
      </c>
      <c r="G251" s="31">
        <v>593</v>
      </c>
      <c r="H251" s="31">
        <v>10</v>
      </c>
      <c r="I251" s="31">
        <v>12</v>
      </c>
      <c r="J251" s="31" t="s">
        <v>1105</v>
      </c>
      <c r="K251" s="31" t="s">
        <v>33</v>
      </c>
      <c r="L251" s="31" t="s">
        <v>34</v>
      </c>
      <c r="M251" s="31">
        <v>320</v>
      </c>
      <c r="N251" s="31">
        <v>2015</v>
      </c>
      <c r="O251" s="31">
        <v>268</v>
      </c>
      <c r="P251" s="31"/>
      <c r="Q251" s="31"/>
      <c r="R251" s="33"/>
      <c r="S251" s="34" t="str">
        <f>HYPERLINK("http://www.cnpol.ru/covers/16095.jpg","фото на сайте")</f>
        <v>фото на сайте</v>
      </c>
    </row>
    <row r="252" spans="1:19" ht="50.1" customHeight="1">
      <c r="A252" s="31"/>
      <c r="B252" s="32" t="s">
        <v>1106</v>
      </c>
      <c r="C252" s="31" t="s">
        <v>390</v>
      </c>
      <c r="D252" s="31" t="s">
        <v>1107</v>
      </c>
      <c r="E252" s="31" t="s">
        <v>1108</v>
      </c>
      <c r="F252" s="31">
        <v>331</v>
      </c>
      <c r="G252" s="31">
        <v>86</v>
      </c>
      <c r="H252" s="31">
        <v>10</v>
      </c>
      <c r="I252" s="31">
        <v>30</v>
      </c>
      <c r="J252" s="31" t="s">
        <v>1109</v>
      </c>
      <c r="K252" s="31" t="s">
        <v>123</v>
      </c>
      <c r="L252" s="31" t="s">
        <v>56</v>
      </c>
      <c r="M252" s="31">
        <v>158</v>
      </c>
      <c r="N252" s="31">
        <v>2013</v>
      </c>
      <c r="O252" s="31">
        <v>78</v>
      </c>
      <c r="P252" s="31"/>
      <c r="Q252" s="31"/>
      <c r="R252" s="33"/>
      <c r="S252" s="34" t="str">
        <f>HYPERLINK("http://www.cnpol.ru/covers/14383.jpg","фото на сайте")</f>
        <v>фото на сайте</v>
      </c>
    </row>
    <row r="253" spans="1:19" ht="50.1" customHeight="1">
      <c r="A253" s="31"/>
      <c r="B253" s="32" t="s">
        <v>1110</v>
      </c>
      <c r="C253" s="31" t="s">
        <v>400</v>
      </c>
      <c r="D253" s="31" t="s">
        <v>1111</v>
      </c>
      <c r="E253" s="31" t="s">
        <v>1112</v>
      </c>
      <c r="F253" s="31" t="s">
        <v>31</v>
      </c>
      <c r="G253" s="31">
        <v>503</v>
      </c>
      <c r="H253" s="31">
        <v>10</v>
      </c>
      <c r="I253" s="31">
        <v>16</v>
      </c>
      <c r="J253" s="31" t="s">
        <v>1113</v>
      </c>
      <c r="K253" s="31" t="s">
        <v>33</v>
      </c>
      <c r="L253" s="31" t="s">
        <v>34</v>
      </c>
      <c r="M253" s="31">
        <v>319</v>
      </c>
      <c r="N253" s="31">
        <v>2011</v>
      </c>
      <c r="O253" s="31">
        <v>264</v>
      </c>
      <c r="P253" s="31"/>
      <c r="Q253" s="31"/>
      <c r="R253" s="33"/>
      <c r="S253" s="34" t="str">
        <f>HYPERLINK("http://www.cnpol.ru/covers/12620.jpg","фото на сайте")</f>
        <v>фото на сайте</v>
      </c>
    </row>
    <row r="254" spans="1:19" ht="50.1" customHeight="1">
      <c r="A254" s="31"/>
      <c r="B254" s="32" t="s">
        <v>1114</v>
      </c>
      <c r="C254" s="31" t="s">
        <v>413</v>
      </c>
      <c r="D254" s="31" t="s">
        <v>1115</v>
      </c>
      <c r="E254" s="31" t="s">
        <v>1116</v>
      </c>
      <c r="F254" s="31">
        <v>73</v>
      </c>
      <c r="G254" s="31">
        <v>117</v>
      </c>
      <c r="H254" s="31">
        <v>10</v>
      </c>
      <c r="I254" s="31">
        <v>36</v>
      </c>
      <c r="J254" s="31" t="s">
        <v>1117</v>
      </c>
      <c r="K254" s="31" t="s">
        <v>123</v>
      </c>
      <c r="L254" s="31" t="s">
        <v>56</v>
      </c>
      <c r="M254" s="31">
        <v>158</v>
      </c>
      <c r="N254" s="31">
        <v>2015</v>
      </c>
      <c r="O254" s="31">
        <v>90</v>
      </c>
      <c r="P254" s="31"/>
      <c r="Q254" s="31"/>
      <c r="R254" s="33"/>
      <c r="S254" s="34" t="str">
        <f>HYPERLINK("http://www.cnpol.ru/covers/16240.jpg","фото на сайте")</f>
        <v>фото на сайте</v>
      </c>
    </row>
    <row r="255" spans="1:19" ht="50.1" customHeight="1">
      <c r="A255" s="31"/>
      <c r="B255" s="32" t="s">
        <v>1118</v>
      </c>
      <c r="C255" s="31" t="s">
        <v>1102</v>
      </c>
      <c r="D255" s="31" t="s">
        <v>1103</v>
      </c>
      <c r="E255" s="31" t="s">
        <v>1119</v>
      </c>
      <c r="F255" s="31" t="s">
        <v>31</v>
      </c>
      <c r="G255" s="31">
        <v>640</v>
      </c>
      <c r="H255" s="31">
        <v>10</v>
      </c>
      <c r="I255" s="31">
        <v>10</v>
      </c>
      <c r="J255" s="31" t="s">
        <v>1120</v>
      </c>
      <c r="K255" s="31" t="s">
        <v>33</v>
      </c>
      <c r="L255" s="31" t="s">
        <v>34</v>
      </c>
      <c r="M255" s="31">
        <v>448</v>
      </c>
      <c r="N255" s="31">
        <v>2016</v>
      </c>
      <c r="O255" s="31">
        <v>330</v>
      </c>
      <c r="P255" s="31"/>
      <c r="Q255" s="31"/>
      <c r="R255" s="33"/>
      <c r="S255" s="34" t="str">
        <f>HYPERLINK("http://www.cnpol.ru/covers/16491.jpg","фото на сайте")</f>
        <v>фото на сайте</v>
      </c>
    </row>
    <row r="256" spans="1:19" ht="50.1" customHeight="1">
      <c r="A256" s="31"/>
      <c r="B256" s="32" t="s">
        <v>1121</v>
      </c>
      <c r="C256" s="31" t="s">
        <v>479</v>
      </c>
      <c r="D256" s="31" t="s">
        <v>1122</v>
      </c>
      <c r="E256" s="31" t="s">
        <v>1123</v>
      </c>
      <c r="F256" s="31" t="s">
        <v>31</v>
      </c>
      <c r="G256" s="31">
        <v>316</v>
      </c>
      <c r="H256" s="31">
        <v>10</v>
      </c>
      <c r="I256" s="31">
        <v>14</v>
      </c>
      <c r="J256" s="31" t="s">
        <v>1124</v>
      </c>
      <c r="K256" s="31" t="s">
        <v>130</v>
      </c>
      <c r="L256" s="31" t="s">
        <v>56</v>
      </c>
      <c r="M256" s="31">
        <v>240</v>
      </c>
      <c r="N256" s="31">
        <v>2017</v>
      </c>
      <c r="O256" s="31">
        <v>151</v>
      </c>
      <c r="P256" s="31"/>
      <c r="Q256" s="31"/>
      <c r="R256" s="33"/>
      <c r="S256" s="34" t="str">
        <f>HYPERLINK("http://www.cnpol.ru/covers/17721.jpg","фото на сайте")</f>
        <v>фото на сайте</v>
      </c>
    </row>
    <row r="257" spans="1:19" ht="50.1" customHeight="1">
      <c r="A257" s="31" t="s">
        <v>35</v>
      </c>
      <c r="B257" s="32" t="s">
        <v>1125</v>
      </c>
      <c r="C257" s="31" t="s">
        <v>37</v>
      </c>
      <c r="D257" s="31" t="s">
        <v>1126</v>
      </c>
      <c r="E257" s="31" t="s">
        <v>1127</v>
      </c>
      <c r="F257" s="31" t="s">
        <v>31</v>
      </c>
      <c r="G257" s="35">
        <v>1332</v>
      </c>
      <c r="H257" s="31">
        <v>10</v>
      </c>
      <c r="I257" s="31">
        <v>5</v>
      </c>
      <c r="J257" s="31" t="s">
        <v>1128</v>
      </c>
      <c r="K257" s="31" t="s">
        <v>41</v>
      </c>
      <c r="L257" s="31" t="s">
        <v>34</v>
      </c>
      <c r="M257" s="31">
        <v>591</v>
      </c>
      <c r="N257" s="31">
        <v>2025</v>
      </c>
      <c r="O257" s="31">
        <v>678</v>
      </c>
      <c r="P257" s="31"/>
      <c r="Q257" s="31"/>
      <c r="R257" s="33" t="s">
        <v>1129</v>
      </c>
      <c r="S257" s="34" t="str">
        <f>HYPERLINK("http://www.cnpol.ru/covers/21524.jpg","фото на сайте")</f>
        <v>фото на сайте</v>
      </c>
    </row>
    <row r="258" spans="1:19" ht="50.1" customHeight="1">
      <c r="A258" s="31"/>
      <c r="B258" s="32" t="s">
        <v>1130</v>
      </c>
      <c r="C258" s="31" t="s">
        <v>390</v>
      </c>
      <c r="D258" s="31" t="s">
        <v>1131</v>
      </c>
      <c r="E258" s="31" t="s">
        <v>1132</v>
      </c>
      <c r="F258" s="31">
        <v>1070</v>
      </c>
      <c r="G258" s="31">
        <v>86</v>
      </c>
      <c r="H258" s="31">
        <v>10</v>
      </c>
      <c r="I258" s="31">
        <v>30</v>
      </c>
      <c r="J258" s="31" t="s">
        <v>1133</v>
      </c>
      <c r="K258" s="31" t="s">
        <v>123</v>
      </c>
      <c r="L258" s="31" t="s">
        <v>56</v>
      </c>
      <c r="M258" s="31">
        <v>159</v>
      </c>
      <c r="N258" s="31">
        <v>2021</v>
      </c>
      <c r="O258" s="31">
        <v>76</v>
      </c>
      <c r="P258" s="31"/>
      <c r="Q258" s="31"/>
      <c r="R258" s="33"/>
      <c r="S258" s="34" t="str">
        <f>HYPERLINK("http://www.cnpol.ru/covers/19967.jpg","фото на сайте")</f>
        <v>фото на сайте</v>
      </c>
    </row>
    <row r="259" spans="1:19" ht="50.1" customHeight="1">
      <c r="A259" s="31"/>
      <c r="B259" s="32" t="s">
        <v>1134</v>
      </c>
      <c r="C259" s="31" t="s">
        <v>479</v>
      </c>
      <c r="D259" s="31" t="s">
        <v>1135</v>
      </c>
      <c r="E259" s="31" t="s">
        <v>1136</v>
      </c>
      <c r="F259" s="31" t="s">
        <v>31</v>
      </c>
      <c r="G259" s="31">
        <v>675</v>
      </c>
      <c r="H259" s="31">
        <v>10</v>
      </c>
      <c r="I259" s="31">
        <v>16</v>
      </c>
      <c r="J259" s="31" t="s">
        <v>1137</v>
      </c>
      <c r="K259" s="31" t="s">
        <v>33</v>
      </c>
      <c r="L259" s="31" t="s">
        <v>34</v>
      </c>
      <c r="M259" s="31">
        <v>368</v>
      </c>
      <c r="N259" s="31">
        <v>2016</v>
      </c>
      <c r="O259" s="31">
        <v>402</v>
      </c>
      <c r="P259" s="31"/>
      <c r="Q259" s="31"/>
      <c r="R259" s="33"/>
      <c r="S259" s="34" t="str">
        <f>HYPERLINK("http://www.cnpol.ru/covers/16890.jpg","фото на сайте")</f>
        <v>фото на сайте</v>
      </c>
    </row>
    <row r="260" spans="1:19" ht="50.1" customHeight="1">
      <c r="A260" s="31"/>
      <c r="B260" s="32" t="s">
        <v>1138</v>
      </c>
      <c r="C260" s="31" t="s">
        <v>37</v>
      </c>
      <c r="D260" s="31" t="s">
        <v>1139</v>
      </c>
      <c r="E260" s="31" t="s">
        <v>1140</v>
      </c>
      <c r="F260" s="31" t="s">
        <v>31</v>
      </c>
      <c r="G260" s="31">
        <v>777</v>
      </c>
      <c r="H260" s="31">
        <v>10</v>
      </c>
      <c r="I260" s="31">
        <v>12</v>
      </c>
      <c r="J260" s="31" t="s">
        <v>1141</v>
      </c>
      <c r="K260" s="31" t="s">
        <v>33</v>
      </c>
      <c r="L260" s="31" t="s">
        <v>34</v>
      </c>
      <c r="M260" s="31">
        <v>221</v>
      </c>
      <c r="N260" s="31">
        <v>2023</v>
      </c>
      <c r="O260" s="31">
        <v>357</v>
      </c>
      <c r="P260" s="31"/>
      <c r="Q260" s="31"/>
      <c r="R260" s="33" t="s">
        <v>1142</v>
      </c>
      <c r="S260" s="34" t="str">
        <f>HYPERLINK("http://www.cnpol.ru/covers/20782.jpg","фото на сайте")</f>
        <v>фото на сайте</v>
      </c>
    </row>
    <row r="261" spans="1:19" ht="50.1" customHeight="1">
      <c r="A261" s="31"/>
      <c r="B261" s="32" t="s">
        <v>1143</v>
      </c>
      <c r="C261" s="31" t="s">
        <v>1144</v>
      </c>
      <c r="D261" s="31" t="s">
        <v>1145</v>
      </c>
      <c r="E261" s="31" t="s">
        <v>1146</v>
      </c>
      <c r="F261" s="31" t="s">
        <v>31</v>
      </c>
      <c r="G261" s="31">
        <v>746</v>
      </c>
      <c r="H261" s="31">
        <v>10</v>
      </c>
      <c r="I261" s="31">
        <v>16</v>
      </c>
      <c r="J261" s="31" t="s">
        <v>1147</v>
      </c>
      <c r="K261" s="31" t="s">
        <v>41</v>
      </c>
      <c r="L261" s="31" t="s">
        <v>34</v>
      </c>
      <c r="M261" s="31">
        <v>383</v>
      </c>
      <c r="N261" s="31">
        <v>2015</v>
      </c>
      <c r="O261" s="31">
        <v>430</v>
      </c>
      <c r="P261" s="31"/>
      <c r="Q261" s="31"/>
      <c r="R261" s="33"/>
      <c r="S261" s="34" t="str">
        <f>HYPERLINK("http://www.cnpol.ru/covers/16092.jpg","фото на сайте")</f>
        <v>фото на сайте</v>
      </c>
    </row>
    <row r="262" spans="1:19" ht="50.1" customHeight="1">
      <c r="A262" s="31"/>
      <c r="B262" s="32" t="s">
        <v>1148</v>
      </c>
      <c r="C262" s="31" t="s">
        <v>400</v>
      </c>
      <c r="D262" s="31" t="s">
        <v>1149</v>
      </c>
      <c r="E262" s="31" t="s">
        <v>1150</v>
      </c>
      <c r="F262" s="31" t="s">
        <v>31</v>
      </c>
      <c r="G262" s="31">
        <v>503</v>
      </c>
      <c r="H262" s="31">
        <v>10</v>
      </c>
      <c r="I262" s="31">
        <v>16</v>
      </c>
      <c r="J262" s="31" t="s">
        <v>1151</v>
      </c>
      <c r="K262" s="31" t="s">
        <v>33</v>
      </c>
      <c r="L262" s="31" t="s">
        <v>34</v>
      </c>
      <c r="M262" s="31">
        <v>351</v>
      </c>
      <c r="N262" s="31">
        <v>2010</v>
      </c>
      <c r="O262" s="31">
        <v>312</v>
      </c>
      <c r="P262" s="31"/>
      <c r="Q262" s="31"/>
      <c r="R262" s="33"/>
      <c r="S262" s="34" t="str">
        <f>HYPERLINK("http://www.cnpol.ru/covers/12150.jpg","фото на сайте")</f>
        <v>фото на сайте</v>
      </c>
    </row>
    <row r="263" spans="1:19" ht="50.1" customHeight="1">
      <c r="A263" s="31"/>
      <c r="B263" s="32" t="s">
        <v>1152</v>
      </c>
      <c r="C263" s="31" t="s">
        <v>390</v>
      </c>
      <c r="D263" s="31" t="s">
        <v>594</v>
      </c>
      <c r="E263" s="31" t="s">
        <v>1153</v>
      </c>
      <c r="F263" s="31">
        <v>1079</v>
      </c>
      <c r="G263" s="31">
        <v>86</v>
      </c>
      <c r="H263" s="31">
        <v>10</v>
      </c>
      <c r="I263" s="31">
        <v>30</v>
      </c>
      <c r="J263" s="31" t="s">
        <v>1154</v>
      </c>
      <c r="K263" s="31" t="s">
        <v>123</v>
      </c>
      <c r="L263" s="31" t="s">
        <v>56</v>
      </c>
      <c r="M263" s="31">
        <v>159</v>
      </c>
      <c r="N263" s="31">
        <v>2022</v>
      </c>
      <c r="O263" s="31">
        <v>76</v>
      </c>
      <c r="P263" s="31"/>
      <c r="Q263" s="31"/>
      <c r="R263" s="33"/>
      <c r="S263" s="34" t="str">
        <f>HYPERLINK("http://www.cnpol.ru/covers/20089.jpg","фото на сайте")</f>
        <v>фото на сайте</v>
      </c>
    </row>
    <row r="264" spans="1:19" ht="50.1" customHeight="1">
      <c r="A264" s="31"/>
      <c r="B264" s="32" t="s">
        <v>1155</v>
      </c>
      <c r="C264" s="31" t="s">
        <v>1050</v>
      </c>
      <c r="D264" s="31" t="s">
        <v>1156</v>
      </c>
      <c r="E264" s="31" t="s">
        <v>1157</v>
      </c>
      <c r="F264" s="31" t="s">
        <v>31</v>
      </c>
      <c r="G264" s="31">
        <v>386</v>
      </c>
      <c r="H264" s="31">
        <v>10</v>
      </c>
      <c r="I264" s="31">
        <v>20</v>
      </c>
      <c r="J264" s="31" t="s">
        <v>1158</v>
      </c>
      <c r="K264" s="31" t="s">
        <v>1159</v>
      </c>
      <c r="L264" s="31" t="s">
        <v>210</v>
      </c>
      <c r="M264" s="31">
        <v>254</v>
      </c>
      <c r="N264" s="31">
        <v>2023</v>
      </c>
      <c r="O264" s="31">
        <v>211</v>
      </c>
      <c r="P264" s="31"/>
      <c r="Q264" s="31"/>
      <c r="R264" s="33" t="s">
        <v>1160</v>
      </c>
      <c r="S264" s="34" t="str">
        <f>HYPERLINK("http://www.cnpol.ru/covers/20731.jpg","фото на сайте")</f>
        <v>фото на сайте</v>
      </c>
    </row>
    <row r="265" spans="1:19" ht="50.1" customHeight="1">
      <c r="A265" s="31"/>
      <c r="B265" s="32" t="s">
        <v>1161</v>
      </c>
      <c r="C265" s="31" t="s">
        <v>735</v>
      </c>
      <c r="D265" s="31" t="s">
        <v>1162</v>
      </c>
      <c r="E265" s="31" t="s">
        <v>1163</v>
      </c>
      <c r="F265" s="31" t="s">
        <v>31</v>
      </c>
      <c r="G265" s="31">
        <v>307</v>
      </c>
      <c r="H265" s="31">
        <v>10</v>
      </c>
      <c r="I265" s="31">
        <v>14</v>
      </c>
      <c r="J265" s="31" t="s">
        <v>1164</v>
      </c>
      <c r="K265" s="31" t="s">
        <v>739</v>
      </c>
      <c r="L265" s="31" t="s">
        <v>34</v>
      </c>
      <c r="M265" s="31">
        <v>285</v>
      </c>
      <c r="N265" s="31">
        <v>2003</v>
      </c>
      <c r="O265" s="31">
        <v>212</v>
      </c>
      <c r="P265" s="31"/>
      <c r="Q265" s="31"/>
      <c r="R265" s="33"/>
      <c r="S265" s="34" t="str">
        <f>HYPERLINK("http://www.cnpol.ru/covers/4369.jpg","фото на сайте")</f>
        <v>фото на сайте</v>
      </c>
    </row>
    <row r="266" spans="1:19" ht="50.1" customHeight="1">
      <c r="A266" s="31"/>
      <c r="B266" s="32" t="s">
        <v>1165</v>
      </c>
      <c r="C266" s="31" t="s">
        <v>37</v>
      </c>
      <c r="D266" s="31" t="s">
        <v>1166</v>
      </c>
      <c r="E266" s="31" t="s">
        <v>1167</v>
      </c>
      <c r="F266" s="31" t="s">
        <v>31</v>
      </c>
      <c r="G266" s="31">
        <v>961</v>
      </c>
      <c r="H266" s="31">
        <v>10</v>
      </c>
      <c r="I266" s="31">
        <v>12</v>
      </c>
      <c r="J266" s="31" t="s">
        <v>1168</v>
      </c>
      <c r="K266" s="31" t="s">
        <v>33</v>
      </c>
      <c r="L266" s="31" t="s">
        <v>34</v>
      </c>
      <c r="M266" s="31">
        <v>348</v>
      </c>
      <c r="N266" s="31">
        <v>2022</v>
      </c>
      <c r="O266" s="31">
        <v>310</v>
      </c>
      <c r="P266" s="31"/>
      <c r="Q266" s="31"/>
      <c r="R266" s="33"/>
      <c r="S266" s="34" t="str">
        <f>HYPERLINK("http://www.cnpol.ru/covers/20246.jpg","фото на сайте")</f>
        <v>фото на сайте</v>
      </c>
    </row>
    <row r="267" spans="1:19" ht="50.1" customHeight="1">
      <c r="A267" s="31"/>
      <c r="B267" s="32" t="s">
        <v>1169</v>
      </c>
      <c r="C267" s="31" t="s">
        <v>37</v>
      </c>
      <c r="D267" s="31" t="s">
        <v>1166</v>
      </c>
      <c r="E267" s="31" t="s">
        <v>1170</v>
      </c>
      <c r="F267" s="31" t="s">
        <v>31</v>
      </c>
      <c r="G267" s="31">
        <v>930</v>
      </c>
      <c r="H267" s="31">
        <v>10</v>
      </c>
      <c r="I267" s="31">
        <v>12</v>
      </c>
      <c r="J267" s="31" t="s">
        <v>1171</v>
      </c>
      <c r="K267" s="31" t="s">
        <v>33</v>
      </c>
      <c r="L267" s="31" t="s">
        <v>34</v>
      </c>
      <c r="M267" s="31">
        <v>333</v>
      </c>
      <c r="N267" s="31">
        <v>2022</v>
      </c>
      <c r="O267" s="31">
        <v>380</v>
      </c>
      <c r="P267" s="31"/>
      <c r="Q267" s="31"/>
      <c r="R267" s="33" t="s">
        <v>1172</v>
      </c>
      <c r="S267" s="34" t="str">
        <f>HYPERLINK("http://www.cnpol.ru/covers/20354.jpg","фото на сайте")</f>
        <v>фото на сайте</v>
      </c>
    </row>
    <row r="268" spans="1:19" ht="50.1" customHeight="1">
      <c r="A268" s="31" t="s">
        <v>43</v>
      </c>
      <c r="B268" s="32" t="s">
        <v>1173</v>
      </c>
      <c r="C268" s="31" t="s">
        <v>37</v>
      </c>
      <c r="D268" s="31" t="s">
        <v>1174</v>
      </c>
      <c r="E268" s="31" t="s">
        <v>1175</v>
      </c>
      <c r="F268" s="31" t="s">
        <v>31</v>
      </c>
      <c r="G268" s="35">
        <v>1394</v>
      </c>
      <c r="H268" s="31">
        <v>10</v>
      </c>
      <c r="I268" s="31">
        <v>6</v>
      </c>
      <c r="J268" s="31" t="s">
        <v>1176</v>
      </c>
      <c r="K268" s="31" t="s">
        <v>33</v>
      </c>
      <c r="L268" s="31" t="s">
        <v>34</v>
      </c>
      <c r="M268" s="31">
        <v>607</v>
      </c>
      <c r="N268" s="31">
        <v>2024</v>
      </c>
      <c r="O268" s="31">
        <v>455</v>
      </c>
      <c r="P268" s="31"/>
      <c r="Q268" s="31"/>
      <c r="R268" s="33" t="s">
        <v>1177</v>
      </c>
      <c r="S268" s="34" t="str">
        <f>HYPERLINK("http://www.cnpol.ru/covers/21268.jpg","фото на сайте")</f>
        <v>фото на сайте</v>
      </c>
    </row>
    <row r="269" spans="1:19" ht="50.1" customHeight="1">
      <c r="A269" s="31"/>
      <c r="B269" s="32" t="s">
        <v>1178</v>
      </c>
      <c r="C269" s="31" t="s">
        <v>418</v>
      </c>
      <c r="D269" s="31" t="s">
        <v>1179</v>
      </c>
      <c r="E269" s="31" t="s">
        <v>1180</v>
      </c>
      <c r="F269" s="31">
        <v>41</v>
      </c>
      <c r="G269" s="31">
        <v>153</v>
      </c>
      <c r="H269" s="31">
        <v>10</v>
      </c>
      <c r="I269" s="31">
        <v>30</v>
      </c>
      <c r="J269" s="31" t="s">
        <v>1181</v>
      </c>
      <c r="K269" s="31" t="s">
        <v>123</v>
      </c>
      <c r="L269" s="31" t="s">
        <v>56</v>
      </c>
      <c r="M269" s="31">
        <v>286</v>
      </c>
      <c r="N269" s="31">
        <v>2014</v>
      </c>
      <c r="O269" s="31">
        <v>132</v>
      </c>
      <c r="P269" s="31"/>
      <c r="Q269" s="31"/>
      <c r="R269" s="33"/>
      <c r="S269" s="34" t="str">
        <f>HYPERLINK("http://www.cnpol.ru/covers/14961.jpg","фото на сайте")</f>
        <v>фото на сайте</v>
      </c>
    </row>
    <row r="270" spans="1:19" ht="50.1" customHeight="1">
      <c r="A270" s="31"/>
      <c r="B270" s="32" t="s">
        <v>1182</v>
      </c>
      <c r="C270" s="31" t="s">
        <v>418</v>
      </c>
      <c r="D270" s="31" t="s">
        <v>1183</v>
      </c>
      <c r="E270" s="31" t="s">
        <v>1184</v>
      </c>
      <c r="F270" s="31">
        <v>66</v>
      </c>
      <c r="G270" s="31">
        <v>153</v>
      </c>
      <c r="H270" s="31">
        <v>10</v>
      </c>
      <c r="I270" s="31">
        <v>32</v>
      </c>
      <c r="J270" s="31" t="s">
        <v>1185</v>
      </c>
      <c r="K270" s="31" t="s">
        <v>123</v>
      </c>
      <c r="L270" s="31" t="s">
        <v>56</v>
      </c>
      <c r="M270" s="31">
        <v>254</v>
      </c>
      <c r="N270" s="31">
        <v>2015</v>
      </c>
      <c r="O270" s="31">
        <v>132</v>
      </c>
      <c r="P270" s="31"/>
      <c r="Q270" s="31"/>
      <c r="R270" s="33"/>
      <c r="S270" s="34" t="str">
        <f>HYPERLINK("http://www.cnpol.ru/covers/15998.jpg","фото на сайте")</f>
        <v>фото на сайте</v>
      </c>
    </row>
    <row r="271" spans="1:19" ht="50.1" customHeight="1">
      <c r="A271" s="31"/>
      <c r="B271" s="32" t="s">
        <v>1186</v>
      </c>
      <c r="C271" s="31" t="s">
        <v>413</v>
      </c>
      <c r="D271" s="31" t="s">
        <v>1187</v>
      </c>
      <c r="E271" s="31" t="s">
        <v>1188</v>
      </c>
      <c r="F271" s="31">
        <v>87</v>
      </c>
      <c r="G271" s="31">
        <v>117</v>
      </c>
      <c r="H271" s="31">
        <v>10</v>
      </c>
      <c r="I271" s="31">
        <v>36</v>
      </c>
      <c r="J271" s="31" t="s">
        <v>1189</v>
      </c>
      <c r="K271" s="31" t="s">
        <v>123</v>
      </c>
      <c r="L271" s="31" t="s">
        <v>56</v>
      </c>
      <c r="M271" s="31">
        <v>192</v>
      </c>
      <c r="N271" s="31">
        <v>2016</v>
      </c>
      <c r="O271" s="31">
        <v>90</v>
      </c>
      <c r="P271" s="31"/>
      <c r="Q271" s="31"/>
      <c r="R271" s="33"/>
      <c r="S271" s="34" t="str">
        <f>HYPERLINK("http://www.cnpol.ru/covers/16471.jpg","фото на сайте")</f>
        <v>фото на сайте</v>
      </c>
    </row>
    <row r="272" spans="1:19" ht="50.1" customHeight="1">
      <c r="A272" s="31"/>
      <c r="B272" s="32" t="s">
        <v>1190</v>
      </c>
      <c r="C272" s="31" t="s">
        <v>503</v>
      </c>
      <c r="D272" s="31" t="s">
        <v>1191</v>
      </c>
      <c r="E272" s="31" t="s">
        <v>1192</v>
      </c>
      <c r="F272" s="31" t="s">
        <v>31</v>
      </c>
      <c r="G272" s="35">
        <v>1113</v>
      </c>
      <c r="H272" s="31">
        <v>10</v>
      </c>
      <c r="I272" s="31">
        <v>10</v>
      </c>
      <c r="J272" s="31" t="s">
        <v>1193</v>
      </c>
      <c r="K272" s="31" t="s">
        <v>33</v>
      </c>
      <c r="L272" s="31" t="s">
        <v>34</v>
      </c>
      <c r="M272" s="31">
        <v>604</v>
      </c>
      <c r="N272" s="31">
        <v>2015</v>
      </c>
      <c r="O272" s="31">
        <v>620</v>
      </c>
      <c r="P272" s="31"/>
      <c r="Q272" s="31"/>
      <c r="R272" s="33" t="s">
        <v>1194</v>
      </c>
      <c r="S272" s="34" t="str">
        <f>HYPERLINK("http://www.cnpol.ru/covers/16209.jpg","фото на сайте")</f>
        <v>фото на сайте</v>
      </c>
    </row>
    <row r="273" spans="1:19" ht="50.1" customHeight="1">
      <c r="A273" s="31"/>
      <c r="B273" s="32" t="s">
        <v>1195</v>
      </c>
      <c r="C273" s="31" t="s">
        <v>1196</v>
      </c>
      <c r="D273" s="31" t="s">
        <v>1197</v>
      </c>
      <c r="E273" s="31" t="s">
        <v>1198</v>
      </c>
      <c r="F273" s="31" t="s">
        <v>31</v>
      </c>
      <c r="G273" s="31">
        <v>272</v>
      </c>
      <c r="H273" s="31">
        <v>10</v>
      </c>
      <c r="I273" s="31">
        <v>16</v>
      </c>
      <c r="J273" s="31" t="s">
        <v>1199</v>
      </c>
      <c r="K273" s="31" t="s">
        <v>41</v>
      </c>
      <c r="L273" s="31" t="s">
        <v>34</v>
      </c>
      <c r="M273" s="31">
        <v>335</v>
      </c>
      <c r="N273" s="31">
        <v>2000</v>
      </c>
      <c r="O273" s="31">
        <v>362</v>
      </c>
      <c r="P273" s="31"/>
      <c r="Q273" s="31"/>
      <c r="R273" s="33"/>
      <c r="S273" s="34" t="str">
        <f>HYPERLINK("http://www.cnpol.ru/covers/1885.jpg","фото на сайте")</f>
        <v>фото на сайте</v>
      </c>
    </row>
    <row r="274" spans="1:19" ht="50.1" customHeight="1">
      <c r="A274" s="31" t="s">
        <v>43</v>
      </c>
      <c r="B274" s="32" t="s">
        <v>1200</v>
      </c>
      <c r="C274" s="31" t="s">
        <v>28</v>
      </c>
      <c r="D274" s="31" t="s">
        <v>1201</v>
      </c>
      <c r="E274" s="31" t="s">
        <v>1202</v>
      </c>
      <c r="F274" s="31" t="s">
        <v>31</v>
      </c>
      <c r="G274" s="35">
        <v>1499</v>
      </c>
      <c r="H274" s="31">
        <v>10</v>
      </c>
      <c r="I274" s="31">
        <v>3</v>
      </c>
      <c r="J274" s="31" t="s">
        <v>1203</v>
      </c>
      <c r="K274" s="31" t="s">
        <v>41</v>
      </c>
      <c r="L274" s="31" t="s">
        <v>34</v>
      </c>
      <c r="M274" s="31">
        <v>879</v>
      </c>
      <c r="N274" s="31">
        <v>2025</v>
      </c>
      <c r="O274" s="31">
        <v>420</v>
      </c>
      <c r="P274" s="31"/>
      <c r="Q274" s="31"/>
      <c r="R274" s="33" t="s">
        <v>1204</v>
      </c>
      <c r="S274" s="34" t="str">
        <f>HYPERLINK("http://www.cnpol.ru/covers/21759.jpg","фото на сайте")</f>
        <v>фото на сайте</v>
      </c>
    </row>
    <row r="275" spans="1:19" ht="50.1" customHeight="1">
      <c r="A275" s="31" t="s">
        <v>43</v>
      </c>
      <c r="B275" s="32" t="s">
        <v>1205</v>
      </c>
      <c r="C275" s="31" t="s">
        <v>1206</v>
      </c>
      <c r="D275" s="31" t="s">
        <v>1207</v>
      </c>
      <c r="E275" s="31" t="s">
        <v>1208</v>
      </c>
      <c r="F275" s="31" t="s">
        <v>31</v>
      </c>
      <c r="G275" s="31">
        <v>672</v>
      </c>
      <c r="H275" s="31">
        <v>10</v>
      </c>
      <c r="I275" s="31">
        <v>14</v>
      </c>
      <c r="J275" s="31" t="s">
        <v>1209</v>
      </c>
      <c r="K275" s="31" t="s">
        <v>739</v>
      </c>
      <c r="L275" s="31" t="s">
        <v>34</v>
      </c>
      <c r="M275" s="31">
        <v>331</v>
      </c>
      <c r="N275" s="31">
        <v>2024</v>
      </c>
      <c r="O275" s="31">
        <v>257</v>
      </c>
      <c r="P275" s="31"/>
      <c r="Q275" s="31"/>
      <c r="R275" s="33" t="s">
        <v>1210</v>
      </c>
      <c r="S275" s="34" t="str">
        <f>HYPERLINK("http://www.cnpol.ru/covers/21256.jpg","фото на сайте")</f>
        <v>фото на сайте</v>
      </c>
    </row>
    <row r="276" spans="1:19" ht="50.1" customHeight="1">
      <c r="A276" s="31"/>
      <c r="B276" s="32" t="s">
        <v>1211</v>
      </c>
      <c r="C276" s="31" t="s">
        <v>143</v>
      </c>
      <c r="D276" s="31" t="s">
        <v>1212</v>
      </c>
      <c r="E276" s="31" t="s">
        <v>1213</v>
      </c>
      <c r="F276" s="31" t="s">
        <v>31</v>
      </c>
      <c r="G276" s="31">
        <v>881</v>
      </c>
      <c r="H276" s="31">
        <v>10</v>
      </c>
      <c r="I276" s="31">
        <v>8</v>
      </c>
      <c r="J276" s="31" t="s">
        <v>1214</v>
      </c>
      <c r="K276" s="31" t="s">
        <v>33</v>
      </c>
      <c r="L276" s="31" t="s">
        <v>34</v>
      </c>
      <c r="M276" s="31">
        <v>541</v>
      </c>
      <c r="N276" s="31">
        <v>2023</v>
      </c>
      <c r="O276" s="31">
        <v>547</v>
      </c>
      <c r="P276" s="31"/>
      <c r="Q276" s="31"/>
      <c r="R276" s="33" t="s">
        <v>1215</v>
      </c>
      <c r="S276" s="34" t="str">
        <f>HYPERLINK("http://www.cnpol.ru/covers/20765.jpg","фото на сайте")</f>
        <v>фото на сайте</v>
      </c>
    </row>
    <row r="277" spans="1:19" ht="50.1" customHeight="1">
      <c r="A277" s="31"/>
      <c r="B277" s="32" t="s">
        <v>1216</v>
      </c>
      <c r="C277" s="31" t="s">
        <v>45</v>
      </c>
      <c r="D277" s="31" t="s">
        <v>1217</v>
      </c>
      <c r="E277" s="31" t="s">
        <v>1218</v>
      </c>
      <c r="F277" s="31" t="s">
        <v>31</v>
      </c>
      <c r="G277" s="31">
        <v>880</v>
      </c>
      <c r="H277" s="31">
        <v>10</v>
      </c>
      <c r="I277" s="31">
        <v>10</v>
      </c>
      <c r="J277" s="31" t="s">
        <v>1219</v>
      </c>
      <c r="K277" s="31" t="s">
        <v>33</v>
      </c>
      <c r="L277" s="31" t="s">
        <v>34</v>
      </c>
      <c r="M277" s="31">
        <v>478</v>
      </c>
      <c r="N277" s="31">
        <v>2015</v>
      </c>
      <c r="O277" s="31">
        <v>370</v>
      </c>
      <c r="P277" s="31"/>
      <c r="Q277" s="31"/>
      <c r="R277" s="33"/>
      <c r="S277" s="34" t="str">
        <f>HYPERLINK("http://www.cnpol.ru/covers/16194.jpg","фото на сайте")</f>
        <v>фото на сайте</v>
      </c>
    </row>
    <row r="278" spans="1:19" ht="50.1" customHeight="1">
      <c r="A278" s="31"/>
      <c r="B278" s="32" t="s">
        <v>1220</v>
      </c>
      <c r="C278" s="31" t="s">
        <v>1221</v>
      </c>
      <c r="D278" s="31" t="s">
        <v>1222</v>
      </c>
      <c r="E278" s="31" t="s">
        <v>1223</v>
      </c>
      <c r="F278" s="31" t="s">
        <v>31</v>
      </c>
      <c r="G278" s="31">
        <v>154</v>
      </c>
      <c r="H278" s="31">
        <v>10</v>
      </c>
      <c r="I278" s="31">
        <v>28</v>
      </c>
      <c r="J278" s="31" t="s">
        <v>1224</v>
      </c>
      <c r="K278" s="31" t="s">
        <v>55</v>
      </c>
      <c r="L278" s="31" t="s">
        <v>56</v>
      </c>
      <c r="M278" s="31">
        <v>287</v>
      </c>
      <c r="N278" s="31">
        <v>2008</v>
      </c>
      <c r="O278" s="31">
        <v>120</v>
      </c>
      <c r="P278" s="31"/>
      <c r="Q278" s="31"/>
      <c r="R278" s="33"/>
      <c r="S278" s="34" t="str">
        <f>HYPERLINK("http://www.cnpol.ru/covers/10711.jpg","фото на сайте")</f>
        <v>фото на сайте</v>
      </c>
    </row>
    <row r="279" spans="1:19" ht="50.1" customHeight="1">
      <c r="A279" s="31"/>
      <c r="B279" s="32" t="s">
        <v>1225</v>
      </c>
      <c r="C279" s="31" t="s">
        <v>385</v>
      </c>
      <c r="D279" s="31" t="s">
        <v>386</v>
      </c>
      <c r="E279" s="31" t="s">
        <v>1226</v>
      </c>
      <c r="F279" s="31" t="s">
        <v>31</v>
      </c>
      <c r="G279" s="31">
        <v>162</v>
      </c>
      <c r="H279" s="31">
        <v>10</v>
      </c>
      <c r="I279" s="31">
        <v>32</v>
      </c>
      <c r="J279" s="31" t="s">
        <v>1227</v>
      </c>
      <c r="K279" s="31" t="s">
        <v>55</v>
      </c>
      <c r="L279" s="31" t="s">
        <v>56</v>
      </c>
      <c r="M279" s="31">
        <v>256</v>
      </c>
      <c r="N279" s="31">
        <v>2016</v>
      </c>
      <c r="O279" s="31">
        <v>108</v>
      </c>
      <c r="P279" s="31"/>
      <c r="Q279" s="31"/>
      <c r="R279" s="33"/>
      <c r="S279" s="34" t="str">
        <f>HYPERLINK("http://www.cnpol.ru/covers/0113.jpg","фото на сайте")</f>
        <v>фото на сайте</v>
      </c>
    </row>
    <row r="280" spans="1:19" ht="50.1" customHeight="1">
      <c r="A280" s="31"/>
      <c r="B280" s="32" t="s">
        <v>1228</v>
      </c>
      <c r="C280" s="31" t="s">
        <v>1229</v>
      </c>
      <c r="D280" s="31" t="s">
        <v>386</v>
      </c>
      <c r="E280" s="31" t="s">
        <v>1230</v>
      </c>
      <c r="F280" s="31" t="s">
        <v>31</v>
      </c>
      <c r="G280" s="31">
        <v>486</v>
      </c>
      <c r="H280" s="31">
        <v>10</v>
      </c>
      <c r="I280" s="31">
        <v>16</v>
      </c>
      <c r="J280" s="31" t="s">
        <v>1231</v>
      </c>
      <c r="K280" s="31" t="s">
        <v>33</v>
      </c>
      <c r="L280" s="31" t="s">
        <v>34</v>
      </c>
      <c r="M280" s="31">
        <v>320</v>
      </c>
      <c r="N280" s="31">
        <v>2015</v>
      </c>
      <c r="O280" s="31">
        <v>310</v>
      </c>
      <c r="P280" s="31"/>
      <c r="Q280" s="31"/>
      <c r="R280" s="33"/>
      <c r="S280" s="34" t="str">
        <f>HYPERLINK("http://www.cnpol.ru/covers/16412.jpg","фото на сайте")</f>
        <v>фото на сайте</v>
      </c>
    </row>
    <row r="281" spans="1:19" ht="50.1" customHeight="1">
      <c r="A281" s="31"/>
      <c r="B281" s="32" t="s">
        <v>1232</v>
      </c>
      <c r="C281" s="31" t="s">
        <v>395</v>
      </c>
      <c r="D281" s="31" t="s">
        <v>1233</v>
      </c>
      <c r="E281" s="31" t="s">
        <v>1234</v>
      </c>
      <c r="F281" s="31" t="s">
        <v>31</v>
      </c>
      <c r="G281" s="31">
        <v>290</v>
      </c>
      <c r="H281" s="31">
        <v>10</v>
      </c>
      <c r="I281" s="31">
        <v>12</v>
      </c>
      <c r="J281" s="31" t="s">
        <v>1235</v>
      </c>
      <c r="K281" s="31" t="s">
        <v>33</v>
      </c>
      <c r="L281" s="31" t="s">
        <v>34</v>
      </c>
      <c r="M281" s="31">
        <v>475</v>
      </c>
      <c r="N281" s="31">
        <v>2002</v>
      </c>
      <c r="O281" s="31">
        <v>366</v>
      </c>
      <c r="P281" s="31"/>
      <c r="Q281" s="31"/>
      <c r="R281" s="33"/>
      <c r="S281" s="34" t="str">
        <f>HYPERLINK("http://www.cnpol.ru/covers/3230.jpg","фото на сайте")</f>
        <v>фото на сайте</v>
      </c>
    </row>
    <row r="282" spans="1:19" ht="50.1" customHeight="1">
      <c r="A282" s="31"/>
      <c r="B282" s="32" t="s">
        <v>1236</v>
      </c>
      <c r="C282" s="31" t="s">
        <v>1237</v>
      </c>
      <c r="D282" s="31" t="s">
        <v>1238</v>
      </c>
      <c r="E282" s="31" t="s">
        <v>1239</v>
      </c>
      <c r="F282" s="31" t="s">
        <v>31</v>
      </c>
      <c r="G282" s="31">
        <v>807</v>
      </c>
      <c r="H282" s="31">
        <v>10</v>
      </c>
      <c r="I282" s="31">
        <v>12</v>
      </c>
      <c r="J282" s="31" t="s">
        <v>1240</v>
      </c>
      <c r="K282" s="31" t="s">
        <v>33</v>
      </c>
      <c r="L282" s="31" t="s">
        <v>34</v>
      </c>
      <c r="M282" s="31">
        <v>416</v>
      </c>
      <c r="N282" s="31">
        <v>2020</v>
      </c>
      <c r="O282" s="31">
        <v>508</v>
      </c>
      <c r="P282" s="31"/>
      <c r="Q282" s="31"/>
      <c r="R282" s="33"/>
      <c r="S282" s="34" t="str">
        <f>HYPERLINK("http://www.cnpol.ru/covers/19048.jpg","фото на сайте")</f>
        <v>фото на сайте</v>
      </c>
    </row>
    <row r="283" spans="1:19" ht="50.1" customHeight="1">
      <c r="A283" s="31"/>
      <c r="B283" s="32" t="s">
        <v>1241</v>
      </c>
      <c r="C283" s="31" t="s">
        <v>1242</v>
      </c>
      <c r="D283" s="31" t="s">
        <v>1243</v>
      </c>
      <c r="E283" s="31" t="s">
        <v>1244</v>
      </c>
      <c r="F283" s="31" t="s">
        <v>31</v>
      </c>
      <c r="G283" s="31">
        <v>137</v>
      </c>
      <c r="H283" s="31">
        <v>10</v>
      </c>
      <c r="I283" s="31">
        <v>28</v>
      </c>
      <c r="J283" s="31" t="s">
        <v>1245</v>
      </c>
      <c r="K283" s="31" t="s">
        <v>130</v>
      </c>
      <c r="L283" s="31" t="s">
        <v>56</v>
      </c>
      <c r="M283" s="31">
        <v>255</v>
      </c>
      <c r="N283" s="31">
        <v>2005</v>
      </c>
      <c r="O283" s="31">
        <v>136</v>
      </c>
      <c r="P283" s="31"/>
      <c r="Q283" s="31"/>
      <c r="R283" s="33"/>
      <c r="S283" s="34" t="str">
        <f>HYPERLINK("http://www.cnpol.ru/covers/6181.jpg","фото на сайте")</f>
        <v>фото на сайте</v>
      </c>
    </row>
    <row r="284" spans="1:19" ht="50.1" customHeight="1">
      <c r="A284" s="31"/>
      <c r="B284" s="32" t="s">
        <v>1246</v>
      </c>
      <c r="C284" s="31" t="s">
        <v>1247</v>
      </c>
      <c r="D284" s="31" t="s">
        <v>1248</v>
      </c>
      <c r="E284" s="31" t="s">
        <v>1249</v>
      </c>
      <c r="F284" s="31" t="s">
        <v>31</v>
      </c>
      <c r="G284" s="31">
        <v>112</v>
      </c>
      <c r="H284" s="31">
        <v>10</v>
      </c>
      <c r="I284" s="31">
        <v>40</v>
      </c>
      <c r="J284" s="31" t="s">
        <v>1250</v>
      </c>
      <c r="K284" s="31" t="s">
        <v>123</v>
      </c>
      <c r="L284" s="31" t="s">
        <v>56</v>
      </c>
      <c r="M284" s="31">
        <v>127</v>
      </c>
      <c r="N284" s="31">
        <v>2015</v>
      </c>
      <c r="O284" s="31">
        <v>64</v>
      </c>
      <c r="P284" s="31"/>
      <c r="Q284" s="31"/>
      <c r="R284" s="33"/>
      <c r="S284" s="34" t="str">
        <f>HYPERLINK("http://www.cnpol.ru/covers/16100.jpg","фото на сайте")</f>
        <v>фото на сайте</v>
      </c>
    </row>
    <row r="285" spans="1:19" ht="50.1" customHeight="1">
      <c r="A285" s="31"/>
      <c r="B285" s="32" t="s">
        <v>1251</v>
      </c>
      <c r="C285" s="31" t="s">
        <v>1252</v>
      </c>
      <c r="D285" s="31" t="s">
        <v>1253</v>
      </c>
      <c r="E285" s="31" t="s">
        <v>1254</v>
      </c>
      <c r="F285" s="31" t="s">
        <v>31</v>
      </c>
      <c r="G285" s="31">
        <v>18</v>
      </c>
      <c r="H285" s="31">
        <v>10</v>
      </c>
      <c r="I285" s="31">
        <v>100</v>
      </c>
      <c r="J285" s="31" t="s">
        <v>1255</v>
      </c>
      <c r="K285" s="31" t="s">
        <v>123</v>
      </c>
      <c r="L285" s="31" t="s">
        <v>56</v>
      </c>
      <c r="M285" s="31" t="s">
        <v>431</v>
      </c>
      <c r="N285" s="31" t="s">
        <v>431</v>
      </c>
      <c r="O285" s="31" t="s">
        <v>220</v>
      </c>
      <c r="P285" s="31"/>
      <c r="Q285" s="31"/>
      <c r="R285" s="33"/>
      <c r="S285" s="34" t="str">
        <f>HYPERLINK("http://www.cnpol.ru/covers/4165.jpg","фото на сайте")</f>
        <v>фото на сайте</v>
      </c>
    </row>
    <row r="286" spans="1:19" ht="50.1" customHeight="1">
      <c r="A286" s="31"/>
      <c r="B286" s="32" t="s">
        <v>1256</v>
      </c>
      <c r="C286" s="31" t="s">
        <v>400</v>
      </c>
      <c r="D286" s="31" t="s">
        <v>1257</v>
      </c>
      <c r="E286" s="31" t="s">
        <v>1258</v>
      </c>
      <c r="F286" s="31" t="s">
        <v>31</v>
      </c>
      <c r="G286" s="31">
        <v>503</v>
      </c>
      <c r="H286" s="31">
        <v>10</v>
      </c>
      <c r="I286" s="31">
        <v>14</v>
      </c>
      <c r="J286" s="31" t="s">
        <v>1259</v>
      </c>
      <c r="K286" s="31" t="s">
        <v>33</v>
      </c>
      <c r="L286" s="31" t="s">
        <v>34</v>
      </c>
      <c r="M286" s="31">
        <v>288</v>
      </c>
      <c r="N286" s="31">
        <v>2018</v>
      </c>
      <c r="O286" s="31">
        <v>254</v>
      </c>
      <c r="P286" s="31"/>
      <c r="Q286" s="31"/>
      <c r="R286" s="33"/>
      <c r="S286" s="34" t="str">
        <f>HYPERLINK("http://www.cnpol.ru/covers/18434.jpg","фото на сайте")</f>
        <v>фото на сайте</v>
      </c>
    </row>
    <row r="287" spans="1:19" ht="50.1" customHeight="1">
      <c r="A287" s="31"/>
      <c r="B287" s="32" t="s">
        <v>1260</v>
      </c>
      <c r="C287" s="31" t="s">
        <v>998</v>
      </c>
      <c r="D287" s="31" t="s">
        <v>1261</v>
      </c>
      <c r="E287" s="31" t="s">
        <v>1262</v>
      </c>
      <c r="F287" s="31" t="s">
        <v>31</v>
      </c>
      <c r="G287" s="31">
        <v>389</v>
      </c>
      <c r="H287" s="31">
        <v>10</v>
      </c>
      <c r="I287" s="31">
        <v>24</v>
      </c>
      <c r="J287" s="31" t="s">
        <v>1263</v>
      </c>
      <c r="K287" s="31" t="s">
        <v>33</v>
      </c>
      <c r="L287" s="31" t="s">
        <v>34</v>
      </c>
      <c r="M287" s="31">
        <v>191</v>
      </c>
      <c r="N287" s="31">
        <v>2008</v>
      </c>
      <c r="O287" s="31">
        <v>216</v>
      </c>
      <c r="P287" s="31"/>
      <c r="Q287" s="31"/>
      <c r="R287" s="33"/>
      <c r="S287" s="34" t="str">
        <f>HYPERLINK("http://www.cnpol.ru/covers/10762.jpg","фото на сайте")</f>
        <v>фото на сайте</v>
      </c>
    </row>
    <row r="288" spans="1:19" ht="50.1" customHeight="1">
      <c r="A288" s="31"/>
      <c r="B288" s="32" t="s">
        <v>1264</v>
      </c>
      <c r="C288" s="31" t="s">
        <v>1265</v>
      </c>
      <c r="D288" s="31" t="s">
        <v>1266</v>
      </c>
      <c r="E288" s="31" t="s">
        <v>1267</v>
      </c>
      <c r="F288" s="31" t="s">
        <v>31</v>
      </c>
      <c r="G288" s="31">
        <v>81</v>
      </c>
      <c r="H288" s="31">
        <v>10</v>
      </c>
      <c r="I288" s="31">
        <v>50</v>
      </c>
      <c r="J288" s="31" t="s">
        <v>1268</v>
      </c>
      <c r="K288" s="31" t="s">
        <v>123</v>
      </c>
      <c r="L288" s="31" t="s">
        <v>56</v>
      </c>
      <c r="M288" s="31">
        <v>126</v>
      </c>
      <c r="N288" s="31">
        <v>2012</v>
      </c>
      <c r="O288" s="31">
        <v>66</v>
      </c>
      <c r="P288" s="31"/>
      <c r="Q288" s="31"/>
      <c r="R288" s="33"/>
      <c r="S288" s="34" t="str">
        <f>HYPERLINK("http://www.cnpol.ru/covers/13767.jpg","фото на сайте")</f>
        <v>фото на сайте</v>
      </c>
    </row>
    <row r="289" spans="1:19" ht="50.1" customHeight="1">
      <c r="A289" s="31"/>
      <c r="B289" s="32" t="s">
        <v>1269</v>
      </c>
      <c r="C289" s="31" t="s">
        <v>1265</v>
      </c>
      <c r="D289" s="31" t="s">
        <v>1266</v>
      </c>
      <c r="E289" s="31" t="s">
        <v>1267</v>
      </c>
      <c r="F289" s="31" t="s">
        <v>31</v>
      </c>
      <c r="G289" s="31">
        <v>81</v>
      </c>
      <c r="H289" s="31">
        <v>10</v>
      </c>
      <c r="I289" s="31">
        <v>60</v>
      </c>
      <c r="J289" s="31" t="s">
        <v>1268</v>
      </c>
      <c r="K289" s="31" t="s">
        <v>123</v>
      </c>
      <c r="L289" s="31" t="s">
        <v>56</v>
      </c>
      <c r="M289" s="31">
        <v>126</v>
      </c>
      <c r="N289" s="31">
        <v>2012</v>
      </c>
      <c r="O289" s="31">
        <v>62</v>
      </c>
      <c r="P289" s="31"/>
      <c r="Q289" s="31"/>
      <c r="R289" s="33"/>
      <c r="S289" s="34" t="str">
        <f>HYPERLINK("http://www.cnpol.ru/covers/13345.jpg","фото на сайте")</f>
        <v>фото на сайте</v>
      </c>
    </row>
    <row r="290" spans="1:19" ht="50.1" customHeight="1">
      <c r="A290" s="31" t="s">
        <v>35</v>
      </c>
      <c r="B290" s="32" t="s">
        <v>1270</v>
      </c>
      <c r="C290" s="31" t="s">
        <v>1271</v>
      </c>
      <c r="D290" s="31" t="s">
        <v>1272</v>
      </c>
      <c r="E290" s="31" t="s">
        <v>1273</v>
      </c>
      <c r="F290" s="31" t="s">
        <v>31</v>
      </c>
      <c r="G290" s="35">
        <v>1205</v>
      </c>
      <c r="H290" s="31">
        <v>10</v>
      </c>
      <c r="I290" s="31">
        <v>5</v>
      </c>
      <c r="J290" s="31" t="s">
        <v>1274</v>
      </c>
      <c r="K290" s="31" t="s">
        <v>33</v>
      </c>
      <c r="L290" s="31" t="s">
        <v>34</v>
      </c>
      <c r="M290" s="31">
        <v>575</v>
      </c>
      <c r="N290" s="31">
        <v>2025</v>
      </c>
      <c r="O290" s="31">
        <v>608</v>
      </c>
      <c r="P290" s="31"/>
      <c r="Q290" s="31"/>
      <c r="R290" s="33" t="s">
        <v>1275</v>
      </c>
      <c r="S290" s="34" t="str">
        <f>HYPERLINK("http://www.cnpol.ru/covers/21737.jpg","фото на сайте")</f>
        <v>фото на сайте</v>
      </c>
    </row>
    <row r="291" spans="1:19" ht="50.1" customHeight="1">
      <c r="A291" s="31"/>
      <c r="B291" s="32" t="s">
        <v>1276</v>
      </c>
      <c r="C291" s="31" t="s">
        <v>37</v>
      </c>
      <c r="D291" s="31" t="s">
        <v>1277</v>
      </c>
      <c r="E291" s="31" t="s">
        <v>1278</v>
      </c>
      <c r="F291" s="31" t="s">
        <v>31</v>
      </c>
      <c r="G291" s="31">
        <v>722</v>
      </c>
      <c r="H291" s="31">
        <v>10</v>
      </c>
      <c r="I291" s="31">
        <v>18</v>
      </c>
      <c r="J291" s="31" t="s">
        <v>1279</v>
      </c>
      <c r="K291" s="31" t="s">
        <v>33</v>
      </c>
      <c r="L291" s="31" t="s">
        <v>34</v>
      </c>
      <c r="M291" s="31">
        <v>189</v>
      </c>
      <c r="N291" s="31">
        <v>2022</v>
      </c>
      <c r="O291" s="31">
        <v>244</v>
      </c>
      <c r="P291" s="31"/>
      <c r="Q291" s="31"/>
      <c r="R291" s="33"/>
      <c r="S291" s="34" t="str">
        <f>HYPERLINK("http://www.cnpol.ru/covers/20202.jpg","фото на сайте")</f>
        <v>фото на сайте</v>
      </c>
    </row>
    <row r="292" spans="1:19" ht="50.1" customHeight="1">
      <c r="A292" s="31"/>
      <c r="B292" s="32" t="s">
        <v>1280</v>
      </c>
      <c r="C292" s="31" t="s">
        <v>1281</v>
      </c>
      <c r="D292" s="31" t="s">
        <v>1282</v>
      </c>
      <c r="E292" s="31" t="s">
        <v>1283</v>
      </c>
      <c r="F292" s="31" t="s">
        <v>31</v>
      </c>
      <c r="G292" s="31">
        <v>386</v>
      </c>
      <c r="H292" s="31">
        <v>10</v>
      </c>
      <c r="I292" s="31">
        <v>12</v>
      </c>
      <c r="J292" s="31" t="s">
        <v>1284</v>
      </c>
      <c r="K292" s="31" t="s">
        <v>33</v>
      </c>
      <c r="L292" s="31" t="s">
        <v>210</v>
      </c>
      <c r="M292" s="31">
        <v>320</v>
      </c>
      <c r="N292" s="31">
        <v>2018</v>
      </c>
      <c r="O292" s="31">
        <v>184</v>
      </c>
      <c r="P292" s="31"/>
      <c r="Q292" s="31"/>
      <c r="R292" s="33"/>
      <c r="S292" s="34" t="str">
        <f>HYPERLINK("http://www.cnpol.ru/covers/18032.jpg","фото на сайте")</f>
        <v>фото на сайте</v>
      </c>
    </row>
    <row r="293" spans="1:19" ht="50.1" customHeight="1">
      <c r="A293" s="31"/>
      <c r="B293" s="32" t="s">
        <v>1285</v>
      </c>
      <c r="C293" s="31" t="s">
        <v>1281</v>
      </c>
      <c r="D293" s="31" t="s">
        <v>1282</v>
      </c>
      <c r="E293" s="31" t="s">
        <v>1286</v>
      </c>
      <c r="F293" s="31" t="s">
        <v>31</v>
      </c>
      <c r="G293" s="31">
        <v>386</v>
      </c>
      <c r="H293" s="31">
        <v>10</v>
      </c>
      <c r="I293" s="31">
        <v>12</v>
      </c>
      <c r="J293" s="31" t="s">
        <v>1287</v>
      </c>
      <c r="K293" s="31" t="s">
        <v>33</v>
      </c>
      <c r="L293" s="31" t="s">
        <v>210</v>
      </c>
      <c r="M293" s="31">
        <v>352</v>
      </c>
      <c r="N293" s="31">
        <v>2018</v>
      </c>
      <c r="O293" s="31">
        <v>200</v>
      </c>
      <c r="P293" s="31"/>
      <c r="Q293" s="31"/>
      <c r="R293" s="33"/>
      <c r="S293" s="34" t="str">
        <f>HYPERLINK("http://www.cnpol.ru/covers/18060.jpg","фото на сайте")</f>
        <v>фото на сайте</v>
      </c>
    </row>
    <row r="294" spans="1:19" ht="50.1" customHeight="1">
      <c r="A294" s="31"/>
      <c r="B294" s="32" t="s">
        <v>1288</v>
      </c>
      <c r="C294" s="31" t="s">
        <v>1281</v>
      </c>
      <c r="D294" s="31" t="s">
        <v>1282</v>
      </c>
      <c r="E294" s="31" t="s">
        <v>1289</v>
      </c>
      <c r="F294" s="31" t="s">
        <v>31</v>
      </c>
      <c r="G294" s="31">
        <v>386</v>
      </c>
      <c r="H294" s="31">
        <v>10</v>
      </c>
      <c r="I294" s="31">
        <v>10</v>
      </c>
      <c r="J294" s="31" t="s">
        <v>1290</v>
      </c>
      <c r="K294" s="31" t="s">
        <v>33</v>
      </c>
      <c r="L294" s="31" t="s">
        <v>210</v>
      </c>
      <c r="M294" s="31">
        <v>480</v>
      </c>
      <c r="N294" s="31">
        <v>2018</v>
      </c>
      <c r="O294" s="31">
        <v>268</v>
      </c>
      <c r="P294" s="31"/>
      <c r="Q294" s="31"/>
      <c r="R294" s="33"/>
      <c r="S294" s="34" t="str">
        <f>HYPERLINK("http://www.cnpol.ru/covers/18011.jpg","фото на сайте")</f>
        <v>фото на сайте</v>
      </c>
    </row>
    <row r="295" spans="1:19" ht="50.1" customHeight="1">
      <c r="A295" s="31"/>
      <c r="B295" s="32" t="s">
        <v>1291</v>
      </c>
      <c r="C295" s="31" t="s">
        <v>546</v>
      </c>
      <c r="D295" s="31" t="s">
        <v>1292</v>
      </c>
      <c r="E295" s="31" t="s">
        <v>1293</v>
      </c>
      <c r="F295" s="31">
        <v>225</v>
      </c>
      <c r="G295" s="31">
        <v>93</v>
      </c>
      <c r="H295" s="31">
        <v>10</v>
      </c>
      <c r="I295" s="31">
        <v>30</v>
      </c>
      <c r="J295" s="31" t="s">
        <v>1294</v>
      </c>
      <c r="K295" s="31" t="s">
        <v>123</v>
      </c>
      <c r="L295" s="31" t="s">
        <v>56</v>
      </c>
      <c r="M295" s="31">
        <v>160</v>
      </c>
      <c r="N295" s="31">
        <v>2017</v>
      </c>
      <c r="O295" s="31">
        <v>76</v>
      </c>
      <c r="P295" s="31"/>
      <c r="Q295" s="31"/>
      <c r="R295" s="33"/>
      <c r="S295" s="34" t="str">
        <f>HYPERLINK("http://www.cnpol.ru/covers/17560.jpg","фото на сайте")</f>
        <v>фото на сайте</v>
      </c>
    </row>
    <row r="296" spans="1:19" ht="50.1" customHeight="1">
      <c r="A296" s="31"/>
      <c r="B296" s="32" t="s">
        <v>1295</v>
      </c>
      <c r="C296" s="31" t="s">
        <v>37</v>
      </c>
      <c r="D296" s="31" t="s">
        <v>1296</v>
      </c>
      <c r="E296" s="31" t="s">
        <v>1297</v>
      </c>
      <c r="F296" s="31" t="s">
        <v>31</v>
      </c>
      <c r="G296" s="31">
        <v>791</v>
      </c>
      <c r="H296" s="31">
        <v>10</v>
      </c>
      <c r="I296" s="31">
        <v>6</v>
      </c>
      <c r="J296" s="31" t="s">
        <v>1298</v>
      </c>
      <c r="K296" s="31" t="s">
        <v>33</v>
      </c>
      <c r="L296" s="31" t="s">
        <v>34</v>
      </c>
      <c r="M296" s="31">
        <v>671</v>
      </c>
      <c r="N296" s="31">
        <v>2023</v>
      </c>
      <c r="O296" s="31">
        <v>504</v>
      </c>
      <c r="P296" s="31"/>
      <c r="Q296" s="31"/>
      <c r="R296" s="33" t="s">
        <v>1299</v>
      </c>
      <c r="S296" s="34" t="str">
        <f>HYPERLINK("http://www.cnpol.ru/covers/20920.jpg","фото на сайте")</f>
        <v>фото на сайте</v>
      </c>
    </row>
    <row r="297" spans="1:19" ht="50.1" customHeight="1">
      <c r="A297" s="31" t="s">
        <v>43</v>
      </c>
      <c r="B297" s="32" t="s">
        <v>1300</v>
      </c>
      <c r="C297" s="31" t="s">
        <v>1301</v>
      </c>
      <c r="D297" s="31" t="s">
        <v>1302</v>
      </c>
      <c r="E297" s="31" t="s">
        <v>1303</v>
      </c>
      <c r="F297" s="31" t="s">
        <v>31</v>
      </c>
      <c r="G297" s="31">
        <v>782</v>
      </c>
      <c r="H297" s="31">
        <v>10</v>
      </c>
      <c r="I297" s="31">
        <v>14</v>
      </c>
      <c r="J297" s="31" t="s">
        <v>1304</v>
      </c>
      <c r="K297" s="31" t="s">
        <v>33</v>
      </c>
      <c r="L297" s="31" t="s">
        <v>34</v>
      </c>
      <c r="M297" s="31">
        <v>255</v>
      </c>
      <c r="N297" s="31" t="s">
        <v>431</v>
      </c>
      <c r="O297" s="31" t="s">
        <v>220</v>
      </c>
      <c r="P297" s="31"/>
      <c r="Q297" s="31"/>
      <c r="R297" s="33" t="s">
        <v>1305</v>
      </c>
      <c r="S297" s="34" t="str">
        <f>HYPERLINK("http://www.cnpol.ru/covers/21402.jpg","фото на сайте")</f>
        <v>фото на сайте</v>
      </c>
    </row>
    <row r="298" spans="1:19" ht="50.1" customHeight="1">
      <c r="A298" s="31" t="s">
        <v>35</v>
      </c>
      <c r="B298" s="32" t="s">
        <v>1306</v>
      </c>
      <c r="C298" s="31" t="s">
        <v>37</v>
      </c>
      <c r="D298" s="31" t="s">
        <v>1139</v>
      </c>
      <c r="E298" s="31" t="s">
        <v>1307</v>
      </c>
      <c r="F298" s="31" t="s">
        <v>31</v>
      </c>
      <c r="G298" s="35">
        <v>1052</v>
      </c>
      <c r="H298" s="31">
        <v>10</v>
      </c>
      <c r="I298" s="31">
        <v>5</v>
      </c>
      <c r="J298" s="31" t="s">
        <v>1308</v>
      </c>
      <c r="K298" s="31" t="s">
        <v>33</v>
      </c>
      <c r="L298" s="31" t="s">
        <v>34</v>
      </c>
      <c r="M298" s="31">
        <v>382</v>
      </c>
      <c r="N298" s="31">
        <v>2025</v>
      </c>
      <c r="O298" s="31">
        <v>439</v>
      </c>
      <c r="P298" s="31"/>
      <c r="Q298" s="31"/>
      <c r="R298" s="33" t="s">
        <v>1309</v>
      </c>
      <c r="S298" s="34" t="str">
        <f>HYPERLINK("http://www.cnpol.ru/covers/21698.jpg","фото на сайте")</f>
        <v>фото на сайте</v>
      </c>
    </row>
    <row r="299" spans="1:19" ht="50.1" customHeight="1">
      <c r="A299" s="31"/>
      <c r="B299" s="32" t="s">
        <v>1310</v>
      </c>
      <c r="C299" s="31" t="s">
        <v>1311</v>
      </c>
      <c r="D299" s="31" t="s">
        <v>1312</v>
      </c>
      <c r="E299" s="31" t="s">
        <v>1313</v>
      </c>
      <c r="F299" s="31" t="s">
        <v>31</v>
      </c>
      <c r="G299" s="31">
        <v>486</v>
      </c>
      <c r="H299" s="31">
        <v>10</v>
      </c>
      <c r="I299" s="31">
        <v>20</v>
      </c>
      <c r="J299" s="31" t="s">
        <v>1314</v>
      </c>
      <c r="K299" s="31" t="s">
        <v>33</v>
      </c>
      <c r="L299" s="31" t="s">
        <v>34</v>
      </c>
      <c r="M299" s="31">
        <v>157</v>
      </c>
      <c r="N299" s="31">
        <v>2009</v>
      </c>
      <c r="O299" s="31">
        <v>186</v>
      </c>
      <c r="P299" s="31"/>
      <c r="Q299" s="31"/>
      <c r="R299" s="33"/>
      <c r="S299" s="34" t="str">
        <f>HYPERLINK("http://www.cnpol.ru/covers/10996.jpg","фото на сайте")</f>
        <v>фото на сайте</v>
      </c>
    </row>
    <row r="300" spans="1:19" ht="50.1" customHeight="1">
      <c r="A300" s="31"/>
      <c r="B300" s="32" t="s">
        <v>1315</v>
      </c>
      <c r="C300" s="31" t="s">
        <v>126</v>
      </c>
      <c r="D300" s="31" t="s">
        <v>236</v>
      </c>
      <c r="E300" s="31" t="s">
        <v>1316</v>
      </c>
      <c r="F300" s="31" t="s">
        <v>31</v>
      </c>
      <c r="G300" s="31">
        <v>162</v>
      </c>
      <c r="H300" s="31">
        <v>10</v>
      </c>
      <c r="I300" s="31">
        <v>40</v>
      </c>
      <c r="J300" s="31" t="s">
        <v>1317</v>
      </c>
      <c r="K300" s="31" t="s">
        <v>1159</v>
      </c>
      <c r="L300" s="31" t="s">
        <v>56</v>
      </c>
      <c r="M300" s="31">
        <v>126</v>
      </c>
      <c r="N300" s="31">
        <v>2012</v>
      </c>
      <c r="O300" s="31">
        <v>88</v>
      </c>
      <c r="P300" s="31"/>
      <c r="Q300" s="31"/>
      <c r="R300" s="33"/>
      <c r="S300" s="34" t="str">
        <f>HYPERLINK("http://www.cnpol.ru/covers/13783.jpg","фото на сайте")</f>
        <v>фото на сайте</v>
      </c>
    </row>
    <row r="301" spans="1:19" ht="50.1" customHeight="1">
      <c r="A301" s="31"/>
      <c r="B301" s="32" t="s">
        <v>1318</v>
      </c>
      <c r="C301" s="31" t="s">
        <v>668</v>
      </c>
      <c r="D301" s="31" t="s">
        <v>1319</v>
      </c>
      <c r="E301" s="31" t="s">
        <v>1320</v>
      </c>
      <c r="F301" s="31" t="s">
        <v>31</v>
      </c>
      <c r="G301" s="31">
        <v>719</v>
      </c>
      <c r="H301" s="31">
        <v>10</v>
      </c>
      <c r="I301" s="31">
        <v>20</v>
      </c>
      <c r="J301" s="31" t="s">
        <v>1321</v>
      </c>
      <c r="K301" s="31" t="s">
        <v>33</v>
      </c>
      <c r="L301" s="31" t="s">
        <v>34</v>
      </c>
      <c r="M301" s="31">
        <v>224</v>
      </c>
      <c r="N301" s="31">
        <v>2021</v>
      </c>
      <c r="O301" s="31">
        <v>276</v>
      </c>
      <c r="P301" s="31"/>
      <c r="Q301" s="31"/>
      <c r="R301" s="33"/>
      <c r="S301" s="34" t="str">
        <f>HYPERLINK("http://www.cnpol.ru/covers/19498.jpg","фото на сайте")</f>
        <v>фото на сайте</v>
      </c>
    </row>
    <row r="302" spans="1:19" ht="50.1" customHeight="1">
      <c r="A302" s="31"/>
      <c r="B302" s="32" t="s">
        <v>1322</v>
      </c>
      <c r="C302" s="31" t="s">
        <v>1323</v>
      </c>
      <c r="D302" s="31" t="s">
        <v>1324</v>
      </c>
      <c r="E302" s="31" t="s">
        <v>1325</v>
      </c>
      <c r="F302" s="31" t="s">
        <v>31</v>
      </c>
      <c r="G302" s="31">
        <v>169</v>
      </c>
      <c r="H302" s="31">
        <v>10</v>
      </c>
      <c r="I302" s="31">
        <v>40</v>
      </c>
      <c r="J302" s="31" t="s">
        <v>1326</v>
      </c>
      <c r="K302" s="31" t="s">
        <v>55</v>
      </c>
      <c r="L302" s="31" t="s">
        <v>56</v>
      </c>
      <c r="M302" s="31">
        <v>256</v>
      </c>
      <c r="N302" s="31">
        <v>2019</v>
      </c>
      <c r="O302" s="31">
        <v>110</v>
      </c>
      <c r="P302" s="31"/>
      <c r="Q302" s="31"/>
      <c r="R302" s="33"/>
      <c r="S302" s="34" t="str">
        <f>HYPERLINK("http://www.cnpol.ru/covers/18957.jpg","фото на сайте")</f>
        <v>фото на сайте</v>
      </c>
    </row>
    <row r="303" spans="1:19" ht="50.1" customHeight="1">
      <c r="A303" s="31" t="s">
        <v>43</v>
      </c>
      <c r="B303" s="32" t="s">
        <v>1327</v>
      </c>
      <c r="C303" s="31" t="s">
        <v>1328</v>
      </c>
      <c r="D303" s="31" t="s">
        <v>1329</v>
      </c>
      <c r="E303" s="31" t="s">
        <v>1330</v>
      </c>
      <c r="F303" s="31" t="s">
        <v>31</v>
      </c>
      <c r="G303" s="31">
        <v>488</v>
      </c>
      <c r="H303" s="31">
        <v>10</v>
      </c>
      <c r="I303" s="31">
        <v>8</v>
      </c>
      <c r="J303" s="31" t="s">
        <v>1331</v>
      </c>
      <c r="K303" s="31" t="s">
        <v>130</v>
      </c>
      <c r="L303" s="31" t="s">
        <v>56</v>
      </c>
      <c r="M303" s="31">
        <v>286</v>
      </c>
      <c r="N303" s="31">
        <v>2024</v>
      </c>
      <c r="O303" s="31">
        <v>246</v>
      </c>
      <c r="P303" s="31"/>
      <c r="Q303" s="31"/>
      <c r="R303" s="33" t="s">
        <v>1332</v>
      </c>
      <c r="S303" s="34" t="str">
        <f>HYPERLINK("http://www.cnpol.ru/covers/21094.jpg","фото на сайте")</f>
        <v>фото на сайте</v>
      </c>
    </row>
    <row r="304" spans="1:19" ht="50.1" customHeight="1">
      <c r="A304" s="31" t="s">
        <v>43</v>
      </c>
      <c r="B304" s="32" t="s">
        <v>1333</v>
      </c>
      <c r="C304" s="31" t="s">
        <v>1328</v>
      </c>
      <c r="D304" s="31" t="s">
        <v>1329</v>
      </c>
      <c r="E304" s="31" t="s">
        <v>1334</v>
      </c>
      <c r="F304" s="31" t="s">
        <v>31</v>
      </c>
      <c r="G304" s="35">
        <v>1610</v>
      </c>
      <c r="H304" s="31">
        <v>10</v>
      </c>
      <c r="I304" s="31">
        <v>4</v>
      </c>
      <c r="J304" s="31" t="s">
        <v>1335</v>
      </c>
      <c r="K304" s="31" t="s">
        <v>33</v>
      </c>
      <c r="L304" s="31" t="s">
        <v>34</v>
      </c>
      <c r="M304" s="31">
        <v>511</v>
      </c>
      <c r="N304" s="31">
        <v>2025</v>
      </c>
      <c r="O304" s="31">
        <v>380</v>
      </c>
      <c r="P304" s="31"/>
      <c r="Q304" s="31"/>
      <c r="R304" s="33" t="s">
        <v>1336</v>
      </c>
      <c r="S304" s="34" t="str">
        <f>HYPERLINK("http://www.cnpol.ru/covers/21656.jpg","фото на сайте")</f>
        <v>фото на сайте</v>
      </c>
    </row>
    <row r="305" spans="1:19" ht="50.1" customHeight="1">
      <c r="A305" s="31"/>
      <c r="B305" s="32" t="s">
        <v>1337</v>
      </c>
      <c r="C305" s="31" t="s">
        <v>1338</v>
      </c>
      <c r="D305" s="31" t="s">
        <v>1339</v>
      </c>
      <c r="E305" s="31" t="s">
        <v>1340</v>
      </c>
      <c r="F305" s="31" t="s">
        <v>31</v>
      </c>
      <c r="G305" s="31">
        <v>154</v>
      </c>
      <c r="H305" s="31">
        <v>10</v>
      </c>
      <c r="I305" s="31">
        <v>20</v>
      </c>
      <c r="J305" s="31" t="s">
        <v>1341</v>
      </c>
      <c r="K305" s="31" t="s">
        <v>260</v>
      </c>
      <c r="L305" s="31" t="s">
        <v>56</v>
      </c>
      <c r="M305" s="31">
        <v>302</v>
      </c>
      <c r="N305" s="31">
        <v>2008</v>
      </c>
      <c r="O305" s="31">
        <v>126</v>
      </c>
      <c r="P305" s="31"/>
      <c r="Q305" s="31"/>
      <c r="R305" s="33"/>
      <c r="S305" s="34" t="str">
        <f>HYPERLINK("http://www.cnpol.ru/covers/8677.jpg","фото на сайте")</f>
        <v>фото на сайте</v>
      </c>
    </row>
    <row r="306" spans="1:19" ht="50.1" customHeight="1">
      <c r="A306" s="31"/>
      <c r="B306" s="32" t="s">
        <v>1342</v>
      </c>
      <c r="C306" s="31" t="s">
        <v>390</v>
      </c>
      <c r="D306" s="31" t="s">
        <v>1343</v>
      </c>
      <c r="E306" s="31" t="s">
        <v>1344</v>
      </c>
      <c r="F306" s="31">
        <v>663</v>
      </c>
      <c r="G306" s="31">
        <v>86</v>
      </c>
      <c r="H306" s="31">
        <v>10</v>
      </c>
      <c r="I306" s="31">
        <v>30</v>
      </c>
      <c r="J306" s="31" t="s">
        <v>1345</v>
      </c>
      <c r="K306" s="31" t="s">
        <v>123</v>
      </c>
      <c r="L306" s="31" t="s">
        <v>56</v>
      </c>
      <c r="M306" s="31">
        <v>160</v>
      </c>
      <c r="N306" s="31">
        <v>2016</v>
      </c>
      <c r="O306" s="31">
        <v>76</v>
      </c>
      <c r="P306" s="31"/>
      <c r="Q306" s="31"/>
      <c r="R306" s="33"/>
      <c r="S306" s="34" t="str">
        <f>HYPERLINK("http://www.cnpol.ru/covers/17083.jpg","фото на сайте")</f>
        <v>фото на сайте</v>
      </c>
    </row>
    <row r="307" spans="1:19" ht="50.1" customHeight="1">
      <c r="A307" s="31"/>
      <c r="B307" s="32" t="s">
        <v>1346</v>
      </c>
      <c r="C307" s="31" t="s">
        <v>390</v>
      </c>
      <c r="D307" s="31" t="s">
        <v>1347</v>
      </c>
      <c r="E307" s="31" t="s">
        <v>1348</v>
      </c>
      <c r="F307" s="31">
        <v>642</v>
      </c>
      <c r="G307" s="31">
        <v>86</v>
      </c>
      <c r="H307" s="31">
        <v>10</v>
      </c>
      <c r="I307" s="31">
        <v>30</v>
      </c>
      <c r="J307" s="31" t="s">
        <v>1349</v>
      </c>
      <c r="K307" s="31" t="s">
        <v>123</v>
      </c>
      <c r="L307" s="31" t="s">
        <v>56</v>
      </c>
      <c r="M307" s="31">
        <v>160</v>
      </c>
      <c r="N307" s="31">
        <v>2016</v>
      </c>
      <c r="O307" s="31">
        <v>76</v>
      </c>
      <c r="P307" s="31"/>
      <c r="Q307" s="31"/>
      <c r="R307" s="33"/>
      <c r="S307" s="34" t="str">
        <f>HYPERLINK("http://www.cnpol.ru/covers/16949.jpg","фото на сайте")</f>
        <v>фото на сайте</v>
      </c>
    </row>
    <row r="308" spans="1:19" ht="50.1" customHeight="1">
      <c r="A308" s="31" t="s">
        <v>43</v>
      </c>
      <c r="B308" s="32" t="s">
        <v>1350</v>
      </c>
      <c r="C308" s="31" t="s">
        <v>546</v>
      </c>
      <c r="D308" s="31" t="s">
        <v>1351</v>
      </c>
      <c r="E308" s="31" t="s">
        <v>1352</v>
      </c>
      <c r="F308" s="31">
        <v>445</v>
      </c>
      <c r="G308" s="31">
        <v>93</v>
      </c>
      <c r="H308" s="31">
        <v>10</v>
      </c>
      <c r="I308" s="31">
        <v>30</v>
      </c>
      <c r="J308" s="31" t="s">
        <v>1353</v>
      </c>
      <c r="K308" s="31" t="s">
        <v>123</v>
      </c>
      <c r="L308" s="31" t="s">
        <v>56</v>
      </c>
      <c r="M308" s="31">
        <v>159</v>
      </c>
      <c r="N308" s="31">
        <v>2024</v>
      </c>
      <c r="O308" s="31">
        <v>76</v>
      </c>
      <c r="P308" s="31"/>
      <c r="Q308" s="31"/>
      <c r="R308" s="33" t="s">
        <v>1354</v>
      </c>
      <c r="S308" s="34" t="str">
        <f>HYPERLINK("http://www.cnpol.ru/covers/21130.jpg","фото на сайте")</f>
        <v>фото на сайте</v>
      </c>
    </row>
    <row r="309" spans="1:19" ht="50.1" customHeight="1">
      <c r="A309" s="31"/>
      <c r="B309" s="32" t="s">
        <v>1355</v>
      </c>
      <c r="C309" s="31" t="s">
        <v>418</v>
      </c>
      <c r="D309" s="31" t="s">
        <v>1356</v>
      </c>
      <c r="E309" s="31" t="s">
        <v>1357</v>
      </c>
      <c r="F309" s="31">
        <v>50</v>
      </c>
      <c r="G309" s="31">
        <v>153</v>
      </c>
      <c r="H309" s="31">
        <v>10</v>
      </c>
      <c r="I309" s="31">
        <v>30</v>
      </c>
      <c r="J309" s="31" t="s">
        <v>1358</v>
      </c>
      <c r="K309" s="31" t="s">
        <v>123</v>
      </c>
      <c r="L309" s="31" t="s">
        <v>56</v>
      </c>
      <c r="M309" s="31">
        <v>224</v>
      </c>
      <c r="N309" s="31">
        <v>2014</v>
      </c>
      <c r="O309" s="31">
        <v>104</v>
      </c>
      <c r="P309" s="31"/>
      <c r="Q309" s="31"/>
      <c r="R309" s="33"/>
      <c r="S309" s="34" t="str">
        <f>HYPERLINK("http://www.cnpol.ru/covers/15279.jpg","фото на сайте")</f>
        <v>фото на сайте</v>
      </c>
    </row>
    <row r="310" spans="1:19" ht="50.1" customHeight="1">
      <c r="A310" s="31"/>
      <c r="B310" s="32" t="s">
        <v>1359</v>
      </c>
      <c r="C310" s="31" t="s">
        <v>576</v>
      </c>
      <c r="D310" s="31" t="s">
        <v>577</v>
      </c>
      <c r="E310" s="31" t="s">
        <v>1360</v>
      </c>
      <c r="F310" s="31" t="s">
        <v>31</v>
      </c>
      <c r="G310" s="31">
        <v>226</v>
      </c>
      <c r="H310" s="31">
        <v>10</v>
      </c>
      <c r="I310" s="31">
        <v>20</v>
      </c>
      <c r="J310" s="31" t="s">
        <v>1361</v>
      </c>
      <c r="K310" s="31" t="s">
        <v>123</v>
      </c>
      <c r="L310" s="31" t="s">
        <v>56</v>
      </c>
      <c r="M310" s="31">
        <v>320</v>
      </c>
      <c r="N310" s="31">
        <v>2018</v>
      </c>
      <c r="O310" s="31">
        <v>148</v>
      </c>
      <c r="P310" s="31"/>
      <c r="Q310" s="31"/>
      <c r="R310" s="33"/>
      <c r="S310" s="34" t="str">
        <f>HYPERLINK("http://www.cnpol.ru/covers/18301.jpg","фото на сайте")</f>
        <v>фото на сайте</v>
      </c>
    </row>
    <row r="311" spans="1:19" ht="50.1" customHeight="1">
      <c r="A311" s="31" t="s">
        <v>35</v>
      </c>
      <c r="B311" s="32" t="s">
        <v>1362</v>
      </c>
      <c r="C311" s="31" t="s">
        <v>1363</v>
      </c>
      <c r="D311" s="31" t="s">
        <v>1364</v>
      </c>
      <c r="E311" s="31" t="s">
        <v>1365</v>
      </c>
      <c r="F311" s="31" t="s">
        <v>31</v>
      </c>
      <c r="G311" s="35">
        <v>1277</v>
      </c>
      <c r="H311" s="31">
        <v>10</v>
      </c>
      <c r="I311" s="31">
        <v>12</v>
      </c>
      <c r="J311" s="31" t="s">
        <v>1366</v>
      </c>
      <c r="K311" s="31" t="s">
        <v>41</v>
      </c>
      <c r="L311" s="31" t="s">
        <v>34</v>
      </c>
      <c r="M311" s="31">
        <v>447</v>
      </c>
      <c r="N311" s="31">
        <v>2025</v>
      </c>
      <c r="O311" s="31">
        <v>522</v>
      </c>
      <c r="P311" s="31"/>
      <c r="Q311" s="31"/>
      <c r="R311" s="33" t="s">
        <v>1367</v>
      </c>
      <c r="S311" s="34" t="str">
        <f>HYPERLINK("http://www.cnpol.ru/covers/21506.jpg","фото на сайте")</f>
        <v>фото на сайте</v>
      </c>
    </row>
    <row r="312" spans="1:19" ht="50.1" customHeight="1">
      <c r="A312" s="31"/>
      <c r="B312" s="32" t="s">
        <v>1368</v>
      </c>
      <c r="C312" s="31" t="s">
        <v>400</v>
      </c>
      <c r="D312" s="31" t="s">
        <v>1369</v>
      </c>
      <c r="E312" s="31" t="s">
        <v>1370</v>
      </c>
      <c r="F312" s="31" t="s">
        <v>31</v>
      </c>
      <c r="G312" s="31">
        <v>503</v>
      </c>
      <c r="H312" s="31">
        <v>10</v>
      </c>
      <c r="I312" s="31">
        <v>12</v>
      </c>
      <c r="J312" s="31" t="s">
        <v>1371</v>
      </c>
      <c r="K312" s="31" t="s">
        <v>33</v>
      </c>
      <c r="L312" s="31" t="s">
        <v>34</v>
      </c>
      <c r="M312" s="31">
        <v>352</v>
      </c>
      <c r="N312" s="31">
        <v>2016</v>
      </c>
      <c r="O312" s="31">
        <v>288</v>
      </c>
      <c r="P312" s="31"/>
      <c r="Q312" s="31"/>
      <c r="R312" s="33"/>
      <c r="S312" s="34" t="str">
        <f>HYPERLINK("http://www.cnpol.ru/covers/16975.jpg","фото на сайте")</f>
        <v>фото на сайте</v>
      </c>
    </row>
    <row r="313" spans="1:19" ht="50.1" customHeight="1">
      <c r="A313" s="31"/>
      <c r="B313" s="32" t="s">
        <v>1372</v>
      </c>
      <c r="C313" s="31" t="s">
        <v>1373</v>
      </c>
      <c r="D313" s="31" t="s">
        <v>1374</v>
      </c>
      <c r="E313" s="31" t="s">
        <v>1375</v>
      </c>
      <c r="F313" s="31" t="s">
        <v>31</v>
      </c>
      <c r="G313" s="31">
        <v>389</v>
      </c>
      <c r="H313" s="31">
        <v>10</v>
      </c>
      <c r="I313" s="31">
        <v>12</v>
      </c>
      <c r="J313" s="31" t="s">
        <v>1376</v>
      </c>
      <c r="K313" s="31" t="s">
        <v>1377</v>
      </c>
      <c r="L313" s="31" t="s">
        <v>34</v>
      </c>
      <c r="M313" s="31">
        <v>540</v>
      </c>
      <c r="N313" s="31">
        <v>2001</v>
      </c>
      <c r="O313" s="31">
        <v>372</v>
      </c>
      <c r="P313" s="31"/>
      <c r="Q313" s="31"/>
      <c r="R313" s="33"/>
      <c r="S313" s="34" t="str">
        <f>HYPERLINK("http://www.cnpol.ru/covers/2804.jpg","фото на сайте")</f>
        <v>фото на сайте</v>
      </c>
    </row>
    <row r="314" spans="1:19" ht="50.1" customHeight="1">
      <c r="A314" s="31" t="s">
        <v>43</v>
      </c>
      <c r="B314" s="32" t="s">
        <v>1378</v>
      </c>
      <c r="C314" s="31" t="s">
        <v>663</v>
      </c>
      <c r="D314" s="31" t="s">
        <v>1379</v>
      </c>
      <c r="E314" s="31" t="s">
        <v>1380</v>
      </c>
      <c r="F314" s="31" t="s">
        <v>31</v>
      </c>
      <c r="G314" s="35">
        <v>1278</v>
      </c>
      <c r="H314" s="31">
        <v>10</v>
      </c>
      <c r="I314" s="31">
        <v>4</v>
      </c>
      <c r="J314" s="31" t="s">
        <v>1381</v>
      </c>
      <c r="K314" s="31" t="s">
        <v>33</v>
      </c>
      <c r="L314" s="31" t="s">
        <v>34</v>
      </c>
      <c r="M314" s="31">
        <v>527</v>
      </c>
      <c r="N314" s="31">
        <v>2025</v>
      </c>
      <c r="O314" s="31">
        <v>422</v>
      </c>
      <c r="P314" s="31"/>
      <c r="Q314" s="31"/>
      <c r="R314" s="33" t="s">
        <v>1382</v>
      </c>
      <c r="S314" s="34" t="str">
        <f>HYPERLINK("http://www.cnpol.ru/covers/21572.jpg","фото на сайте")</f>
        <v>фото на сайте</v>
      </c>
    </row>
    <row r="315" spans="1:19" ht="50.1" customHeight="1">
      <c r="A315" s="31"/>
      <c r="B315" s="32" t="s">
        <v>1383</v>
      </c>
      <c r="C315" s="31" t="s">
        <v>528</v>
      </c>
      <c r="D315" s="31" t="s">
        <v>529</v>
      </c>
      <c r="E315" s="31" t="s">
        <v>1384</v>
      </c>
      <c r="F315" s="31" t="s">
        <v>31</v>
      </c>
      <c r="G315" s="31">
        <v>137</v>
      </c>
      <c r="H315" s="31">
        <v>10</v>
      </c>
      <c r="I315" s="31">
        <v>40</v>
      </c>
      <c r="J315" s="31" t="s">
        <v>1385</v>
      </c>
      <c r="K315" s="31" t="s">
        <v>55</v>
      </c>
      <c r="L315" s="31" t="s">
        <v>56</v>
      </c>
      <c r="M315" s="31">
        <v>160</v>
      </c>
      <c r="N315" s="31">
        <v>2015</v>
      </c>
      <c r="O315" s="31">
        <v>68</v>
      </c>
      <c r="P315" s="31"/>
      <c r="Q315" s="31"/>
      <c r="R315" s="33"/>
      <c r="S315" s="34" t="str">
        <f>HYPERLINK("http://www.cnpol.ru/covers/16338.jpg","фото на сайте")</f>
        <v>фото на сайте</v>
      </c>
    </row>
    <row r="316" spans="1:19" ht="50.1" customHeight="1">
      <c r="A316" s="31"/>
      <c r="B316" s="32" t="s">
        <v>1386</v>
      </c>
      <c r="C316" s="31" t="s">
        <v>479</v>
      </c>
      <c r="D316" s="31" t="s">
        <v>167</v>
      </c>
      <c r="E316" s="31" t="s">
        <v>1387</v>
      </c>
      <c r="F316" s="31" t="s">
        <v>31</v>
      </c>
      <c r="G316" s="31">
        <v>539</v>
      </c>
      <c r="H316" s="31">
        <v>10</v>
      </c>
      <c r="I316" s="31">
        <v>12</v>
      </c>
      <c r="J316" s="31" t="s">
        <v>1388</v>
      </c>
      <c r="K316" s="31" t="s">
        <v>33</v>
      </c>
      <c r="L316" s="31" t="s">
        <v>34</v>
      </c>
      <c r="M316" s="31">
        <v>352</v>
      </c>
      <c r="N316" s="31">
        <v>2017</v>
      </c>
      <c r="O316" s="31">
        <v>370</v>
      </c>
      <c r="P316" s="31"/>
      <c r="Q316" s="31"/>
      <c r="R316" s="33"/>
      <c r="S316" s="34" t="str">
        <f>HYPERLINK("http://www.cnpol.ru/covers/17541.jpg","фото на сайте")</f>
        <v>фото на сайте</v>
      </c>
    </row>
    <row r="317" spans="1:19" ht="50.1" customHeight="1">
      <c r="A317" s="31"/>
      <c r="B317" s="32" t="s">
        <v>1389</v>
      </c>
      <c r="C317" s="31" t="s">
        <v>1390</v>
      </c>
      <c r="D317" s="31" t="s">
        <v>1391</v>
      </c>
      <c r="E317" s="31" t="s">
        <v>1392</v>
      </c>
      <c r="F317" s="31" t="s">
        <v>31</v>
      </c>
      <c r="G317" s="31">
        <v>234</v>
      </c>
      <c r="H317" s="31">
        <v>10</v>
      </c>
      <c r="I317" s="31">
        <v>40</v>
      </c>
      <c r="J317" s="31" t="s">
        <v>1393</v>
      </c>
      <c r="K317" s="31" t="s">
        <v>33</v>
      </c>
      <c r="L317" s="31" t="s">
        <v>210</v>
      </c>
      <c r="M317" s="31">
        <v>128</v>
      </c>
      <c r="N317" s="31">
        <v>2018</v>
      </c>
      <c r="O317" s="31">
        <v>114</v>
      </c>
      <c r="P317" s="31"/>
      <c r="Q317" s="31"/>
      <c r="R317" s="33"/>
      <c r="S317" s="34" t="str">
        <f>HYPERLINK("http://www.cnpol.ru/covers/18236.jpg","фото на сайте")</f>
        <v>фото на сайте</v>
      </c>
    </row>
    <row r="318" spans="1:19" ht="50.1" customHeight="1">
      <c r="A318" s="31"/>
      <c r="B318" s="32" t="s">
        <v>1394</v>
      </c>
      <c r="C318" s="31" t="s">
        <v>1395</v>
      </c>
      <c r="D318" s="31" t="s">
        <v>1396</v>
      </c>
      <c r="E318" s="31" t="s">
        <v>1397</v>
      </c>
      <c r="F318" s="31" t="s">
        <v>31</v>
      </c>
      <c r="G318" s="31">
        <v>611</v>
      </c>
      <c r="H318" s="31">
        <v>10</v>
      </c>
      <c r="I318" s="31">
        <v>10</v>
      </c>
      <c r="J318" s="31" t="s">
        <v>1398</v>
      </c>
      <c r="K318" s="31" t="s">
        <v>33</v>
      </c>
      <c r="L318" s="31" t="s">
        <v>34</v>
      </c>
      <c r="M318" s="31">
        <v>416</v>
      </c>
      <c r="N318" s="31">
        <v>2015</v>
      </c>
      <c r="O318" s="31">
        <v>314</v>
      </c>
      <c r="P318" s="31"/>
      <c r="Q318" s="31"/>
      <c r="R318" s="33"/>
      <c r="S318" s="34" t="str">
        <f>HYPERLINK("http://www.cnpol.ru/covers/15949.jpg","фото на сайте")</f>
        <v>фото на сайте</v>
      </c>
    </row>
    <row r="319" spans="1:19" ht="50.1" customHeight="1">
      <c r="A319" s="31" t="s">
        <v>35</v>
      </c>
      <c r="B319" s="32" t="s">
        <v>1399</v>
      </c>
      <c r="C319" s="31" t="s">
        <v>37</v>
      </c>
      <c r="D319" s="31" t="s">
        <v>1400</v>
      </c>
      <c r="E319" s="31" t="s">
        <v>1401</v>
      </c>
      <c r="F319" s="31" t="s">
        <v>31</v>
      </c>
      <c r="G319" s="35">
        <v>1277</v>
      </c>
      <c r="H319" s="31">
        <v>10</v>
      </c>
      <c r="I319" s="31">
        <v>5</v>
      </c>
      <c r="J319" s="31" t="s">
        <v>1402</v>
      </c>
      <c r="K319" s="31" t="s">
        <v>33</v>
      </c>
      <c r="L319" s="31" t="s">
        <v>34</v>
      </c>
      <c r="M319" s="31">
        <v>543</v>
      </c>
      <c r="N319" s="31">
        <v>2025</v>
      </c>
      <c r="O319" s="31">
        <v>550</v>
      </c>
      <c r="P319" s="31"/>
      <c r="Q319" s="31"/>
      <c r="R319" s="33" t="s">
        <v>1403</v>
      </c>
      <c r="S319" s="34" t="str">
        <f>HYPERLINK("http://www.cnpol.ru/covers/21696.jpg","фото на сайте")</f>
        <v>фото на сайте</v>
      </c>
    </row>
    <row r="320" spans="1:19" ht="50.1" customHeight="1">
      <c r="A320" s="31" t="s">
        <v>43</v>
      </c>
      <c r="B320" s="32" t="s">
        <v>1404</v>
      </c>
      <c r="C320" s="31" t="s">
        <v>37</v>
      </c>
      <c r="D320" s="31" t="s">
        <v>1405</v>
      </c>
      <c r="E320" s="31" t="s">
        <v>1406</v>
      </c>
      <c r="F320" s="31" t="s">
        <v>31</v>
      </c>
      <c r="G320" s="31">
        <v>461</v>
      </c>
      <c r="H320" s="31">
        <v>10</v>
      </c>
      <c r="I320" s="31">
        <v>18</v>
      </c>
      <c r="J320" s="31" t="s">
        <v>1407</v>
      </c>
      <c r="K320" s="31" t="s">
        <v>33</v>
      </c>
      <c r="L320" s="31" t="s">
        <v>34</v>
      </c>
      <c r="M320" s="31">
        <v>223</v>
      </c>
      <c r="N320" s="31">
        <v>2025</v>
      </c>
      <c r="O320" s="31" t="s">
        <v>220</v>
      </c>
      <c r="P320" s="31"/>
      <c r="Q320" s="31"/>
      <c r="R320" s="33" t="s">
        <v>1408</v>
      </c>
      <c r="S320" s="34" t="str">
        <f>HYPERLINK("http://www.cnpol.ru/covers/21829.jpg","фото на сайте")</f>
        <v>фото на сайте</v>
      </c>
    </row>
    <row r="321" spans="1:19" ht="50.1" customHeight="1">
      <c r="A321" s="31"/>
      <c r="B321" s="32" t="s">
        <v>1409</v>
      </c>
      <c r="C321" s="31" t="s">
        <v>1410</v>
      </c>
      <c r="D321" s="31" t="s">
        <v>1411</v>
      </c>
      <c r="E321" s="31" t="s">
        <v>1412</v>
      </c>
      <c r="F321" s="31" t="s">
        <v>31</v>
      </c>
      <c r="G321" s="31">
        <v>353</v>
      </c>
      <c r="H321" s="31">
        <v>10</v>
      </c>
      <c r="I321" s="31">
        <v>12</v>
      </c>
      <c r="J321" s="31" t="s">
        <v>1413</v>
      </c>
      <c r="K321" s="31" t="s">
        <v>33</v>
      </c>
      <c r="L321" s="31" t="s">
        <v>34</v>
      </c>
      <c r="M321" s="31">
        <v>383</v>
      </c>
      <c r="N321" s="31">
        <v>2004</v>
      </c>
      <c r="O321" s="31">
        <v>338</v>
      </c>
      <c r="P321" s="31"/>
      <c r="Q321" s="31"/>
      <c r="R321" s="33"/>
      <c r="S321" s="34" t="str">
        <f>HYPERLINK("http://www.cnpol.ru/covers/4509.jpg","фото на сайте")</f>
        <v>фото на сайте</v>
      </c>
    </row>
    <row r="322" spans="1:19" ht="50.1" customHeight="1">
      <c r="A322" s="31"/>
      <c r="B322" s="32" t="s">
        <v>1414</v>
      </c>
      <c r="C322" s="31" t="s">
        <v>37</v>
      </c>
      <c r="D322" s="31" t="s">
        <v>1411</v>
      </c>
      <c r="E322" s="31" t="s">
        <v>1415</v>
      </c>
      <c r="F322" s="31" t="s">
        <v>31</v>
      </c>
      <c r="G322" s="35">
        <v>1034</v>
      </c>
      <c r="H322" s="31">
        <v>10</v>
      </c>
      <c r="I322" s="31">
        <v>12</v>
      </c>
      <c r="J322" s="31" t="s">
        <v>1416</v>
      </c>
      <c r="K322" s="31" t="s">
        <v>33</v>
      </c>
      <c r="L322" s="31" t="s">
        <v>34</v>
      </c>
      <c r="M322" s="31">
        <v>383</v>
      </c>
      <c r="N322" s="31">
        <v>2021</v>
      </c>
      <c r="O322" s="31">
        <v>442</v>
      </c>
      <c r="P322" s="31"/>
      <c r="Q322" s="31"/>
      <c r="R322" s="33"/>
      <c r="S322" s="34" t="str">
        <f>HYPERLINK("http://www.cnpol.ru/covers/19912.jpg","фото на сайте")</f>
        <v>фото на сайте</v>
      </c>
    </row>
    <row r="323" spans="1:19" ht="50.1" customHeight="1">
      <c r="A323" s="31" t="s">
        <v>43</v>
      </c>
      <c r="B323" s="32" t="s">
        <v>1417</v>
      </c>
      <c r="C323" s="31" t="s">
        <v>37</v>
      </c>
      <c r="D323" s="31" t="s">
        <v>1418</v>
      </c>
      <c r="E323" s="31" t="s">
        <v>1419</v>
      </c>
      <c r="F323" s="31" t="s">
        <v>31</v>
      </c>
      <c r="G323" s="31">
        <v>500</v>
      </c>
      <c r="H323" s="31">
        <v>10</v>
      </c>
      <c r="I323" s="31">
        <v>16</v>
      </c>
      <c r="J323" s="31" t="s">
        <v>1420</v>
      </c>
      <c r="K323" s="31" t="s">
        <v>33</v>
      </c>
      <c r="L323" s="31" t="s">
        <v>34</v>
      </c>
      <c r="M323" s="31">
        <v>255</v>
      </c>
      <c r="N323" s="31">
        <v>2025</v>
      </c>
      <c r="O323" s="31" t="s">
        <v>220</v>
      </c>
      <c r="P323" s="31"/>
      <c r="Q323" s="31"/>
      <c r="R323" s="33" t="s">
        <v>1421</v>
      </c>
      <c r="S323" s="34" t="str">
        <f>HYPERLINK("http://www.cnpol.ru/covers/21828.jpg","фото на сайте")</f>
        <v>фото на сайте</v>
      </c>
    </row>
    <row r="324" spans="1:19" ht="50.1" customHeight="1">
      <c r="A324" s="31"/>
      <c r="B324" s="32" t="s">
        <v>1422</v>
      </c>
      <c r="C324" s="31" t="s">
        <v>546</v>
      </c>
      <c r="D324" s="31" t="s">
        <v>1423</v>
      </c>
      <c r="E324" s="31" t="s">
        <v>1424</v>
      </c>
      <c r="F324" s="31">
        <v>169</v>
      </c>
      <c r="G324" s="31">
        <v>93</v>
      </c>
      <c r="H324" s="31">
        <v>10</v>
      </c>
      <c r="I324" s="31">
        <v>30</v>
      </c>
      <c r="J324" s="31" t="s">
        <v>1425</v>
      </c>
      <c r="K324" s="31" t="s">
        <v>123</v>
      </c>
      <c r="L324" s="31" t="s">
        <v>56</v>
      </c>
      <c r="M324" s="31">
        <v>160</v>
      </c>
      <c r="N324" s="31">
        <v>2016</v>
      </c>
      <c r="O324" s="31">
        <v>76</v>
      </c>
      <c r="P324" s="31"/>
      <c r="Q324" s="31"/>
      <c r="R324" s="33"/>
      <c r="S324" s="34" t="str">
        <f>HYPERLINK("http://www.cnpol.ru/covers/16749.jpg","фото на сайте")</f>
        <v>фото на сайте</v>
      </c>
    </row>
    <row r="325" spans="1:19" ht="50.1" customHeight="1">
      <c r="A325" s="31"/>
      <c r="B325" s="32" t="s">
        <v>1426</v>
      </c>
      <c r="C325" s="31" t="s">
        <v>390</v>
      </c>
      <c r="D325" s="31" t="s">
        <v>1427</v>
      </c>
      <c r="E325" s="31" t="s">
        <v>1428</v>
      </c>
      <c r="F325" s="31">
        <v>684</v>
      </c>
      <c r="G325" s="31">
        <v>86</v>
      </c>
      <c r="H325" s="31">
        <v>10</v>
      </c>
      <c r="I325" s="31">
        <v>30</v>
      </c>
      <c r="J325" s="31" t="s">
        <v>1429</v>
      </c>
      <c r="K325" s="31" t="s">
        <v>123</v>
      </c>
      <c r="L325" s="31" t="s">
        <v>56</v>
      </c>
      <c r="M325" s="31">
        <v>160</v>
      </c>
      <c r="N325" s="31">
        <v>2017</v>
      </c>
      <c r="O325" s="31">
        <v>76</v>
      </c>
      <c r="P325" s="31"/>
      <c r="Q325" s="31"/>
      <c r="R325" s="33"/>
      <c r="S325" s="34" t="str">
        <f>HYPERLINK("http://www.cnpol.ru/covers/17268.jpg","фото на сайте")</f>
        <v>фото на сайте</v>
      </c>
    </row>
    <row r="326" spans="1:19" ht="50.1" customHeight="1">
      <c r="A326" s="31"/>
      <c r="B326" s="32" t="s">
        <v>1430</v>
      </c>
      <c r="C326" s="31" t="s">
        <v>390</v>
      </c>
      <c r="D326" s="31" t="s">
        <v>1431</v>
      </c>
      <c r="E326" s="31" t="s">
        <v>1432</v>
      </c>
      <c r="F326" s="31">
        <v>1029</v>
      </c>
      <c r="G326" s="31">
        <v>86</v>
      </c>
      <c r="H326" s="31">
        <v>10</v>
      </c>
      <c r="I326" s="31">
        <v>30</v>
      </c>
      <c r="J326" s="31" t="s">
        <v>1433</v>
      </c>
      <c r="K326" s="31" t="s">
        <v>123</v>
      </c>
      <c r="L326" s="31" t="s">
        <v>56</v>
      </c>
      <c r="M326" s="31">
        <v>160</v>
      </c>
      <c r="N326" s="31">
        <v>2021</v>
      </c>
      <c r="O326" s="31">
        <v>76</v>
      </c>
      <c r="P326" s="31"/>
      <c r="Q326" s="31"/>
      <c r="R326" s="33"/>
      <c r="S326" s="34" t="str">
        <f>HYPERLINK("http://www.cnpol.ru/covers/19597.jpg","фото на сайте")</f>
        <v>фото на сайте</v>
      </c>
    </row>
    <row r="327" spans="1:19" ht="50.1" customHeight="1">
      <c r="A327" s="31"/>
      <c r="B327" s="32" t="s">
        <v>1434</v>
      </c>
      <c r="C327" s="31" t="s">
        <v>413</v>
      </c>
      <c r="D327" s="31" t="s">
        <v>1435</v>
      </c>
      <c r="E327" s="31" t="s">
        <v>1436</v>
      </c>
      <c r="F327" s="31">
        <v>79</v>
      </c>
      <c r="G327" s="31">
        <v>117</v>
      </c>
      <c r="H327" s="31">
        <v>10</v>
      </c>
      <c r="I327" s="31">
        <v>36</v>
      </c>
      <c r="J327" s="31" t="s">
        <v>1437</v>
      </c>
      <c r="K327" s="31" t="s">
        <v>123</v>
      </c>
      <c r="L327" s="31" t="s">
        <v>56</v>
      </c>
      <c r="M327" s="31">
        <v>189</v>
      </c>
      <c r="N327" s="31">
        <v>2015</v>
      </c>
      <c r="O327" s="31">
        <v>90</v>
      </c>
      <c r="P327" s="31"/>
      <c r="Q327" s="31"/>
      <c r="R327" s="33"/>
      <c r="S327" s="34" t="str">
        <f>HYPERLINK("http://www.cnpol.ru/covers/16359.jpg","фото на сайте")</f>
        <v>фото на сайте</v>
      </c>
    </row>
    <row r="328" spans="1:19" ht="50.1" customHeight="1">
      <c r="A328" s="31"/>
      <c r="B328" s="32" t="s">
        <v>1438</v>
      </c>
      <c r="C328" s="31" t="s">
        <v>400</v>
      </c>
      <c r="D328" s="31" t="s">
        <v>785</v>
      </c>
      <c r="E328" s="31" t="s">
        <v>1439</v>
      </c>
      <c r="F328" s="31" t="s">
        <v>31</v>
      </c>
      <c r="G328" s="31">
        <v>503</v>
      </c>
      <c r="H328" s="31">
        <v>10</v>
      </c>
      <c r="I328" s="31">
        <v>14</v>
      </c>
      <c r="J328" s="31" t="s">
        <v>1440</v>
      </c>
      <c r="K328" s="31" t="s">
        <v>33</v>
      </c>
      <c r="L328" s="31" t="s">
        <v>34</v>
      </c>
      <c r="M328" s="31">
        <v>288</v>
      </c>
      <c r="N328" s="31">
        <v>2017</v>
      </c>
      <c r="O328" s="31">
        <v>258</v>
      </c>
      <c r="P328" s="31"/>
      <c r="Q328" s="31"/>
      <c r="R328" s="33"/>
      <c r="S328" s="34" t="str">
        <f>HYPERLINK("http://www.cnpol.ru/covers/17792.jpg","фото на сайте")</f>
        <v>фото на сайте</v>
      </c>
    </row>
    <row r="329" spans="1:19" ht="50.1" customHeight="1">
      <c r="A329" s="31" t="s">
        <v>43</v>
      </c>
      <c r="B329" s="32" t="s">
        <v>1441</v>
      </c>
      <c r="C329" s="31" t="s">
        <v>1442</v>
      </c>
      <c r="D329" s="31" t="s">
        <v>1443</v>
      </c>
      <c r="E329" s="31" t="s">
        <v>1444</v>
      </c>
      <c r="F329" s="31" t="s">
        <v>31</v>
      </c>
      <c r="G329" s="35">
        <v>1133</v>
      </c>
      <c r="H329" s="31">
        <v>10</v>
      </c>
      <c r="I329" s="31">
        <v>10</v>
      </c>
      <c r="J329" s="31" t="s">
        <v>1445</v>
      </c>
      <c r="K329" s="31" t="s">
        <v>33</v>
      </c>
      <c r="L329" s="31" t="s">
        <v>34</v>
      </c>
      <c r="M329" s="31">
        <v>395</v>
      </c>
      <c r="N329" s="31">
        <v>2025</v>
      </c>
      <c r="O329" s="31">
        <v>604</v>
      </c>
      <c r="P329" s="31"/>
      <c r="Q329" s="31"/>
      <c r="R329" s="33" t="s">
        <v>1446</v>
      </c>
      <c r="S329" s="34" t="str">
        <f>HYPERLINK("http://www.cnpol.ru/covers/21546.jpg","фото на сайте")</f>
        <v>фото на сайте</v>
      </c>
    </row>
    <row r="330" spans="1:19" ht="50.1" customHeight="1">
      <c r="A330" s="31" t="s">
        <v>43</v>
      </c>
      <c r="B330" s="32" t="s">
        <v>1447</v>
      </c>
      <c r="C330" s="31" t="s">
        <v>1448</v>
      </c>
      <c r="D330" s="31" t="s">
        <v>1449</v>
      </c>
      <c r="E330" s="31" t="s">
        <v>1450</v>
      </c>
      <c r="F330" s="31" t="s">
        <v>31</v>
      </c>
      <c r="G330" s="35">
        <v>1148</v>
      </c>
      <c r="H330" s="31">
        <v>10</v>
      </c>
      <c r="I330" s="31">
        <v>12</v>
      </c>
      <c r="J330" s="31" t="s">
        <v>1451</v>
      </c>
      <c r="K330" s="31" t="s">
        <v>319</v>
      </c>
      <c r="L330" s="31" t="s">
        <v>34</v>
      </c>
      <c r="M330" s="31">
        <v>96</v>
      </c>
      <c r="N330" s="31">
        <v>2024</v>
      </c>
      <c r="O330" s="31">
        <v>471</v>
      </c>
      <c r="P330" s="31"/>
      <c r="Q330" s="31"/>
      <c r="R330" s="33" t="s">
        <v>1452</v>
      </c>
      <c r="S330" s="34" t="str">
        <f>HYPERLINK("http://www.cnpol.ru/covers/21202.jpg","фото на сайте")</f>
        <v>фото на сайте</v>
      </c>
    </row>
    <row r="331" spans="1:19" ht="50.1" customHeight="1">
      <c r="A331" s="31"/>
      <c r="B331" s="32" t="s">
        <v>1453</v>
      </c>
      <c r="C331" s="31" t="s">
        <v>390</v>
      </c>
      <c r="D331" s="31" t="s">
        <v>1454</v>
      </c>
      <c r="E331" s="31" t="s">
        <v>1455</v>
      </c>
      <c r="F331" s="31">
        <v>731</v>
      </c>
      <c r="G331" s="31">
        <v>86</v>
      </c>
      <c r="H331" s="31">
        <v>10</v>
      </c>
      <c r="I331" s="31">
        <v>30</v>
      </c>
      <c r="J331" s="31" t="s">
        <v>1456</v>
      </c>
      <c r="K331" s="31" t="s">
        <v>123</v>
      </c>
      <c r="L331" s="31" t="s">
        <v>56</v>
      </c>
      <c r="M331" s="31">
        <v>160</v>
      </c>
      <c r="N331" s="31">
        <v>2017</v>
      </c>
      <c r="O331" s="31">
        <v>76</v>
      </c>
      <c r="P331" s="31"/>
      <c r="Q331" s="31"/>
      <c r="R331" s="33"/>
      <c r="S331" s="34" t="str">
        <f>HYPERLINK("http://www.cnpol.ru/covers/17565.jpg","фото на сайте")</f>
        <v>фото на сайте</v>
      </c>
    </row>
    <row r="332" spans="1:19" ht="50.1" customHeight="1">
      <c r="A332" s="31"/>
      <c r="B332" s="32" t="s">
        <v>1457</v>
      </c>
      <c r="C332" s="31" t="s">
        <v>413</v>
      </c>
      <c r="D332" s="31" t="s">
        <v>1292</v>
      </c>
      <c r="E332" s="31" t="s">
        <v>1458</v>
      </c>
      <c r="F332" s="31">
        <v>82</v>
      </c>
      <c r="G332" s="31">
        <v>117</v>
      </c>
      <c r="H332" s="31">
        <v>10</v>
      </c>
      <c r="I332" s="31">
        <v>36</v>
      </c>
      <c r="J332" s="31" t="s">
        <v>1459</v>
      </c>
      <c r="K332" s="31" t="s">
        <v>123</v>
      </c>
      <c r="L332" s="31" t="s">
        <v>56</v>
      </c>
      <c r="M332" s="31">
        <v>189</v>
      </c>
      <c r="N332" s="31">
        <v>2015</v>
      </c>
      <c r="O332" s="31">
        <v>90</v>
      </c>
      <c r="P332" s="31"/>
      <c r="Q332" s="31"/>
      <c r="R332" s="33"/>
      <c r="S332" s="34" t="str">
        <f>HYPERLINK("http://www.cnpol.ru/covers/16382.jpg","фото на сайте")</f>
        <v>фото на сайте</v>
      </c>
    </row>
    <row r="333" spans="1:19" ht="50.1" customHeight="1">
      <c r="A333" s="31"/>
      <c r="B333" s="32" t="s">
        <v>1460</v>
      </c>
      <c r="C333" s="31" t="s">
        <v>390</v>
      </c>
      <c r="D333" s="31" t="s">
        <v>1461</v>
      </c>
      <c r="E333" s="31" t="s">
        <v>1462</v>
      </c>
      <c r="F333" s="31">
        <v>580</v>
      </c>
      <c r="G333" s="31">
        <v>86</v>
      </c>
      <c r="H333" s="31">
        <v>10</v>
      </c>
      <c r="I333" s="31">
        <v>30</v>
      </c>
      <c r="J333" s="31" t="s">
        <v>1463</v>
      </c>
      <c r="K333" s="31" t="s">
        <v>123</v>
      </c>
      <c r="L333" s="31" t="s">
        <v>56</v>
      </c>
      <c r="M333" s="31">
        <v>158</v>
      </c>
      <c r="N333" s="31">
        <v>2016</v>
      </c>
      <c r="O333" s="31">
        <v>76</v>
      </c>
      <c r="P333" s="31"/>
      <c r="Q333" s="31"/>
      <c r="R333" s="33"/>
      <c r="S333" s="34" t="str">
        <f>HYPERLINK("http://www.cnpol.ru/covers/16464.jpg","фото на сайте")</f>
        <v>фото на сайте</v>
      </c>
    </row>
    <row r="334" spans="1:19" ht="50.1" customHeight="1">
      <c r="A334" s="31"/>
      <c r="B334" s="32" t="s">
        <v>1464</v>
      </c>
      <c r="C334" s="31" t="s">
        <v>418</v>
      </c>
      <c r="D334" s="31" t="s">
        <v>1465</v>
      </c>
      <c r="E334" s="31" t="s">
        <v>1466</v>
      </c>
      <c r="F334" s="31">
        <v>117</v>
      </c>
      <c r="G334" s="31">
        <v>153</v>
      </c>
      <c r="H334" s="31">
        <v>10</v>
      </c>
      <c r="I334" s="31">
        <v>18</v>
      </c>
      <c r="J334" s="31" t="s">
        <v>1467</v>
      </c>
      <c r="K334" s="31" t="s">
        <v>123</v>
      </c>
      <c r="L334" s="31" t="s">
        <v>56</v>
      </c>
      <c r="M334" s="31">
        <v>255</v>
      </c>
      <c r="N334" s="31">
        <v>2021</v>
      </c>
      <c r="O334" s="31">
        <v>122</v>
      </c>
      <c r="P334" s="31"/>
      <c r="Q334" s="31"/>
      <c r="R334" s="33"/>
      <c r="S334" s="34" t="str">
        <f>HYPERLINK("http://www.cnpol.ru/covers/19959.jpg","фото на сайте")</f>
        <v>фото на сайте</v>
      </c>
    </row>
    <row r="335" spans="1:19" ht="50.1" customHeight="1">
      <c r="A335" s="31"/>
      <c r="B335" s="32" t="s">
        <v>1468</v>
      </c>
      <c r="C335" s="31" t="s">
        <v>418</v>
      </c>
      <c r="D335" s="31" t="s">
        <v>1469</v>
      </c>
      <c r="E335" s="31" t="s">
        <v>1470</v>
      </c>
      <c r="F335" s="31">
        <v>125</v>
      </c>
      <c r="G335" s="31">
        <v>153</v>
      </c>
      <c r="H335" s="31">
        <v>10</v>
      </c>
      <c r="I335" s="31">
        <v>18</v>
      </c>
      <c r="J335" s="31" t="s">
        <v>1471</v>
      </c>
      <c r="K335" s="31" t="s">
        <v>123</v>
      </c>
      <c r="L335" s="31" t="s">
        <v>56</v>
      </c>
      <c r="M335" s="31">
        <v>255</v>
      </c>
      <c r="N335" s="31">
        <v>2023</v>
      </c>
      <c r="O335" s="31">
        <v>76</v>
      </c>
      <c r="P335" s="31"/>
      <c r="Q335" s="31"/>
      <c r="R335" s="33" t="s">
        <v>1472</v>
      </c>
      <c r="S335" s="34" t="str">
        <f>HYPERLINK("http://www.cnpol.ru/covers/20865.jpg","фото на сайте")</f>
        <v>фото на сайте</v>
      </c>
    </row>
    <row r="336" spans="1:19" ht="50.1" customHeight="1">
      <c r="A336" s="31"/>
      <c r="B336" s="32" t="s">
        <v>1473</v>
      </c>
      <c r="C336" s="31" t="s">
        <v>390</v>
      </c>
      <c r="D336" s="31" t="s">
        <v>1474</v>
      </c>
      <c r="E336" s="31" t="s">
        <v>1475</v>
      </c>
      <c r="F336" s="31">
        <v>861</v>
      </c>
      <c r="G336" s="31">
        <v>86</v>
      </c>
      <c r="H336" s="31">
        <v>10</v>
      </c>
      <c r="I336" s="31">
        <v>30</v>
      </c>
      <c r="J336" s="31" t="s">
        <v>1476</v>
      </c>
      <c r="K336" s="31" t="s">
        <v>123</v>
      </c>
      <c r="L336" s="31" t="s">
        <v>56</v>
      </c>
      <c r="M336" s="31">
        <v>160</v>
      </c>
      <c r="N336" s="31">
        <v>2019</v>
      </c>
      <c r="O336" s="31">
        <v>76</v>
      </c>
      <c r="P336" s="31"/>
      <c r="Q336" s="31"/>
      <c r="R336" s="33"/>
      <c r="S336" s="34" t="str">
        <f>HYPERLINK("http://www.cnpol.ru/covers/18452.jpg","фото на сайте")</f>
        <v>фото на сайте</v>
      </c>
    </row>
    <row r="337" spans="1:19" ht="50.1" customHeight="1">
      <c r="A337" s="31"/>
      <c r="B337" s="32" t="s">
        <v>1477</v>
      </c>
      <c r="C337" s="31" t="s">
        <v>355</v>
      </c>
      <c r="D337" s="31" t="s">
        <v>1478</v>
      </c>
      <c r="E337" s="31" t="s">
        <v>1479</v>
      </c>
      <c r="F337" s="31" t="s">
        <v>31</v>
      </c>
      <c r="G337" s="31">
        <v>425</v>
      </c>
      <c r="H337" s="31">
        <v>10</v>
      </c>
      <c r="I337" s="31">
        <v>10</v>
      </c>
      <c r="J337" s="31" t="s">
        <v>1480</v>
      </c>
      <c r="K337" s="31" t="s">
        <v>359</v>
      </c>
      <c r="L337" s="31" t="s">
        <v>34</v>
      </c>
      <c r="M337" s="31">
        <v>303</v>
      </c>
      <c r="N337" s="31">
        <v>2008</v>
      </c>
      <c r="O337" s="31">
        <v>288</v>
      </c>
      <c r="P337" s="31"/>
      <c r="Q337" s="31"/>
      <c r="R337" s="33"/>
      <c r="S337" s="34" t="str">
        <f>HYPERLINK("http://www.cnpol.ru/covers/7496.jpg","фото на сайте")</f>
        <v>фото на сайте</v>
      </c>
    </row>
    <row r="338" spans="1:19" ht="50.1" customHeight="1">
      <c r="A338" s="31"/>
      <c r="B338" s="32" t="s">
        <v>1481</v>
      </c>
      <c r="C338" s="31" t="s">
        <v>355</v>
      </c>
      <c r="D338" s="31" t="s">
        <v>1478</v>
      </c>
      <c r="E338" s="31" t="s">
        <v>1479</v>
      </c>
      <c r="F338" s="31" t="s">
        <v>31</v>
      </c>
      <c r="G338" s="31">
        <v>398</v>
      </c>
      <c r="H338" s="31">
        <v>10</v>
      </c>
      <c r="I338" s="31">
        <v>10</v>
      </c>
      <c r="J338" s="31" t="s">
        <v>1480</v>
      </c>
      <c r="K338" s="31" t="s">
        <v>33</v>
      </c>
      <c r="L338" s="31" t="s">
        <v>34</v>
      </c>
      <c r="M338" s="31">
        <v>303</v>
      </c>
      <c r="N338" s="31">
        <v>2008</v>
      </c>
      <c r="O338" s="31">
        <v>288</v>
      </c>
      <c r="P338" s="31"/>
      <c r="Q338" s="31"/>
      <c r="R338" s="33"/>
      <c r="S338" s="34" t="str">
        <f>HYPERLINK("http://www.cnpol.ru/covers/7396.jpg","фото на сайте")</f>
        <v>фото на сайте</v>
      </c>
    </row>
    <row r="339" spans="1:19" ht="50.1" customHeight="1">
      <c r="A339" s="31"/>
      <c r="B339" s="32" t="s">
        <v>1482</v>
      </c>
      <c r="C339" s="31" t="s">
        <v>355</v>
      </c>
      <c r="D339" s="31" t="s">
        <v>1478</v>
      </c>
      <c r="E339" s="31" t="s">
        <v>1479</v>
      </c>
      <c r="F339" s="31" t="s">
        <v>31</v>
      </c>
      <c r="G339" s="31">
        <v>425</v>
      </c>
      <c r="H339" s="31">
        <v>10</v>
      </c>
      <c r="I339" s="31">
        <v>10</v>
      </c>
      <c r="J339" s="31" t="s">
        <v>1480</v>
      </c>
      <c r="K339" s="31" t="s">
        <v>359</v>
      </c>
      <c r="L339" s="31" t="s">
        <v>34</v>
      </c>
      <c r="M339" s="31">
        <v>303</v>
      </c>
      <c r="N339" s="31">
        <v>2007</v>
      </c>
      <c r="O339" s="31">
        <v>294</v>
      </c>
      <c r="P339" s="31"/>
      <c r="Q339" s="31"/>
      <c r="R339" s="33"/>
      <c r="S339" s="34" t="str">
        <f>HYPERLINK("http://www.cnpol.ru/covers/7211.jpg","фото на сайте")</f>
        <v>фото на сайте</v>
      </c>
    </row>
    <row r="340" spans="1:19" ht="50.1" customHeight="1">
      <c r="A340" s="31"/>
      <c r="B340" s="32" t="s">
        <v>1483</v>
      </c>
      <c r="C340" s="31" t="s">
        <v>355</v>
      </c>
      <c r="D340" s="31" t="s">
        <v>1478</v>
      </c>
      <c r="E340" s="31" t="s">
        <v>1479</v>
      </c>
      <c r="F340" s="31" t="s">
        <v>31</v>
      </c>
      <c r="G340" s="31">
        <v>425</v>
      </c>
      <c r="H340" s="31">
        <v>10</v>
      </c>
      <c r="I340" s="31">
        <v>10</v>
      </c>
      <c r="J340" s="31" t="s">
        <v>1480</v>
      </c>
      <c r="K340" s="31" t="s">
        <v>33</v>
      </c>
      <c r="L340" s="31" t="s">
        <v>34</v>
      </c>
      <c r="M340" s="31">
        <v>303</v>
      </c>
      <c r="N340" s="31">
        <v>2007</v>
      </c>
      <c r="O340" s="31">
        <v>288</v>
      </c>
      <c r="P340" s="31"/>
      <c r="Q340" s="31"/>
      <c r="R340" s="33"/>
      <c r="S340" s="34" t="str">
        <f>HYPERLINK("http://www.cnpol.ru/covers/7264.jpg","фото на сайте")</f>
        <v>фото на сайте</v>
      </c>
    </row>
    <row r="341" spans="1:19" ht="50.1" customHeight="1">
      <c r="A341" s="31"/>
      <c r="B341" s="32" t="s">
        <v>1484</v>
      </c>
      <c r="C341" s="31" t="s">
        <v>390</v>
      </c>
      <c r="D341" s="31" t="s">
        <v>547</v>
      </c>
      <c r="E341" s="31" t="s">
        <v>1485</v>
      </c>
      <c r="F341" s="31">
        <v>658</v>
      </c>
      <c r="G341" s="31">
        <v>86</v>
      </c>
      <c r="H341" s="31">
        <v>10</v>
      </c>
      <c r="I341" s="31">
        <v>30</v>
      </c>
      <c r="J341" s="31" t="s">
        <v>1486</v>
      </c>
      <c r="K341" s="31" t="s">
        <v>123</v>
      </c>
      <c r="L341" s="31" t="s">
        <v>56</v>
      </c>
      <c r="M341" s="31">
        <v>160</v>
      </c>
      <c r="N341" s="31">
        <v>2016</v>
      </c>
      <c r="O341" s="31">
        <v>76</v>
      </c>
      <c r="P341" s="31"/>
      <c r="Q341" s="31"/>
      <c r="R341" s="33"/>
      <c r="S341" s="34" t="str">
        <f>HYPERLINK("http://www.cnpol.ru/covers/17058.jpg","фото на сайте")</f>
        <v>фото на сайте</v>
      </c>
    </row>
    <row r="342" spans="1:19" ht="50.1" customHeight="1">
      <c r="A342" s="31"/>
      <c r="B342" s="32" t="s">
        <v>1487</v>
      </c>
      <c r="C342" s="31" t="s">
        <v>355</v>
      </c>
      <c r="D342" s="31" t="s">
        <v>1478</v>
      </c>
      <c r="E342" s="31" t="s">
        <v>1488</v>
      </c>
      <c r="F342" s="31" t="s">
        <v>31</v>
      </c>
      <c r="G342" s="31">
        <v>425</v>
      </c>
      <c r="H342" s="31">
        <v>10</v>
      </c>
      <c r="I342" s="31">
        <v>12</v>
      </c>
      <c r="J342" s="31" t="s">
        <v>1489</v>
      </c>
      <c r="K342" s="31" t="s">
        <v>359</v>
      </c>
      <c r="L342" s="31" t="s">
        <v>34</v>
      </c>
      <c r="M342" s="31">
        <v>303</v>
      </c>
      <c r="N342" s="31">
        <v>2008</v>
      </c>
      <c r="O342" s="31">
        <v>282</v>
      </c>
      <c r="P342" s="31"/>
      <c r="Q342" s="31"/>
      <c r="R342" s="33"/>
      <c r="S342" s="34" t="str">
        <f>HYPERLINK("http://www.cnpol.ru/covers/10122.jpg","фото на сайте")</f>
        <v>фото на сайте</v>
      </c>
    </row>
    <row r="343" spans="1:19" ht="50.1" customHeight="1">
      <c r="A343" s="31"/>
      <c r="B343" s="32" t="s">
        <v>1490</v>
      </c>
      <c r="C343" s="31" t="s">
        <v>479</v>
      </c>
      <c r="D343" s="31" t="s">
        <v>1491</v>
      </c>
      <c r="E343" s="31" t="s">
        <v>1492</v>
      </c>
      <c r="F343" s="31" t="s">
        <v>31</v>
      </c>
      <c r="G343" s="31">
        <v>461</v>
      </c>
      <c r="H343" s="31">
        <v>10</v>
      </c>
      <c r="I343" s="31">
        <v>28</v>
      </c>
      <c r="J343" s="31" t="s">
        <v>1493</v>
      </c>
      <c r="K343" s="31" t="s">
        <v>158</v>
      </c>
      <c r="L343" s="31" t="s">
        <v>34</v>
      </c>
      <c r="M343" s="31">
        <v>128</v>
      </c>
      <c r="N343" s="31">
        <v>2016</v>
      </c>
      <c r="O343" s="31">
        <v>192</v>
      </c>
      <c r="P343" s="31"/>
      <c r="Q343" s="31"/>
      <c r="R343" s="33"/>
      <c r="S343" s="34" t="str">
        <f>HYPERLINK("http://www.cnpol.ru/covers/16592.jpg","фото на сайте")</f>
        <v>фото на сайте</v>
      </c>
    </row>
    <row r="344" spans="1:19" ht="50.1" customHeight="1">
      <c r="A344" s="31"/>
      <c r="B344" s="32" t="s">
        <v>1494</v>
      </c>
      <c r="C344" s="31" t="s">
        <v>464</v>
      </c>
      <c r="D344" s="31" t="s">
        <v>1495</v>
      </c>
      <c r="E344" s="31" t="s">
        <v>1496</v>
      </c>
      <c r="F344" s="31" t="s">
        <v>31</v>
      </c>
      <c r="G344" s="31">
        <v>137</v>
      </c>
      <c r="H344" s="31">
        <v>10</v>
      </c>
      <c r="I344" s="31">
        <v>50</v>
      </c>
      <c r="J344" s="31" t="s">
        <v>1497</v>
      </c>
      <c r="K344" s="31" t="s">
        <v>468</v>
      </c>
      <c r="L344" s="31" t="s">
        <v>56</v>
      </c>
      <c r="M344" s="31">
        <v>18</v>
      </c>
      <c r="N344" s="31">
        <v>2007</v>
      </c>
      <c r="O344" s="31">
        <v>84</v>
      </c>
      <c r="P344" s="31"/>
      <c r="Q344" s="31"/>
      <c r="R344" s="33"/>
      <c r="S344" s="34" t="str">
        <f>HYPERLINK("http://www.cnpol.ru/covers/7165.jpg","фото на сайте")</f>
        <v>фото на сайте</v>
      </c>
    </row>
    <row r="345" spans="1:19" ht="50.1" customHeight="1">
      <c r="A345" s="31" t="s">
        <v>43</v>
      </c>
      <c r="B345" s="32" t="s">
        <v>1498</v>
      </c>
      <c r="C345" s="31" t="s">
        <v>297</v>
      </c>
      <c r="D345" s="31" t="s">
        <v>1499</v>
      </c>
      <c r="E345" s="31" t="s">
        <v>1500</v>
      </c>
      <c r="F345" s="31" t="s">
        <v>31</v>
      </c>
      <c r="G345" s="31">
        <v>300</v>
      </c>
      <c r="H345" s="31">
        <v>10</v>
      </c>
      <c r="I345" s="31">
        <v>9</v>
      </c>
      <c r="J345" s="31" t="s">
        <v>1501</v>
      </c>
      <c r="K345" s="31" t="s">
        <v>300</v>
      </c>
      <c r="L345" s="31" t="s">
        <v>56</v>
      </c>
      <c r="M345" s="31">
        <v>287</v>
      </c>
      <c r="N345" s="31">
        <v>2024</v>
      </c>
      <c r="O345" s="31">
        <v>144</v>
      </c>
      <c r="P345" s="31"/>
      <c r="Q345" s="31"/>
      <c r="R345" s="33" t="s">
        <v>1502</v>
      </c>
      <c r="S345" s="34" t="str">
        <f>HYPERLINK("http://www.cnpol.ru/covers/21089.jpg","фото на сайте")</f>
        <v>фото на сайте</v>
      </c>
    </row>
    <row r="346" spans="1:19" ht="50.1" customHeight="1">
      <c r="A346" s="31"/>
      <c r="B346" s="32" t="s">
        <v>1503</v>
      </c>
      <c r="C346" s="31" t="s">
        <v>37</v>
      </c>
      <c r="D346" s="31" t="s">
        <v>1504</v>
      </c>
      <c r="E346" s="31" t="s">
        <v>1505</v>
      </c>
      <c r="F346" s="31" t="s">
        <v>31</v>
      </c>
      <c r="G346" s="35">
        <v>1083</v>
      </c>
      <c r="H346" s="31">
        <v>10</v>
      </c>
      <c r="I346" s="31">
        <v>10</v>
      </c>
      <c r="J346" s="31" t="s">
        <v>1506</v>
      </c>
      <c r="K346" s="31" t="s">
        <v>33</v>
      </c>
      <c r="L346" s="31" t="s">
        <v>34</v>
      </c>
      <c r="M346" s="31">
        <v>415</v>
      </c>
      <c r="N346" s="31">
        <v>2022</v>
      </c>
      <c r="O346" s="31">
        <v>390</v>
      </c>
      <c r="P346" s="31"/>
      <c r="Q346" s="31"/>
      <c r="R346" s="33"/>
      <c r="S346" s="34" t="str">
        <f>HYPERLINK("http://www.cnpol.ru/covers/20256.jpg","фото на сайте")</f>
        <v>фото на сайте</v>
      </c>
    </row>
    <row r="347" spans="1:19" ht="50.1" customHeight="1">
      <c r="A347" s="31"/>
      <c r="B347" s="32" t="s">
        <v>1507</v>
      </c>
      <c r="C347" s="31" t="s">
        <v>28</v>
      </c>
      <c r="D347" s="31" t="s">
        <v>1508</v>
      </c>
      <c r="E347" s="31" t="s">
        <v>1509</v>
      </c>
      <c r="F347" s="31" t="s">
        <v>31</v>
      </c>
      <c r="G347" s="31">
        <v>575</v>
      </c>
      <c r="H347" s="31">
        <v>10</v>
      </c>
      <c r="I347" s="31">
        <v>18</v>
      </c>
      <c r="J347" s="31" t="s">
        <v>1510</v>
      </c>
      <c r="K347" s="31" t="s">
        <v>33</v>
      </c>
      <c r="L347" s="31" t="s">
        <v>34</v>
      </c>
      <c r="M347" s="31">
        <v>351</v>
      </c>
      <c r="N347" s="31">
        <v>2016</v>
      </c>
      <c r="O347" s="31">
        <v>392</v>
      </c>
      <c r="P347" s="31"/>
      <c r="Q347" s="31"/>
      <c r="R347" s="33"/>
      <c r="S347" s="34" t="str">
        <f>HYPERLINK("http://www.cnpol.ru/covers/16712.jpg","фото на сайте")</f>
        <v>фото на сайте</v>
      </c>
    </row>
    <row r="348" spans="1:19" ht="50.1" customHeight="1">
      <c r="A348" s="31"/>
      <c r="B348" s="32" t="s">
        <v>1511</v>
      </c>
      <c r="C348" s="31" t="s">
        <v>408</v>
      </c>
      <c r="D348" s="31" t="s">
        <v>1512</v>
      </c>
      <c r="E348" s="31" t="s">
        <v>1513</v>
      </c>
      <c r="F348" s="31" t="s">
        <v>31</v>
      </c>
      <c r="G348" s="31">
        <v>640</v>
      </c>
      <c r="H348" s="31">
        <v>10</v>
      </c>
      <c r="I348" s="31">
        <v>16</v>
      </c>
      <c r="J348" s="31" t="s">
        <v>1514</v>
      </c>
      <c r="K348" s="31" t="s">
        <v>33</v>
      </c>
      <c r="L348" s="31" t="s">
        <v>34</v>
      </c>
      <c r="M348" s="31">
        <v>224</v>
      </c>
      <c r="N348" s="31">
        <v>2021</v>
      </c>
      <c r="O348" s="31">
        <v>216</v>
      </c>
      <c r="P348" s="31"/>
      <c r="Q348" s="31"/>
      <c r="R348" s="33"/>
      <c r="S348" s="34" t="str">
        <f>HYPERLINK("http://www.cnpol.ru/covers/19626.jpg","фото на сайте")</f>
        <v>фото на сайте</v>
      </c>
    </row>
    <row r="349" spans="1:19" ht="50.1" customHeight="1">
      <c r="A349" s="31"/>
      <c r="B349" s="32" t="s">
        <v>1515</v>
      </c>
      <c r="C349" s="31" t="s">
        <v>1516</v>
      </c>
      <c r="D349" s="31" t="s">
        <v>1461</v>
      </c>
      <c r="E349" s="31" t="s">
        <v>1517</v>
      </c>
      <c r="F349" s="31">
        <v>2</v>
      </c>
      <c r="G349" s="31">
        <v>106</v>
      </c>
      <c r="H349" s="31">
        <v>10</v>
      </c>
      <c r="I349" s="31">
        <v>30</v>
      </c>
      <c r="J349" s="31" t="s">
        <v>1518</v>
      </c>
      <c r="K349" s="31" t="s">
        <v>123</v>
      </c>
      <c r="L349" s="31" t="s">
        <v>56</v>
      </c>
      <c r="M349" s="31">
        <v>160</v>
      </c>
      <c r="N349" s="31">
        <v>2017</v>
      </c>
      <c r="O349" s="31">
        <v>76</v>
      </c>
      <c r="P349" s="31"/>
      <c r="Q349" s="31"/>
      <c r="R349" s="33"/>
      <c r="S349" s="34" t="str">
        <f>HYPERLINK("http://www.cnpol.ru/covers/17788.jpg","фото на сайте")</f>
        <v>фото на сайте</v>
      </c>
    </row>
    <row r="350" spans="1:19" ht="50.1" customHeight="1">
      <c r="A350" s="31"/>
      <c r="B350" s="32" t="s">
        <v>1519</v>
      </c>
      <c r="C350" s="31" t="s">
        <v>390</v>
      </c>
      <c r="D350" s="31" t="s">
        <v>1520</v>
      </c>
      <c r="E350" s="31" t="s">
        <v>1521</v>
      </c>
      <c r="F350" s="31">
        <v>496</v>
      </c>
      <c r="G350" s="31">
        <v>86</v>
      </c>
      <c r="H350" s="31">
        <v>10</v>
      </c>
      <c r="I350" s="31">
        <v>30</v>
      </c>
      <c r="J350" s="31" t="s">
        <v>1522</v>
      </c>
      <c r="K350" s="31" t="s">
        <v>123</v>
      </c>
      <c r="L350" s="31" t="s">
        <v>56</v>
      </c>
      <c r="M350" s="31">
        <v>158</v>
      </c>
      <c r="N350" s="31">
        <v>2015</v>
      </c>
      <c r="O350" s="31">
        <v>76</v>
      </c>
      <c r="P350" s="31"/>
      <c r="Q350" s="31"/>
      <c r="R350" s="33"/>
      <c r="S350" s="34" t="str">
        <f>HYPERLINK("http://www.cnpol.ru/covers/15839.jpg","фото на сайте")</f>
        <v>фото на сайте</v>
      </c>
    </row>
    <row r="351" spans="1:19" ht="50.1" customHeight="1">
      <c r="A351" s="31"/>
      <c r="B351" s="32" t="s">
        <v>1523</v>
      </c>
      <c r="C351" s="31" t="s">
        <v>423</v>
      </c>
      <c r="D351" s="31" t="s">
        <v>424</v>
      </c>
      <c r="E351" s="31" t="s">
        <v>1524</v>
      </c>
      <c r="F351" s="31" t="s">
        <v>31</v>
      </c>
      <c r="G351" s="31">
        <v>154</v>
      </c>
      <c r="H351" s="31">
        <v>10</v>
      </c>
      <c r="I351" s="31">
        <v>20</v>
      </c>
      <c r="J351" s="31" t="s">
        <v>1525</v>
      </c>
      <c r="K351" s="31" t="s">
        <v>55</v>
      </c>
      <c r="L351" s="31" t="s">
        <v>56</v>
      </c>
      <c r="M351" s="31">
        <v>302</v>
      </c>
      <c r="N351" s="31">
        <v>2008</v>
      </c>
      <c r="O351" s="31">
        <v>122</v>
      </c>
      <c r="P351" s="31"/>
      <c r="Q351" s="31"/>
      <c r="R351" s="33"/>
      <c r="S351" s="34" t="str">
        <f>HYPERLINK("http://www.cnpol.ru/covers/10438.jpg","фото на сайте")</f>
        <v>фото на сайте</v>
      </c>
    </row>
    <row r="352" spans="1:19" ht="50.1" customHeight="1">
      <c r="A352" s="31"/>
      <c r="B352" s="32" t="s">
        <v>1526</v>
      </c>
      <c r="C352" s="31" t="s">
        <v>1527</v>
      </c>
      <c r="D352" s="31" t="s">
        <v>1528</v>
      </c>
      <c r="E352" s="31" t="s">
        <v>1529</v>
      </c>
      <c r="F352" s="31">
        <v>8</v>
      </c>
      <c r="G352" s="31">
        <v>157</v>
      </c>
      <c r="H352" s="31">
        <v>10</v>
      </c>
      <c r="I352" s="31">
        <v>72</v>
      </c>
      <c r="J352" s="31" t="s">
        <v>1530</v>
      </c>
      <c r="K352" s="31" t="s">
        <v>226</v>
      </c>
      <c r="L352" s="31" t="s">
        <v>34</v>
      </c>
      <c r="M352" s="31">
        <v>128</v>
      </c>
      <c r="N352" s="31">
        <v>2010</v>
      </c>
      <c r="O352" s="31">
        <v>104</v>
      </c>
      <c r="P352" s="31"/>
      <c r="Q352" s="31"/>
      <c r="R352" s="33"/>
      <c r="S352" s="34" t="str">
        <f>HYPERLINK("http://www.cnpol.ru/covers/11780.jpg","фото на сайте")</f>
        <v>фото на сайте</v>
      </c>
    </row>
    <row r="353" spans="1:19" ht="50.1" customHeight="1">
      <c r="A353" s="31"/>
      <c r="B353" s="32" t="s">
        <v>1531</v>
      </c>
      <c r="C353" s="31" t="s">
        <v>37</v>
      </c>
      <c r="D353" s="31" t="s">
        <v>1532</v>
      </c>
      <c r="E353" s="31" t="s">
        <v>1533</v>
      </c>
      <c r="F353" s="31" t="s">
        <v>31</v>
      </c>
      <c r="G353" s="31">
        <v>820</v>
      </c>
      <c r="H353" s="31">
        <v>10</v>
      </c>
      <c r="I353" s="31">
        <v>16</v>
      </c>
      <c r="J353" s="31" t="s">
        <v>1534</v>
      </c>
      <c r="K353" s="31" t="s">
        <v>33</v>
      </c>
      <c r="L353" s="31" t="s">
        <v>34</v>
      </c>
      <c r="M353" s="31">
        <v>255</v>
      </c>
      <c r="N353" s="31">
        <v>2022</v>
      </c>
      <c r="O353" s="31">
        <v>368</v>
      </c>
      <c r="P353" s="31"/>
      <c r="Q353" s="31"/>
      <c r="R353" s="33"/>
      <c r="S353" s="34" t="str">
        <f>HYPERLINK("http://www.cnpol.ru/covers/20032.jpg","фото на сайте")</f>
        <v>фото на сайте</v>
      </c>
    </row>
    <row r="354" spans="1:19" ht="50.1" customHeight="1">
      <c r="A354" s="31"/>
      <c r="B354" s="32" t="s">
        <v>1535</v>
      </c>
      <c r="C354" s="31" t="s">
        <v>37</v>
      </c>
      <c r="D354" s="31" t="s">
        <v>1536</v>
      </c>
      <c r="E354" s="31" t="s">
        <v>1537</v>
      </c>
      <c r="F354" s="31" t="s">
        <v>31</v>
      </c>
      <c r="G354" s="31">
        <v>539</v>
      </c>
      <c r="H354" s="31">
        <v>10</v>
      </c>
      <c r="I354" s="31">
        <v>12</v>
      </c>
      <c r="J354" s="31" t="s">
        <v>1538</v>
      </c>
      <c r="K354" s="31" t="s">
        <v>33</v>
      </c>
      <c r="L354" s="31" t="s">
        <v>34</v>
      </c>
      <c r="M354" s="31">
        <v>320</v>
      </c>
      <c r="N354" s="31">
        <v>2020</v>
      </c>
      <c r="O354" s="31">
        <v>290</v>
      </c>
      <c r="P354" s="31"/>
      <c r="Q354" s="31"/>
      <c r="R354" s="33"/>
      <c r="S354" s="34" t="str">
        <f>HYPERLINK("http://www.cnpol.ru/covers/19352.jpg","фото на сайте")</f>
        <v>фото на сайте</v>
      </c>
    </row>
    <row r="355" spans="1:19" ht="50.1" customHeight="1">
      <c r="A355" s="31" t="s">
        <v>43</v>
      </c>
      <c r="B355" s="32" t="s">
        <v>1539</v>
      </c>
      <c r="C355" s="31" t="s">
        <v>1540</v>
      </c>
      <c r="D355" s="31" t="s">
        <v>1541</v>
      </c>
      <c r="E355" s="31" t="s">
        <v>1542</v>
      </c>
      <c r="F355" s="31" t="s">
        <v>31</v>
      </c>
      <c r="G355" s="35">
        <v>1277</v>
      </c>
      <c r="H355" s="31">
        <v>10</v>
      </c>
      <c r="I355" s="31">
        <v>8</v>
      </c>
      <c r="J355" s="31" t="s">
        <v>1543</v>
      </c>
      <c r="K355" s="31" t="s">
        <v>33</v>
      </c>
      <c r="L355" s="31" t="s">
        <v>34</v>
      </c>
      <c r="M355" s="31">
        <v>543</v>
      </c>
      <c r="N355" s="31">
        <v>2025</v>
      </c>
      <c r="O355" s="31">
        <v>538</v>
      </c>
      <c r="P355" s="31"/>
      <c r="Q355" s="31"/>
      <c r="R355" s="33" t="s">
        <v>1544</v>
      </c>
      <c r="S355" s="34" t="str">
        <f>HYPERLINK("http://www.cnpol.ru/covers/21413.jpg","фото на сайте")</f>
        <v>фото на сайте</v>
      </c>
    </row>
    <row r="356" spans="1:19" ht="50.1" customHeight="1">
      <c r="A356" s="31"/>
      <c r="B356" s="32" t="s">
        <v>1545</v>
      </c>
      <c r="C356" s="31" t="s">
        <v>37</v>
      </c>
      <c r="D356" s="31" t="s">
        <v>1546</v>
      </c>
      <c r="E356" s="31" t="s">
        <v>1547</v>
      </c>
      <c r="F356" s="31" t="s">
        <v>31</v>
      </c>
      <c r="G356" s="31">
        <v>467</v>
      </c>
      <c r="H356" s="31">
        <v>10</v>
      </c>
      <c r="I356" s="31">
        <v>14</v>
      </c>
      <c r="J356" s="31" t="s">
        <v>1548</v>
      </c>
      <c r="K356" s="31" t="s">
        <v>33</v>
      </c>
      <c r="L356" s="31" t="s">
        <v>34</v>
      </c>
      <c r="M356" s="31">
        <v>288</v>
      </c>
      <c r="N356" s="31">
        <v>2021</v>
      </c>
      <c r="O356" s="31">
        <v>252</v>
      </c>
      <c r="P356" s="31"/>
      <c r="Q356" s="31"/>
      <c r="R356" s="33"/>
      <c r="S356" s="34" t="str">
        <f>HYPERLINK("http://www.cnpol.ru/covers/19883.jpg","фото на сайте")</f>
        <v>фото на сайте</v>
      </c>
    </row>
    <row r="357" spans="1:19" ht="50.1" customHeight="1">
      <c r="A357" s="31"/>
      <c r="B357" s="32" t="s">
        <v>1549</v>
      </c>
      <c r="C357" s="31" t="s">
        <v>400</v>
      </c>
      <c r="D357" s="31" t="s">
        <v>785</v>
      </c>
      <c r="E357" s="31" t="s">
        <v>1550</v>
      </c>
      <c r="F357" s="31" t="s">
        <v>31</v>
      </c>
      <c r="G357" s="31">
        <v>503</v>
      </c>
      <c r="H357" s="31">
        <v>10</v>
      </c>
      <c r="I357" s="31">
        <v>14</v>
      </c>
      <c r="J357" s="31" t="s">
        <v>1551</v>
      </c>
      <c r="K357" s="31" t="s">
        <v>33</v>
      </c>
      <c r="L357" s="31" t="s">
        <v>34</v>
      </c>
      <c r="M357" s="31">
        <v>288</v>
      </c>
      <c r="N357" s="31">
        <v>2018</v>
      </c>
      <c r="O357" s="31">
        <v>258</v>
      </c>
      <c r="P357" s="31"/>
      <c r="Q357" s="31"/>
      <c r="R357" s="33"/>
      <c r="S357" s="34" t="str">
        <f>HYPERLINK("http://www.cnpol.ru/covers/18231.jpg","фото на сайте")</f>
        <v>фото на сайте</v>
      </c>
    </row>
    <row r="358" spans="1:19" ht="50.1" customHeight="1">
      <c r="A358" s="31"/>
      <c r="B358" s="32" t="s">
        <v>1552</v>
      </c>
      <c r="C358" s="31" t="s">
        <v>1102</v>
      </c>
      <c r="D358" s="31" t="s">
        <v>1553</v>
      </c>
      <c r="E358" s="31" t="s">
        <v>1554</v>
      </c>
      <c r="F358" s="31" t="s">
        <v>31</v>
      </c>
      <c r="G358" s="31">
        <v>640</v>
      </c>
      <c r="H358" s="31">
        <v>10</v>
      </c>
      <c r="I358" s="31">
        <v>12</v>
      </c>
      <c r="J358" s="31" t="s">
        <v>1555</v>
      </c>
      <c r="K358" s="31" t="s">
        <v>33</v>
      </c>
      <c r="L358" s="31" t="s">
        <v>34</v>
      </c>
      <c r="M358" s="31">
        <v>256</v>
      </c>
      <c r="N358" s="31">
        <v>2017</v>
      </c>
      <c r="O358" s="31">
        <v>282</v>
      </c>
      <c r="P358" s="31"/>
      <c r="Q358" s="31"/>
      <c r="R358" s="33"/>
      <c r="S358" s="34" t="str">
        <f>HYPERLINK("http://www.cnpol.ru/covers/17783.jpg","фото на сайте")</f>
        <v>фото на сайте</v>
      </c>
    </row>
    <row r="359" spans="1:19" ht="50.1" customHeight="1">
      <c r="A359" s="31"/>
      <c r="B359" s="32" t="s">
        <v>1556</v>
      </c>
      <c r="C359" s="31" t="s">
        <v>390</v>
      </c>
      <c r="D359" s="31" t="s">
        <v>1461</v>
      </c>
      <c r="E359" s="31" t="s">
        <v>1557</v>
      </c>
      <c r="F359" s="31">
        <v>586</v>
      </c>
      <c r="G359" s="31">
        <v>86</v>
      </c>
      <c r="H359" s="31">
        <v>10</v>
      </c>
      <c r="I359" s="31">
        <v>30</v>
      </c>
      <c r="J359" s="31" t="s">
        <v>1558</v>
      </c>
      <c r="K359" s="31" t="s">
        <v>123</v>
      </c>
      <c r="L359" s="31" t="s">
        <v>56</v>
      </c>
      <c r="M359" s="31">
        <v>158</v>
      </c>
      <c r="N359" s="31">
        <v>2016</v>
      </c>
      <c r="O359" s="31">
        <v>76</v>
      </c>
      <c r="P359" s="31"/>
      <c r="Q359" s="31"/>
      <c r="R359" s="33"/>
      <c r="S359" s="34" t="str">
        <f>HYPERLINK("http://www.cnpol.ru/covers/16521.jpg","фото на сайте")</f>
        <v>фото на сайте</v>
      </c>
    </row>
    <row r="360" spans="1:19" ht="50.1" customHeight="1">
      <c r="A360" s="31"/>
      <c r="B360" s="32" t="s">
        <v>1559</v>
      </c>
      <c r="C360" s="31" t="s">
        <v>818</v>
      </c>
      <c r="D360" s="31" t="s">
        <v>1560</v>
      </c>
      <c r="E360" s="31" t="s">
        <v>1561</v>
      </c>
      <c r="F360" s="31" t="s">
        <v>31</v>
      </c>
      <c r="G360" s="31">
        <v>112</v>
      </c>
      <c r="H360" s="31">
        <v>10</v>
      </c>
      <c r="I360" s="31">
        <v>30</v>
      </c>
      <c r="J360" s="31" t="s">
        <v>1562</v>
      </c>
      <c r="K360" s="31" t="s">
        <v>130</v>
      </c>
      <c r="L360" s="31" t="s">
        <v>56</v>
      </c>
      <c r="M360" s="31">
        <v>175</v>
      </c>
      <c r="N360" s="31">
        <v>2008</v>
      </c>
      <c r="O360" s="31" t="s">
        <v>220</v>
      </c>
      <c r="P360" s="31"/>
      <c r="Q360" s="31"/>
      <c r="R360" s="33"/>
      <c r="S360" s="34" t="str">
        <f>HYPERLINK("http://www.cnpol.ru/covers/10163.jpg","фото на сайте")</f>
        <v>фото на сайте</v>
      </c>
    </row>
    <row r="361" spans="1:19" ht="50.1" customHeight="1">
      <c r="A361" s="31"/>
      <c r="B361" s="32" t="s">
        <v>1563</v>
      </c>
      <c r="C361" s="31" t="s">
        <v>390</v>
      </c>
      <c r="D361" s="31" t="s">
        <v>1564</v>
      </c>
      <c r="E361" s="31" t="s">
        <v>1565</v>
      </c>
      <c r="F361" s="31">
        <v>466</v>
      </c>
      <c r="G361" s="31">
        <v>86</v>
      </c>
      <c r="H361" s="31">
        <v>10</v>
      </c>
      <c r="I361" s="31">
        <v>30</v>
      </c>
      <c r="J361" s="31" t="s">
        <v>1566</v>
      </c>
      <c r="K361" s="31" t="s">
        <v>123</v>
      </c>
      <c r="L361" s="31" t="s">
        <v>56</v>
      </c>
      <c r="M361" s="31">
        <v>158</v>
      </c>
      <c r="N361" s="31">
        <v>2014</v>
      </c>
      <c r="O361" s="31">
        <v>76</v>
      </c>
      <c r="P361" s="31"/>
      <c r="Q361" s="31"/>
      <c r="R361" s="33"/>
      <c r="S361" s="34" t="str">
        <f>HYPERLINK("http://www.cnpol.ru/covers/15595.jpg","фото на сайте")</f>
        <v>фото на сайте</v>
      </c>
    </row>
    <row r="362" spans="1:19" ht="50.1" customHeight="1">
      <c r="A362" s="31" t="s">
        <v>35</v>
      </c>
      <c r="B362" s="32" t="s">
        <v>1567</v>
      </c>
      <c r="C362" s="31" t="s">
        <v>45</v>
      </c>
      <c r="D362" s="31" t="s">
        <v>1568</v>
      </c>
      <c r="E362" s="31" t="s">
        <v>1569</v>
      </c>
      <c r="F362" s="31" t="s">
        <v>31</v>
      </c>
      <c r="G362" s="35">
        <v>1027</v>
      </c>
      <c r="H362" s="31">
        <v>10</v>
      </c>
      <c r="I362" s="31">
        <v>5</v>
      </c>
      <c r="J362" s="31" t="s">
        <v>1570</v>
      </c>
      <c r="K362" s="31" t="s">
        <v>33</v>
      </c>
      <c r="L362" s="31" t="s">
        <v>34</v>
      </c>
      <c r="M362" s="31">
        <v>383</v>
      </c>
      <c r="N362" s="31">
        <v>2025</v>
      </c>
      <c r="O362" s="31">
        <v>278</v>
      </c>
      <c r="P362" s="31"/>
      <c r="Q362" s="31"/>
      <c r="R362" s="33" t="s">
        <v>1571</v>
      </c>
      <c r="S362" s="34" t="str">
        <f>HYPERLINK("http://www.cnpol.ru/covers/21478.jpg","фото на сайте")</f>
        <v>фото на сайте</v>
      </c>
    </row>
    <row r="363" spans="1:19" ht="50.1" customHeight="1">
      <c r="A363" s="31"/>
      <c r="B363" s="32" t="s">
        <v>1572</v>
      </c>
      <c r="C363" s="31" t="s">
        <v>119</v>
      </c>
      <c r="D363" s="31" t="s">
        <v>1573</v>
      </c>
      <c r="E363" s="31" t="s">
        <v>1574</v>
      </c>
      <c r="F363" s="31" t="s">
        <v>31</v>
      </c>
      <c r="G363" s="31">
        <v>503</v>
      </c>
      <c r="H363" s="31">
        <v>10</v>
      </c>
      <c r="I363" s="31">
        <v>20</v>
      </c>
      <c r="J363" s="31" t="s">
        <v>1575</v>
      </c>
      <c r="K363" s="31" t="s">
        <v>194</v>
      </c>
      <c r="L363" s="31" t="s">
        <v>34</v>
      </c>
      <c r="M363" s="31">
        <v>224</v>
      </c>
      <c r="N363" s="31">
        <v>2016</v>
      </c>
      <c r="O363" s="31">
        <v>226</v>
      </c>
      <c r="P363" s="31"/>
      <c r="Q363" s="31"/>
      <c r="R363" s="33"/>
      <c r="S363" s="34" t="str">
        <f>HYPERLINK("http://www.cnpol.ru/covers/17169.jpg","фото на сайте")</f>
        <v>фото на сайте</v>
      </c>
    </row>
    <row r="364" spans="1:19" ht="50.1" customHeight="1">
      <c r="A364" s="31"/>
      <c r="B364" s="32" t="s">
        <v>1576</v>
      </c>
      <c r="C364" s="31" t="s">
        <v>37</v>
      </c>
      <c r="D364" s="31" t="s">
        <v>1577</v>
      </c>
      <c r="E364" s="31" t="s">
        <v>1578</v>
      </c>
      <c r="F364" s="31" t="s">
        <v>31</v>
      </c>
      <c r="G364" s="31">
        <v>966</v>
      </c>
      <c r="H364" s="31">
        <v>10</v>
      </c>
      <c r="I364" s="31">
        <v>12</v>
      </c>
      <c r="J364" s="31" t="s">
        <v>1579</v>
      </c>
      <c r="K364" s="31" t="s">
        <v>33</v>
      </c>
      <c r="L364" s="31" t="s">
        <v>34</v>
      </c>
      <c r="M364" s="31">
        <v>350</v>
      </c>
      <c r="N364" s="31">
        <v>2022</v>
      </c>
      <c r="O364" s="31">
        <v>287</v>
      </c>
      <c r="P364" s="31"/>
      <c r="Q364" s="31"/>
      <c r="R364" s="33"/>
      <c r="S364" s="34" t="str">
        <f>HYPERLINK("http://www.cnpol.ru/covers/20126.jpg","фото на сайте")</f>
        <v>фото на сайте</v>
      </c>
    </row>
    <row r="365" spans="1:19" ht="50.1" customHeight="1">
      <c r="A365" s="31"/>
      <c r="B365" s="32" t="s">
        <v>1580</v>
      </c>
      <c r="C365" s="31" t="s">
        <v>546</v>
      </c>
      <c r="D365" s="31" t="s">
        <v>1581</v>
      </c>
      <c r="E365" s="31" t="s">
        <v>1582</v>
      </c>
      <c r="F365" s="31">
        <v>251</v>
      </c>
      <c r="G365" s="31">
        <v>93</v>
      </c>
      <c r="H365" s="31">
        <v>10</v>
      </c>
      <c r="I365" s="31">
        <v>30</v>
      </c>
      <c r="J365" s="31" t="s">
        <v>1583</v>
      </c>
      <c r="K365" s="31" t="s">
        <v>123</v>
      </c>
      <c r="L365" s="31" t="s">
        <v>56</v>
      </c>
      <c r="M365" s="31">
        <v>160</v>
      </c>
      <c r="N365" s="31">
        <v>2017</v>
      </c>
      <c r="O365" s="31">
        <v>76</v>
      </c>
      <c r="P365" s="31"/>
      <c r="Q365" s="31"/>
      <c r="R365" s="33"/>
      <c r="S365" s="34" t="str">
        <f>HYPERLINK("http://www.cnpol.ru/covers/17885.jpg","фото на сайте")</f>
        <v>фото на сайте</v>
      </c>
    </row>
    <row r="366" spans="1:19" ht="50.1" customHeight="1">
      <c r="A366" s="31"/>
      <c r="B366" s="32" t="s">
        <v>1584</v>
      </c>
      <c r="C366" s="31" t="s">
        <v>746</v>
      </c>
      <c r="D366" s="31" t="s">
        <v>167</v>
      </c>
      <c r="E366" s="31" t="s">
        <v>1585</v>
      </c>
      <c r="F366" s="31" t="s">
        <v>31</v>
      </c>
      <c r="G366" s="31">
        <v>503</v>
      </c>
      <c r="H366" s="31">
        <v>10</v>
      </c>
      <c r="I366" s="31">
        <v>14</v>
      </c>
      <c r="J366" s="31" t="s">
        <v>1586</v>
      </c>
      <c r="K366" s="31" t="s">
        <v>33</v>
      </c>
      <c r="L366" s="31" t="s">
        <v>34</v>
      </c>
      <c r="M366" s="31">
        <v>288</v>
      </c>
      <c r="N366" s="31">
        <v>2016</v>
      </c>
      <c r="O366" s="31">
        <v>276</v>
      </c>
      <c r="P366" s="31"/>
      <c r="Q366" s="31"/>
      <c r="R366" s="33"/>
      <c r="S366" s="34" t="str">
        <f>HYPERLINK("http://www.cnpol.ru/covers/16580.jpg","фото на сайте")</f>
        <v>фото на сайте</v>
      </c>
    </row>
    <row r="367" spans="1:19" ht="50.1" customHeight="1">
      <c r="A367" s="31"/>
      <c r="B367" s="32" t="s">
        <v>1587</v>
      </c>
      <c r="C367" s="31" t="s">
        <v>413</v>
      </c>
      <c r="D367" s="31" t="s">
        <v>1581</v>
      </c>
      <c r="E367" s="31" t="s">
        <v>1588</v>
      </c>
      <c r="F367" s="31">
        <v>128</v>
      </c>
      <c r="G367" s="31">
        <v>117</v>
      </c>
      <c r="H367" s="31">
        <v>10</v>
      </c>
      <c r="I367" s="31">
        <v>36</v>
      </c>
      <c r="J367" s="31" t="s">
        <v>1589</v>
      </c>
      <c r="K367" s="31" t="s">
        <v>123</v>
      </c>
      <c r="L367" s="31" t="s">
        <v>56</v>
      </c>
      <c r="M367" s="31">
        <v>192</v>
      </c>
      <c r="N367" s="31">
        <v>2016</v>
      </c>
      <c r="O367" s="31">
        <v>90</v>
      </c>
      <c r="P367" s="31"/>
      <c r="Q367" s="31"/>
      <c r="R367" s="33"/>
      <c r="S367" s="34" t="str">
        <f>HYPERLINK("http://www.cnpol.ru/covers/17100.jpg","фото на сайте")</f>
        <v>фото на сайте</v>
      </c>
    </row>
    <row r="368" spans="1:19" ht="50.1" customHeight="1">
      <c r="A368" s="31"/>
      <c r="B368" s="32" t="s">
        <v>1590</v>
      </c>
      <c r="C368" s="31" t="s">
        <v>546</v>
      </c>
      <c r="D368" s="31" t="s">
        <v>765</v>
      </c>
      <c r="E368" s="31" t="s">
        <v>1591</v>
      </c>
      <c r="F368" s="31">
        <v>366</v>
      </c>
      <c r="G368" s="31">
        <v>93</v>
      </c>
      <c r="H368" s="31">
        <v>10</v>
      </c>
      <c r="I368" s="31">
        <v>30</v>
      </c>
      <c r="J368" s="31" t="s">
        <v>1592</v>
      </c>
      <c r="K368" s="31" t="s">
        <v>123</v>
      </c>
      <c r="L368" s="31" t="s">
        <v>56</v>
      </c>
      <c r="M368" s="31">
        <v>160</v>
      </c>
      <c r="N368" s="31">
        <v>2021</v>
      </c>
      <c r="O368" s="31">
        <v>76</v>
      </c>
      <c r="P368" s="31"/>
      <c r="Q368" s="31"/>
      <c r="R368" s="33"/>
      <c r="S368" s="34" t="str">
        <f>HYPERLINK("http://www.cnpol.ru/covers/19503.jpg","фото на сайте")</f>
        <v>фото на сайте</v>
      </c>
    </row>
    <row r="369" spans="1:19" ht="50.1" customHeight="1">
      <c r="A369" s="31"/>
      <c r="B369" s="32" t="s">
        <v>1593</v>
      </c>
      <c r="C369" s="31" t="s">
        <v>1594</v>
      </c>
      <c r="D369" s="31" t="s">
        <v>1595</v>
      </c>
      <c r="E369" s="31" t="s">
        <v>1596</v>
      </c>
      <c r="F369" s="31" t="s">
        <v>31</v>
      </c>
      <c r="G369" s="31">
        <v>169</v>
      </c>
      <c r="H369" s="31">
        <v>10</v>
      </c>
      <c r="I369" s="31">
        <v>40</v>
      </c>
      <c r="J369" s="31" t="s">
        <v>1597</v>
      </c>
      <c r="K369" s="31" t="s">
        <v>55</v>
      </c>
      <c r="L369" s="31" t="s">
        <v>56</v>
      </c>
      <c r="M369" s="31">
        <v>256</v>
      </c>
      <c r="N369" s="31">
        <v>2019</v>
      </c>
      <c r="O369" s="31">
        <v>110</v>
      </c>
      <c r="P369" s="31"/>
      <c r="Q369" s="31"/>
      <c r="R369" s="33"/>
      <c r="S369" s="34" t="str">
        <f>HYPERLINK("http://www.cnpol.ru/covers/18839.jpg","фото на сайте")</f>
        <v>фото на сайте</v>
      </c>
    </row>
    <row r="370" spans="1:19" ht="50.1" customHeight="1">
      <c r="A370" s="31"/>
      <c r="B370" s="32" t="s">
        <v>1598</v>
      </c>
      <c r="C370" s="31" t="s">
        <v>390</v>
      </c>
      <c r="D370" s="31" t="s">
        <v>1599</v>
      </c>
      <c r="E370" s="31" t="s">
        <v>1600</v>
      </c>
      <c r="F370" s="31">
        <v>900</v>
      </c>
      <c r="G370" s="31">
        <v>86</v>
      </c>
      <c r="H370" s="31">
        <v>10</v>
      </c>
      <c r="I370" s="31">
        <v>30</v>
      </c>
      <c r="J370" s="31" t="s">
        <v>1601</v>
      </c>
      <c r="K370" s="31" t="s">
        <v>123</v>
      </c>
      <c r="L370" s="31" t="s">
        <v>56</v>
      </c>
      <c r="M370" s="31">
        <v>160</v>
      </c>
      <c r="N370" s="31">
        <v>2019</v>
      </c>
      <c r="O370" s="31">
        <v>78</v>
      </c>
      <c r="P370" s="31"/>
      <c r="Q370" s="31"/>
      <c r="R370" s="33"/>
      <c r="S370" s="34" t="str">
        <f>HYPERLINK("http://www.cnpol.ru/covers/18711.jpg","фото на сайте")</f>
        <v>фото на сайте</v>
      </c>
    </row>
    <row r="371" spans="1:19" ht="50.1" customHeight="1">
      <c r="A371" s="31"/>
      <c r="B371" s="32" t="s">
        <v>1602</v>
      </c>
      <c r="C371" s="31" t="s">
        <v>390</v>
      </c>
      <c r="D371" s="31" t="s">
        <v>1603</v>
      </c>
      <c r="E371" s="31" t="s">
        <v>1604</v>
      </c>
      <c r="F371" s="31">
        <v>1096</v>
      </c>
      <c r="G371" s="31">
        <v>86</v>
      </c>
      <c r="H371" s="31">
        <v>10</v>
      </c>
      <c r="I371" s="31">
        <v>30</v>
      </c>
      <c r="J371" s="31" t="s">
        <v>1605</v>
      </c>
      <c r="K371" s="31" t="s">
        <v>123</v>
      </c>
      <c r="L371" s="31" t="s">
        <v>56</v>
      </c>
      <c r="M371" s="31">
        <v>159</v>
      </c>
      <c r="N371" s="31">
        <v>2022</v>
      </c>
      <c r="O371" s="31">
        <v>76</v>
      </c>
      <c r="P371" s="31"/>
      <c r="Q371" s="31"/>
      <c r="R371" s="33"/>
      <c r="S371" s="34" t="str">
        <f>HYPERLINK("http://www.cnpol.ru/covers/20295.jpg","фото на сайте")</f>
        <v>фото на сайте</v>
      </c>
    </row>
    <row r="372" spans="1:19" ht="50.1" customHeight="1">
      <c r="A372" s="31"/>
      <c r="B372" s="32" t="s">
        <v>1606</v>
      </c>
      <c r="C372" s="31" t="s">
        <v>119</v>
      </c>
      <c r="D372" s="31" t="s">
        <v>213</v>
      </c>
      <c r="E372" s="31" t="s">
        <v>1607</v>
      </c>
      <c r="F372" s="31" t="s">
        <v>31</v>
      </c>
      <c r="G372" s="31">
        <v>503</v>
      </c>
      <c r="H372" s="31">
        <v>10</v>
      </c>
      <c r="I372" s="31">
        <v>20</v>
      </c>
      <c r="J372" s="31" t="s">
        <v>1608</v>
      </c>
      <c r="K372" s="31" t="s">
        <v>194</v>
      </c>
      <c r="L372" s="31" t="s">
        <v>34</v>
      </c>
      <c r="M372" s="31">
        <v>160</v>
      </c>
      <c r="N372" s="31">
        <v>2022</v>
      </c>
      <c r="O372" s="31">
        <v>180</v>
      </c>
      <c r="P372" s="31"/>
      <c r="Q372" s="31"/>
      <c r="R372" s="33" t="s">
        <v>1609</v>
      </c>
      <c r="S372" s="34" t="str">
        <f>HYPERLINK("http://www.cnpol.ru/covers/20389.jpg","фото на сайте")</f>
        <v>фото на сайте</v>
      </c>
    </row>
    <row r="373" spans="1:19" ht="50.1" customHeight="1">
      <c r="A373" s="31"/>
      <c r="B373" s="32" t="s">
        <v>1610</v>
      </c>
      <c r="C373" s="31" t="s">
        <v>1611</v>
      </c>
      <c r="D373" s="31" t="s">
        <v>1612</v>
      </c>
      <c r="E373" s="31" t="s">
        <v>1613</v>
      </c>
      <c r="F373" s="31" t="s">
        <v>31</v>
      </c>
      <c r="G373" s="31">
        <v>815</v>
      </c>
      <c r="H373" s="31">
        <v>10</v>
      </c>
      <c r="I373" s="31">
        <v>8</v>
      </c>
      <c r="J373" s="31" t="s">
        <v>1614</v>
      </c>
      <c r="K373" s="31" t="s">
        <v>33</v>
      </c>
      <c r="L373" s="31" t="s">
        <v>34</v>
      </c>
      <c r="M373" s="31">
        <v>512</v>
      </c>
      <c r="N373" s="31">
        <v>2022</v>
      </c>
      <c r="O373" s="31">
        <v>382</v>
      </c>
      <c r="P373" s="31"/>
      <c r="Q373" s="31"/>
      <c r="R373" s="33"/>
      <c r="S373" s="34" t="str">
        <f>HYPERLINK("http://www.cnpol.ru/covers/20247.jpg","фото на сайте")</f>
        <v>фото на сайте</v>
      </c>
    </row>
    <row r="374" spans="1:19" ht="50.1" customHeight="1">
      <c r="A374" s="31"/>
      <c r="B374" s="32" t="s">
        <v>1615</v>
      </c>
      <c r="C374" s="31" t="s">
        <v>479</v>
      </c>
      <c r="D374" s="31" t="s">
        <v>1616</v>
      </c>
      <c r="E374" s="31" t="s">
        <v>1617</v>
      </c>
      <c r="F374" s="31" t="s">
        <v>31</v>
      </c>
      <c r="G374" s="31">
        <v>425</v>
      </c>
      <c r="H374" s="31">
        <v>10</v>
      </c>
      <c r="I374" s="31">
        <v>14</v>
      </c>
      <c r="J374" s="31" t="s">
        <v>1618</v>
      </c>
      <c r="K374" s="31" t="s">
        <v>33</v>
      </c>
      <c r="L374" s="31" t="s">
        <v>34</v>
      </c>
      <c r="M374" s="31">
        <v>224</v>
      </c>
      <c r="N374" s="31">
        <v>2016</v>
      </c>
      <c r="O374" s="31">
        <v>206</v>
      </c>
      <c r="P374" s="31"/>
      <c r="Q374" s="31"/>
      <c r="R374" s="33"/>
      <c r="S374" s="34" t="str">
        <f>HYPERLINK("http://www.cnpol.ru/covers/16930.jpg","фото на сайте")</f>
        <v>фото на сайте</v>
      </c>
    </row>
    <row r="375" spans="1:19" ht="50.1" customHeight="1">
      <c r="A375" s="31"/>
      <c r="B375" s="32" t="s">
        <v>1619</v>
      </c>
      <c r="C375" s="31" t="s">
        <v>390</v>
      </c>
      <c r="D375" s="31" t="s">
        <v>1599</v>
      </c>
      <c r="E375" s="31" t="s">
        <v>1620</v>
      </c>
      <c r="F375" s="31">
        <v>540</v>
      </c>
      <c r="G375" s="31">
        <v>86</v>
      </c>
      <c r="H375" s="31">
        <v>10</v>
      </c>
      <c r="I375" s="31">
        <v>30</v>
      </c>
      <c r="J375" s="31" t="s">
        <v>1621</v>
      </c>
      <c r="K375" s="31" t="s">
        <v>123</v>
      </c>
      <c r="L375" s="31" t="s">
        <v>56</v>
      </c>
      <c r="M375" s="31">
        <v>158</v>
      </c>
      <c r="N375" s="31">
        <v>2015</v>
      </c>
      <c r="O375" s="31">
        <v>76</v>
      </c>
      <c r="P375" s="31"/>
      <c r="Q375" s="31"/>
      <c r="R375" s="33"/>
      <c r="S375" s="34" t="str">
        <f>HYPERLINK("http://www.cnpol.ru/covers/16160.jpg","фото на сайте")</f>
        <v>фото на сайте</v>
      </c>
    </row>
    <row r="376" spans="1:19" ht="50.1" customHeight="1">
      <c r="A376" s="31"/>
      <c r="B376" s="32" t="s">
        <v>1622</v>
      </c>
      <c r="C376" s="31" t="s">
        <v>1623</v>
      </c>
      <c r="D376" s="31" t="s">
        <v>1624</v>
      </c>
      <c r="E376" s="31" t="s">
        <v>1625</v>
      </c>
      <c r="F376" s="31" t="s">
        <v>31</v>
      </c>
      <c r="G376" s="31">
        <v>169</v>
      </c>
      <c r="H376" s="31">
        <v>10</v>
      </c>
      <c r="I376" s="31">
        <v>32</v>
      </c>
      <c r="J376" s="31" t="s">
        <v>1626</v>
      </c>
      <c r="K376" s="31" t="s">
        <v>55</v>
      </c>
      <c r="L376" s="31" t="s">
        <v>56</v>
      </c>
      <c r="M376" s="31">
        <v>288</v>
      </c>
      <c r="N376" s="31">
        <v>2020</v>
      </c>
      <c r="O376" s="31">
        <v>122</v>
      </c>
      <c r="P376" s="31"/>
      <c r="Q376" s="31"/>
      <c r="R376" s="33"/>
      <c r="S376" s="34" t="str">
        <f>HYPERLINK("http://www.cnpol.ru/covers/19385.jpg","фото на сайте")</f>
        <v>фото на сайте</v>
      </c>
    </row>
    <row r="377" spans="1:19" ht="50.1" customHeight="1">
      <c r="A377" s="31"/>
      <c r="B377" s="32" t="s">
        <v>1627</v>
      </c>
      <c r="C377" s="31" t="s">
        <v>546</v>
      </c>
      <c r="D377" s="31" t="s">
        <v>1628</v>
      </c>
      <c r="E377" s="31" t="s">
        <v>1629</v>
      </c>
      <c r="F377" s="31">
        <v>181</v>
      </c>
      <c r="G377" s="31">
        <v>93</v>
      </c>
      <c r="H377" s="31">
        <v>10</v>
      </c>
      <c r="I377" s="31">
        <v>30</v>
      </c>
      <c r="J377" s="31" t="s">
        <v>1630</v>
      </c>
      <c r="K377" s="31" t="s">
        <v>123</v>
      </c>
      <c r="L377" s="31" t="s">
        <v>56</v>
      </c>
      <c r="M377" s="31">
        <v>160</v>
      </c>
      <c r="N377" s="31">
        <v>2016</v>
      </c>
      <c r="O377" s="31">
        <v>76</v>
      </c>
      <c r="P377" s="31"/>
      <c r="Q377" s="31"/>
      <c r="R377" s="33"/>
      <c r="S377" s="34" t="str">
        <f>HYPERLINK("http://www.cnpol.ru/covers/16921.jpg","фото на сайте")</f>
        <v>фото на сайте</v>
      </c>
    </row>
    <row r="378" spans="1:19" ht="50.1" customHeight="1">
      <c r="A378" s="31"/>
      <c r="B378" s="32" t="s">
        <v>1631</v>
      </c>
      <c r="C378" s="31" t="s">
        <v>528</v>
      </c>
      <c r="D378" s="31" t="s">
        <v>529</v>
      </c>
      <c r="E378" s="31" t="s">
        <v>1632</v>
      </c>
      <c r="F378" s="31" t="s">
        <v>31</v>
      </c>
      <c r="G378" s="31">
        <v>137</v>
      </c>
      <c r="H378" s="31">
        <v>10</v>
      </c>
      <c r="I378" s="31">
        <v>20</v>
      </c>
      <c r="J378" s="31" t="s">
        <v>1633</v>
      </c>
      <c r="K378" s="31" t="s">
        <v>55</v>
      </c>
      <c r="L378" s="31" t="s">
        <v>56</v>
      </c>
      <c r="M378" s="31">
        <v>160</v>
      </c>
      <c r="N378" s="31">
        <v>2021</v>
      </c>
      <c r="O378" s="31">
        <v>68</v>
      </c>
      <c r="P378" s="31"/>
      <c r="Q378" s="31"/>
      <c r="R378" s="33"/>
      <c r="S378" s="34" t="str">
        <f>HYPERLINK("http://www.cnpol.ru/covers/19633.jpg","фото на сайте")</f>
        <v>фото на сайте</v>
      </c>
    </row>
    <row r="379" spans="1:19" ht="50.1" customHeight="1">
      <c r="A379" s="31"/>
      <c r="B379" s="32" t="s">
        <v>1634</v>
      </c>
      <c r="C379" s="31" t="s">
        <v>119</v>
      </c>
      <c r="D379" s="31" t="s">
        <v>213</v>
      </c>
      <c r="E379" s="31" t="s">
        <v>1635</v>
      </c>
      <c r="F379" s="31" t="s">
        <v>31</v>
      </c>
      <c r="G379" s="31">
        <v>451</v>
      </c>
      <c r="H379" s="31">
        <v>10</v>
      </c>
      <c r="I379" s="31">
        <v>20</v>
      </c>
      <c r="J379" s="31" t="s">
        <v>1636</v>
      </c>
      <c r="K379" s="31" t="s">
        <v>194</v>
      </c>
      <c r="L379" s="31" t="s">
        <v>34</v>
      </c>
      <c r="M379" s="31">
        <v>160</v>
      </c>
      <c r="N379" s="31">
        <v>2016</v>
      </c>
      <c r="O379" s="31">
        <v>182</v>
      </c>
      <c r="P379" s="31"/>
      <c r="Q379" s="31"/>
      <c r="R379" s="33"/>
      <c r="S379" s="34" t="str">
        <f>HYPERLINK("http://www.cnpol.ru/covers/16761.jpg","фото на сайте")</f>
        <v>фото на сайте</v>
      </c>
    </row>
    <row r="380" spans="1:19" ht="50.1" customHeight="1">
      <c r="A380" s="31"/>
      <c r="B380" s="32" t="s">
        <v>1637</v>
      </c>
      <c r="C380" s="31" t="s">
        <v>390</v>
      </c>
      <c r="D380" s="31" t="s">
        <v>1638</v>
      </c>
      <c r="E380" s="31" t="s">
        <v>1639</v>
      </c>
      <c r="F380" s="31">
        <v>667</v>
      </c>
      <c r="G380" s="31">
        <v>86</v>
      </c>
      <c r="H380" s="31">
        <v>10</v>
      </c>
      <c r="I380" s="31">
        <v>30</v>
      </c>
      <c r="J380" s="31" t="s">
        <v>1640</v>
      </c>
      <c r="K380" s="31" t="s">
        <v>123</v>
      </c>
      <c r="L380" s="31" t="s">
        <v>56</v>
      </c>
      <c r="M380" s="31">
        <v>160</v>
      </c>
      <c r="N380" s="31">
        <v>2016</v>
      </c>
      <c r="O380" s="31">
        <v>76</v>
      </c>
      <c r="P380" s="31"/>
      <c r="Q380" s="31"/>
      <c r="R380" s="33"/>
      <c r="S380" s="34" t="str">
        <f>HYPERLINK("http://www.cnpol.ru/covers/17117.jpg","фото на сайте")</f>
        <v>фото на сайте</v>
      </c>
    </row>
    <row r="381" spans="1:19" ht="50.1" customHeight="1">
      <c r="A381" s="31"/>
      <c r="B381" s="32" t="s">
        <v>1641</v>
      </c>
      <c r="C381" s="31" t="s">
        <v>746</v>
      </c>
      <c r="D381" s="31" t="s">
        <v>1642</v>
      </c>
      <c r="E381" s="31" t="s">
        <v>1643</v>
      </c>
      <c r="F381" s="31" t="s">
        <v>31</v>
      </c>
      <c r="G381" s="31">
        <v>461</v>
      </c>
      <c r="H381" s="31">
        <v>10</v>
      </c>
      <c r="I381" s="31">
        <v>18</v>
      </c>
      <c r="J381" s="31" t="s">
        <v>1644</v>
      </c>
      <c r="K381" s="31" t="s">
        <v>33</v>
      </c>
      <c r="L381" s="31" t="s">
        <v>34</v>
      </c>
      <c r="M381" s="31">
        <v>192</v>
      </c>
      <c r="N381" s="31">
        <v>2020</v>
      </c>
      <c r="O381" s="31">
        <v>206</v>
      </c>
      <c r="P381" s="31"/>
      <c r="Q381" s="31"/>
      <c r="R381" s="33"/>
      <c r="S381" s="34" t="str">
        <f>HYPERLINK("http://www.cnpol.ru/covers/19400.jpg","фото на сайте")</f>
        <v>фото на сайте</v>
      </c>
    </row>
    <row r="382" spans="1:19" ht="50.1" customHeight="1">
      <c r="A382" s="31" t="s">
        <v>43</v>
      </c>
      <c r="B382" s="32" t="s">
        <v>1645</v>
      </c>
      <c r="C382" s="31" t="s">
        <v>37</v>
      </c>
      <c r="D382" s="31" t="s">
        <v>1646</v>
      </c>
      <c r="E382" s="31" t="s">
        <v>1647</v>
      </c>
      <c r="F382" s="31" t="s">
        <v>31</v>
      </c>
      <c r="G382" s="35">
        <v>1730</v>
      </c>
      <c r="H382" s="31">
        <v>10</v>
      </c>
      <c r="I382" s="31">
        <v>6</v>
      </c>
      <c r="J382" s="31" t="s">
        <v>1648</v>
      </c>
      <c r="K382" s="31" t="s">
        <v>1649</v>
      </c>
      <c r="L382" s="31" t="s">
        <v>34</v>
      </c>
      <c r="M382" s="31">
        <v>671</v>
      </c>
      <c r="N382" s="31">
        <v>2024</v>
      </c>
      <c r="O382" s="31">
        <v>794</v>
      </c>
      <c r="P382" s="31"/>
      <c r="Q382" s="31"/>
      <c r="R382" s="33" t="s">
        <v>1650</v>
      </c>
      <c r="S382" s="34" t="str">
        <f>HYPERLINK("http://www.cnpol.ru/covers/21307.jpg","фото на сайте")</f>
        <v>фото на сайте</v>
      </c>
    </row>
    <row r="383" spans="1:19" ht="50.1" customHeight="1">
      <c r="A383" s="31"/>
      <c r="B383" s="32" t="s">
        <v>1651</v>
      </c>
      <c r="C383" s="31" t="s">
        <v>390</v>
      </c>
      <c r="D383" s="31" t="s">
        <v>1652</v>
      </c>
      <c r="E383" s="31" t="s">
        <v>1653</v>
      </c>
      <c r="F383" s="31">
        <v>907</v>
      </c>
      <c r="G383" s="31">
        <v>86</v>
      </c>
      <c r="H383" s="31">
        <v>10</v>
      </c>
      <c r="I383" s="31">
        <v>30</v>
      </c>
      <c r="J383" s="31" t="s">
        <v>1654</v>
      </c>
      <c r="K383" s="31" t="s">
        <v>123</v>
      </c>
      <c r="L383" s="31" t="s">
        <v>56</v>
      </c>
      <c r="M383" s="31">
        <v>160</v>
      </c>
      <c r="N383" s="31">
        <v>2019</v>
      </c>
      <c r="O383" s="31">
        <v>76</v>
      </c>
      <c r="P383" s="31"/>
      <c r="Q383" s="31"/>
      <c r="R383" s="33"/>
      <c r="S383" s="34" t="str">
        <f>HYPERLINK("http://www.cnpol.ru/covers/18749.jpg","фото на сайте")</f>
        <v>фото на сайте</v>
      </c>
    </row>
    <row r="384" spans="1:19" ht="50.1" customHeight="1">
      <c r="A384" s="31"/>
      <c r="B384" s="32" t="s">
        <v>1655</v>
      </c>
      <c r="C384" s="31" t="s">
        <v>546</v>
      </c>
      <c r="D384" s="31" t="s">
        <v>1656</v>
      </c>
      <c r="E384" s="31" t="s">
        <v>1657</v>
      </c>
      <c r="F384" s="31">
        <v>233</v>
      </c>
      <c r="G384" s="31">
        <v>93</v>
      </c>
      <c r="H384" s="31">
        <v>10</v>
      </c>
      <c r="I384" s="31">
        <v>30</v>
      </c>
      <c r="J384" s="31" t="s">
        <v>1658</v>
      </c>
      <c r="K384" s="31" t="s">
        <v>123</v>
      </c>
      <c r="L384" s="31" t="s">
        <v>56</v>
      </c>
      <c r="M384" s="31">
        <v>160</v>
      </c>
      <c r="N384" s="31">
        <v>2017</v>
      </c>
      <c r="O384" s="31">
        <v>76</v>
      </c>
      <c r="P384" s="31"/>
      <c r="Q384" s="31"/>
      <c r="R384" s="33"/>
      <c r="S384" s="34" t="str">
        <f>HYPERLINK("http://www.cnpol.ru/covers/17649.jpg","фото на сайте")</f>
        <v>фото на сайте</v>
      </c>
    </row>
    <row r="385" spans="1:19" ht="50.1" customHeight="1">
      <c r="A385" s="31"/>
      <c r="B385" s="32" t="s">
        <v>1659</v>
      </c>
      <c r="C385" s="31" t="s">
        <v>413</v>
      </c>
      <c r="D385" s="31" t="s">
        <v>1660</v>
      </c>
      <c r="E385" s="31" t="s">
        <v>1661</v>
      </c>
      <c r="F385" s="31">
        <v>129</v>
      </c>
      <c r="G385" s="31">
        <v>117</v>
      </c>
      <c r="H385" s="31">
        <v>10</v>
      </c>
      <c r="I385" s="31">
        <v>36</v>
      </c>
      <c r="J385" s="31" t="s">
        <v>1662</v>
      </c>
      <c r="K385" s="31" t="s">
        <v>123</v>
      </c>
      <c r="L385" s="31" t="s">
        <v>56</v>
      </c>
      <c r="M385" s="31">
        <v>160</v>
      </c>
      <c r="N385" s="31">
        <v>2016</v>
      </c>
      <c r="O385" s="31">
        <v>90</v>
      </c>
      <c r="P385" s="31"/>
      <c r="Q385" s="31"/>
      <c r="R385" s="33"/>
      <c r="S385" s="34" t="str">
        <f>HYPERLINK("http://www.cnpol.ru/covers/17120.jpg","фото на сайте")</f>
        <v>фото на сайте</v>
      </c>
    </row>
    <row r="386" spans="1:19" ht="50.1" customHeight="1">
      <c r="A386" s="31"/>
      <c r="B386" s="32" t="s">
        <v>1663</v>
      </c>
      <c r="C386" s="31" t="s">
        <v>464</v>
      </c>
      <c r="D386" s="31" t="s">
        <v>1664</v>
      </c>
      <c r="E386" s="31" t="s">
        <v>1665</v>
      </c>
      <c r="F386" s="31" t="s">
        <v>31</v>
      </c>
      <c r="G386" s="31">
        <v>137</v>
      </c>
      <c r="H386" s="31">
        <v>10</v>
      </c>
      <c r="I386" s="31">
        <v>50</v>
      </c>
      <c r="J386" s="31" t="s">
        <v>1666</v>
      </c>
      <c r="K386" s="31" t="s">
        <v>468</v>
      </c>
      <c r="L386" s="31" t="s">
        <v>56</v>
      </c>
      <c r="M386" s="31">
        <v>18</v>
      </c>
      <c r="N386" s="31">
        <v>2007</v>
      </c>
      <c r="O386" s="31">
        <v>88</v>
      </c>
      <c r="P386" s="31"/>
      <c r="Q386" s="31"/>
      <c r="R386" s="33"/>
      <c r="S386" s="34" t="str">
        <f>HYPERLINK("http://www.cnpol.ru/covers/6415.jpg","фото на сайте")</f>
        <v>фото на сайте</v>
      </c>
    </row>
    <row r="387" spans="1:19" ht="50.1" customHeight="1">
      <c r="A387" s="31" t="s">
        <v>35</v>
      </c>
      <c r="B387" s="32" t="s">
        <v>1667</v>
      </c>
      <c r="C387" s="31" t="s">
        <v>1668</v>
      </c>
      <c r="D387" s="31" t="s">
        <v>1669</v>
      </c>
      <c r="E387" s="31" t="s">
        <v>1670</v>
      </c>
      <c r="F387" s="31" t="s">
        <v>31</v>
      </c>
      <c r="G387" s="35">
        <v>1119</v>
      </c>
      <c r="H387" s="31">
        <v>10</v>
      </c>
      <c r="I387" s="31">
        <v>10</v>
      </c>
      <c r="J387" s="31" t="s">
        <v>1671</v>
      </c>
      <c r="K387" s="31" t="s">
        <v>33</v>
      </c>
      <c r="L387" s="31" t="s">
        <v>34</v>
      </c>
      <c r="M387" s="31">
        <v>446</v>
      </c>
      <c r="N387" s="31">
        <v>2025</v>
      </c>
      <c r="O387" s="31">
        <v>378</v>
      </c>
      <c r="P387" s="31"/>
      <c r="Q387" s="31"/>
      <c r="R387" s="33" t="s">
        <v>1672</v>
      </c>
      <c r="S387" s="34" t="str">
        <f>HYPERLINK("http://www.cnpol.ru/covers/21515.jpg","фото на сайте")</f>
        <v>фото на сайте</v>
      </c>
    </row>
    <row r="388" spans="1:19" ht="50.1" customHeight="1">
      <c r="A388" s="31"/>
      <c r="B388" s="32" t="s">
        <v>1673</v>
      </c>
      <c r="C388" s="31" t="s">
        <v>143</v>
      </c>
      <c r="D388" s="31" t="s">
        <v>1674</v>
      </c>
      <c r="E388" s="31" t="s">
        <v>1675</v>
      </c>
      <c r="F388" s="31" t="s">
        <v>31</v>
      </c>
      <c r="G388" s="35">
        <v>1071</v>
      </c>
      <c r="H388" s="31">
        <v>10</v>
      </c>
      <c r="I388" s="31">
        <v>10</v>
      </c>
      <c r="J388" s="31" t="s">
        <v>1676</v>
      </c>
      <c r="K388" s="31" t="s">
        <v>33</v>
      </c>
      <c r="L388" s="31" t="s">
        <v>34</v>
      </c>
      <c r="M388" s="31">
        <v>415</v>
      </c>
      <c r="N388" s="31">
        <v>2022</v>
      </c>
      <c r="O388" s="31">
        <v>375</v>
      </c>
      <c r="P388" s="31"/>
      <c r="Q388" s="31"/>
      <c r="R388" s="33"/>
      <c r="S388" s="34" t="str">
        <f>HYPERLINK("http://www.cnpol.ru/covers/20206.jpg","фото на сайте")</f>
        <v>фото на сайте</v>
      </c>
    </row>
    <row r="389" spans="1:19" ht="50.1" customHeight="1">
      <c r="A389" s="31"/>
      <c r="B389" s="32" t="s">
        <v>1677</v>
      </c>
      <c r="C389" s="31" t="s">
        <v>546</v>
      </c>
      <c r="D389" s="31" t="s">
        <v>814</v>
      </c>
      <c r="E389" s="31" t="s">
        <v>1678</v>
      </c>
      <c r="F389" s="31">
        <v>218</v>
      </c>
      <c r="G389" s="31">
        <v>93</v>
      </c>
      <c r="H389" s="31">
        <v>10</v>
      </c>
      <c r="I389" s="31">
        <v>30</v>
      </c>
      <c r="J389" s="31" t="s">
        <v>1679</v>
      </c>
      <c r="K389" s="31" t="s">
        <v>123</v>
      </c>
      <c r="L389" s="31" t="s">
        <v>56</v>
      </c>
      <c r="M389" s="31">
        <v>160</v>
      </c>
      <c r="N389" s="31">
        <v>2017</v>
      </c>
      <c r="O389" s="31">
        <v>76</v>
      </c>
      <c r="P389" s="31"/>
      <c r="Q389" s="31"/>
      <c r="R389" s="33"/>
      <c r="S389" s="34" t="str">
        <f>HYPERLINK("http://www.cnpol.ru/covers/17465.jpg","фото на сайте")</f>
        <v>фото на сайте</v>
      </c>
    </row>
    <row r="390" spans="1:19" ht="50.1" customHeight="1">
      <c r="A390" s="31"/>
      <c r="B390" s="32" t="s">
        <v>1680</v>
      </c>
      <c r="C390" s="31" t="s">
        <v>390</v>
      </c>
      <c r="D390" s="31" t="s">
        <v>1681</v>
      </c>
      <c r="E390" s="31" t="s">
        <v>1682</v>
      </c>
      <c r="F390" s="31">
        <v>897</v>
      </c>
      <c r="G390" s="31">
        <v>86</v>
      </c>
      <c r="H390" s="31">
        <v>10</v>
      </c>
      <c r="I390" s="31">
        <v>30</v>
      </c>
      <c r="J390" s="31" t="s">
        <v>1683</v>
      </c>
      <c r="K390" s="31" t="s">
        <v>123</v>
      </c>
      <c r="L390" s="31" t="s">
        <v>56</v>
      </c>
      <c r="M390" s="31">
        <v>160</v>
      </c>
      <c r="N390" s="31">
        <v>2019</v>
      </c>
      <c r="O390" s="31">
        <v>78</v>
      </c>
      <c r="P390" s="31"/>
      <c r="Q390" s="31"/>
      <c r="R390" s="33"/>
      <c r="S390" s="34" t="str">
        <f>HYPERLINK("http://www.cnpol.ru/covers/18687.jpg","фото на сайте")</f>
        <v>фото на сайте</v>
      </c>
    </row>
    <row r="391" spans="1:19" ht="50.1" customHeight="1">
      <c r="A391" s="31"/>
      <c r="B391" s="32" t="s">
        <v>1684</v>
      </c>
      <c r="C391" s="31" t="s">
        <v>1685</v>
      </c>
      <c r="D391" s="31" t="s">
        <v>1686</v>
      </c>
      <c r="E391" s="31" t="s">
        <v>1687</v>
      </c>
      <c r="F391" s="31" t="s">
        <v>31</v>
      </c>
      <c r="G391" s="31">
        <v>209</v>
      </c>
      <c r="H391" s="31">
        <v>10</v>
      </c>
      <c r="I391" s="31">
        <v>20</v>
      </c>
      <c r="J391" s="31" t="s">
        <v>1688</v>
      </c>
      <c r="K391" s="31" t="s">
        <v>123</v>
      </c>
      <c r="L391" s="31" t="s">
        <v>56</v>
      </c>
      <c r="M391" s="31">
        <v>320</v>
      </c>
      <c r="N391" s="31">
        <v>2017</v>
      </c>
      <c r="O391" s="31">
        <v>144</v>
      </c>
      <c r="P391" s="31"/>
      <c r="Q391" s="31"/>
      <c r="R391" s="33"/>
      <c r="S391" s="34" t="str">
        <f>HYPERLINK("http://www.cnpol.ru/covers/17443.jpg","фото на сайте")</f>
        <v>фото на сайте</v>
      </c>
    </row>
    <row r="392" spans="1:19" ht="50.1" customHeight="1">
      <c r="A392" s="31"/>
      <c r="B392" s="32" t="s">
        <v>1689</v>
      </c>
      <c r="C392" s="31" t="s">
        <v>520</v>
      </c>
      <c r="D392" s="31" t="s">
        <v>1690</v>
      </c>
      <c r="E392" s="31" t="s">
        <v>1691</v>
      </c>
      <c r="F392" s="31">
        <v>9</v>
      </c>
      <c r="G392" s="31">
        <v>117</v>
      </c>
      <c r="H392" s="31">
        <v>10</v>
      </c>
      <c r="I392" s="31">
        <v>30</v>
      </c>
      <c r="J392" s="31" t="s">
        <v>1692</v>
      </c>
      <c r="K392" s="31" t="s">
        <v>123</v>
      </c>
      <c r="L392" s="31" t="s">
        <v>56</v>
      </c>
      <c r="M392" s="31">
        <v>190</v>
      </c>
      <c r="N392" s="31">
        <v>2015</v>
      </c>
      <c r="O392" s="31">
        <v>90</v>
      </c>
      <c r="P392" s="31"/>
      <c r="Q392" s="31"/>
      <c r="R392" s="33"/>
      <c r="S392" s="34" t="str">
        <f>HYPERLINK("http://www.cnpol.ru/covers/16262.jpg","фото на сайте")</f>
        <v>фото на сайте</v>
      </c>
    </row>
    <row r="393" spans="1:19" ht="50.1" customHeight="1">
      <c r="A393" s="31"/>
      <c r="B393" s="32" t="s">
        <v>1693</v>
      </c>
      <c r="C393" s="31" t="s">
        <v>423</v>
      </c>
      <c r="D393" s="31" t="s">
        <v>1694</v>
      </c>
      <c r="E393" s="31" t="s">
        <v>1695</v>
      </c>
      <c r="F393" s="31" t="s">
        <v>31</v>
      </c>
      <c r="G393" s="31">
        <v>154</v>
      </c>
      <c r="H393" s="31">
        <v>10</v>
      </c>
      <c r="I393" s="31">
        <v>28</v>
      </c>
      <c r="J393" s="31" t="s">
        <v>1696</v>
      </c>
      <c r="K393" s="31" t="s">
        <v>55</v>
      </c>
      <c r="L393" s="31" t="s">
        <v>56</v>
      </c>
      <c r="M393" s="31">
        <v>383</v>
      </c>
      <c r="N393" s="31">
        <v>2011</v>
      </c>
      <c r="O393" s="31">
        <v>170</v>
      </c>
      <c r="P393" s="31"/>
      <c r="Q393" s="31"/>
      <c r="R393" s="33"/>
      <c r="S393" s="34" t="str">
        <f>HYPERLINK("http://www.cnpol.ru/covers/12872.jpg","фото на сайте")</f>
        <v>фото на сайте</v>
      </c>
    </row>
    <row r="394" spans="1:19" ht="50.1" customHeight="1">
      <c r="A394" s="31"/>
      <c r="B394" s="32" t="s">
        <v>1697</v>
      </c>
      <c r="C394" s="31" t="s">
        <v>390</v>
      </c>
      <c r="D394" s="31" t="s">
        <v>1698</v>
      </c>
      <c r="E394" s="31" t="s">
        <v>1699</v>
      </c>
      <c r="F394" s="31">
        <v>894</v>
      </c>
      <c r="G394" s="31">
        <v>86</v>
      </c>
      <c r="H394" s="31">
        <v>10</v>
      </c>
      <c r="I394" s="31">
        <v>30</v>
      </c>
      <c r="J394" s="31" t="s">
        <v>1700</v>
      </c>
      <c r="K394" s="31" t="s">
        <v>123</v>
      </c>
      <c r="L394" s="31" t="s">
        <v>56</v>
      </c>
      <c r="M394" s="31">
        <v>160</v>
      </c>
      <c r="N394" s="31">
        <v>2019</v>
      </c>
      <c r="O394" s="31">
        <v>78</v>
      </c>
      <c r="P394" s="31"/>
      <c r="Q394" s="31"/>
      <c r="R394" s="33"/>
      <c r="S394" s="34" t="str">
        <f>HYPERLINK("http://www.cnpol.ru/covers/18674.jpg","фото на сайте")</f>
        <v>фото на сайте</v>
      </c>
    </row>
    <row r="395" spans="1:19" ht="50.1" customHeight="1">
      <c r="A395" s="31"/>
      <c r="B395" s="32" t="s">
        <v>1701</v>
      </c>
      <c r="C395" s="31" t="s">
        <v>546</v>
      </c>
      <c r="D395" s="31" t="s">
        <v>1435</v>
      </c>
      <c r="E395" s="31" t="s">
        <v>1702</v>
      </c>
      <c r="F395" s="31">
        <v>326</v>
      </c>
      <c r="G395" s="31">
        <v>93</v>
      </c>
      <c r="H395" s="31">
        <v>10</v>
      </c>
      <c r="I395" s="31">
        <v>30</v>
      </c>
      <c r="J395" s="31" t="s">
        <v>1703</v>
      </c>
      <c r="K395" s="31" t="s">
        <v>123</v>
      </c>
      <c r="L395" s="31" t="s">
        <v>56</v>
      </c>
      <c r="M395" s="31">
        <v>160</v>
      </c>
      <c r="N395" s="31">
        <v>2019</v>
      </c>
      <c r="O395" s="31">
        <v>76</v>
      </c>
      <c r="P395" s="31"/>
      <c r="Q395" s="31"/>
      <c r="R395" s="33"/>
      <c r="S395" s="34" t="str">
        <f>HYPERLINK("http://www.cnpol.ru/covers/18891.jpg","фото на сайте")</f>
        <v>фото на сайте</v>
      </c>
    </row>
    <row r="396" spans="1:19" ht="50.1" customHeight="1">
      <c r="A396" s="31"/>
      <c r="B396" s="32" t="s">
        <v>1704</v>
      </c>
      <c r="C396" s="31" t="s">
        <v>390</v>
      </c>
      <c r="D396" s="31" t="s">
        <v>1705</v>
      </c>
      <c r="E396" s="31" t="s">
        <v>1706</v>
      </c>
      <c r="F396" s="31">
        <v>502</v>
      </c>
      <c r="G396" s="31">
        <v>86</v>
      </c>
      <c r="H396" s="31">
        <v>10</v>
      </c>
      <c r="I396" s="31">
        <v>30</v>
      </c>
      <c r="J396" s="31" t="s">
        <v>1707</v>
      </c>
      <c r="K396" s="31" t="s">
        <v>123</v>
      </c>
      <c r="L396" s="31" t="s">
        <v>56</v>
      </c>
      <c r="M396" s="31">
        <v>158</v>
      </c>
      <c r="N396" s="31">
        <v>2015</v>
      </c>
      <c r="O396" s="31">
        <v>78</v>
      </c>
      <c r="P396" s="31"/>
      <c r="Q396" s="31"/>
      <c r="R396" s="33"/>
      <c r="S396" s="34" t="str">
        <f>HYPERLINK("http://www.cnpol.ru/covers/15877.jpg","фото на сайте")</f>
        <v>фото на сайте</v>
      </c>
    </row>
    <row r="397" spans="1:19" ht="50.1" customHeight="1">
      <c r="A397" s="31"/>
      <c r="B397" s="32" t="s">
        <v>1708</v>
      </c>
      <c r="C397" s="31" t="s">
        <v>418</v>
      </c>
      <c r="D397" s="31" t="s">
        <v>1709</v>
      </c>
      <c r="E397" s="31" t="s">
        <v>1710</v>
      </c>
      <c r="F397" s="31">
        <v>45</v>
      </c>
      <c r="G397" s="31">
        <v>153</v>
      </c>
      <c r="H397" s="31">
        <v>10</v>
      </c>
      <c r="I397" s="31">
        <v>24</v>
      </c>
      <c r="J397" s="31" t="s">
        <v>1711</v>
      </c>
      <c r="K397" s="31" t="s">
        <v>123</v>
      </c>
      <c r="L397" s="31" t="s">
        <v>56</v>
      </c>
      <c r="M397" s="31">
        <v>286</v>
      </c>
      <c r="N397" s="31">
        <v>2014</v>
      </c>
      <c r="O397" s="31">
        <v>132</v>
      </c>
      <c r="P397" s="31"/>
      <c r="Q397" s="31"/>
      <c r="R397" s="33"/>
      <c r="S397" s="34" t="str">
        <f>HYPERLINK("http://www.cnpol.ru/covers/15089.jpg","фото на сайте")</f>
        <v>фото на сайте</v>
      </c>
    </row>
    <row r="398" spans="1:19" ht="50.1" customHeight="1">
      <c r="A398" s="31"/>
      <c r="B398" s="32" t="s">
        <v>1712</v>
      </c>
      <c r="C398" s="31" t="s">
        <v>390</v>
      </c>
      <c r="D398" s="31" t="s">
        <v>1713</v>
      </c>
      <c r="E398" s="31" t="s">
        <v>1714</v>
      </c>
      <c r="F398" s="31">
        <v>756</v>
      </c>
      <c r="G398" s="31">
        <v>86</v>
      </c>
      <c r="H398" s="31">
        <v>10</v>
      </c>
      <c r="I398" s="31">
        <v>30</v>
      </c>
      <c r="J398" s="31" t="s">
        <v>1715</v>
      </c>
      <c r="K398" s="31" t="s">
        <v>123</v>
      </c>
      <c r="L398" s="31" t="s">
        <v>56</v>
      </c>
      <c r="M398" s="31">
        <v>160</v>
      </c>
      <c r="N398" s="31">
        <v>2017</v>
      </c>
      <c r="O398" s="31">
        <v>76</v>
      </c>
      <c r="P398" s="31"/>
      <c r="Q398" s="31"/>
      <c r="R398" s="33"/>
      <c r="S398" s="34" t="str">
        <f>HYPERLINK("http://www.cnpol.ru/covers/17724.jpg","фото на сайте")</f>
        <v>фото на сайте</v>
      </c>
    </row>
    <row r="399" spans="1:19" ht="50.1" customHeight="1">
      <c r="A399" s="31"/>
      <c r="B399" s="32" t="s">
        <v>1716</v>
      </c>
      <c r="C399" s="31" t="s">
        <v>400</v>
      </c>
      <c r="D399" s="31" t="s">
        <v>1717</v>
      </c>
      <c r="E399" s="31" t="s">
        <v>1718</v>
      </c>
      <c r="F399" s="31" t="s">
        <v>31</v>
      </c>
      <c r="G399" s="31">
        <v>503</v>
      </c>
      <c r="H399" s="31">
        <v>10</v>
      </c>
      <c r="I399" s="31">
        <v>12</v>
      </c>
      <c r="J399" s="31" t="s">
        <v>1719</v>
      </c>
      <c r="K399" s="31" t="s">
        <v>33</v>
      </c>
      <c r="L399" s="31" t="s">
        <v>34</v>
      </c>
      <c r="M399" s="31">
        <v>384</v>
      </c>
      <c r="N399" s="31">
        <v>2018</v>
      </c>
      <c r="O399" s="31">
        <v>302</v>
      </c>
      <c r="P399" s="31"/>
      <c r="Q399" s="31"/>
      <c r="R399" s="33"/>
      <c r="S399" s="34" t="str">
        <f>HYPERLINK("http://www.cnpol.ru/covers/18027.jpg","фото на сайте")</f>
        <v>фото на сайте</v>
      </c>
    </row>
    <row r="400" spans="1:19" ht="50.1" customHeight="1">
      <c r="A400" s="31"/>
      <c r="B400" s="32" t="s">
        <v>1720</v>
      </c>
      <c r="C400" s="31" t="s">
        <v>1721</v>
      </c>
      <c r="D400" s="31" t="s">
        <v>1722</v>
      </c>
      <c r="E400" s="31" t="s">
        <v>1723</v>
      </c>
      <c r="F400" s="31" t="s">
        <v>31</v>
      </c>
      <c r="G400" s="31">
        <v>119</v>
      </c>
      <c r="H400" s="31">
        <v>10</v>
      </c>
      <c r="I400" s="31">
        <v>52</v>
      </c>
      <c r="J400" s="31" t="s">
        <v>1724</v>
      </c>
      <c r="K400" s="31" t="s">
        <v>1725</v>
      </c>
      <c r="L400" s="31" t="s">
        <v>1726</v>
      </c>
      <c r="M400" s="31">
        <v>14</v>
      </c>
      <c r="N400" s="31">
        <v>2005</v>
      </c>
      <c r="O400" s="31">
        <v>120</v>
      </c>
      <c r="P400" s="31"/>
      <c r="Q400" s="31"/>
      <c r="R400" s="33"/>
      <c r="S400" s="34" t="str">
        <f>HYPERLINK("http://www.cnpol.ru/covers/5977.jpg","фото на сайте")</f>
        <v>фото на сайте</v>
      </c>
    </row>
    <row r="401" spans="1:19" ht="50.1" customHeight="1">
      <c r="A401" s="31"/>
      <c r="B401" s="32" t="s">
        <v>1727</v>
      </c>
      <c r="C401" s="31" t="s">
        <v>390</v>
      </c>
      <c r="D401" s="31" t="s">
        <v>1728</v>
      </c>
      <c r="E401" s="31" t="s">
        <v>1729</v>
      </c>
      <c r="F401" s="31">
        <v>934</v>
      </c>
      <c r="G401" s="31">
        <v>86</v>
      </c>
      <c r="H401" s="31">
        <v>10</v>
      </c>
      <c r="I401" s="31">
        <v>30</v>
      </c>
      <c r="J401" s="31" t="s">
        <v>1730</v>
      </c>
      <c r="K401" s="31" t="s">
        <v>123</v>
      </c>
      <c r="L401" s="31" t="s">
        <v>56</v>
      </c>
      <c r="M401" s="31">
        <v>160</v>
      </c>
      <c r="N401" s="31">
        <v>2019</v>
      </c>
      <c r="O401" s="31">
        <v>76</v>
      </c>
      <c r="P401" s="31"/>
      <c r="Q401" s="31"/>
      <c r="R401" s="33"/>
      <c r="S401" s="34" t="str">
        <f>HYPERLINK("http://www.cnpol.ru/covers/18907.jpg","фото на сайте")</f>
        <v>фото на сайте</v>
      </c>
    </row>
    <row r="402" spans="1:19" ht="50.1" customHeight="1">
      <c r="A402" s="31"/>
      <c r="B402" s="32" t="s">
        <v>1731</v>
      </c>
      <c r="C402" s="31" t="s">
        <v>390</v>
      </c>
      <c r="D402" s="31" t="s">
        <v>1638</v>
      </c>
      <c r="E402" s="31" t="s">
        <v>1732</v>
      </c>
      <c r="F402" s="31">
        <v>622</v>
      </c>
      <c r="G402" s="31">
        <v>86</v>
      </c>
      <c r="H402" s="31">
        <v>10</v>
      </c>
      <c r="I402" s="31">
        <v>30</v>
      </c>
      <c r="J402" s="31" t="s">
        <v>1733</v>
      </c>
      <c r="K402" s="31" t="s">
        <v>123</v>
      </c>
      <c r="L402" s="31" t="s">
        <v>56</v>
      </c>
      <c r="M402" s="31">
        <v>160</v>
      </c>
      <c r="N402" s="31">
        <v>2016</v>
      </c>
      <c r="O402" s="31">
        <v>76</v>
      </c>
      <c r="P402" s="31"/>
      <c r="Q402" s="31"/>
      <c r="R402" s="33"/>
      <c r="S402" s="34" t="str">
        <f>HYPERLINK("http://www.cnpol.ru/covers/16792.jpg","фото на сайте")</f>
        <v>фото на сайте</v>
      </c>
    </row>
    <row r="403" spans="1:19" ht="50.1" customHeight="1">
      <c r="A403" s="31"/>
      <c r="B403" s="32" t="s">
        <v>1734</v>
      </c>
      <c r="C403" s="31" t="s">
        <v>390</v>
      </c>
      <c r="D403" s="31" t="s">
        <v>391</v>
      </c>
      <c r="E403" s="31" t="s">
        <v>1735</v>
      </c>
      <c r="F403" s="31">
        <v>1024</v>
      </c>
      <c r="G403" s="31">
        <v>86</v>
      </c>
      <c r="H403" s="31">
        <v>10</v>
      </c>
      <c r="I403" s="31">
        <v>30</v>
      </c>
      <c r="J403" s="31" t="s">
        <v>1736</v>
      </c>
      <c r="K403" s="31" t="s">
        <v>123</v>
      </c>
      <c r="L403" s="31" t="s">
        <v>56</v>
      </c>
      <c r="M403" s="31">
        <v>160</v>
      </c>
      <c r="N403" s="31">
        <v>2021</v>
      </c>
      <c r="O403" s="31">
        <v>76</v>
      </c>
      <c r="P403" s="31"/>
      <c r="Q403" s="31"/>
      <c r="R403" s="33"/>
      <c r="S403" s="34" t="str">
        <f>HYPERLINK("http://www.cnpol.ru/covers/19572.jpg","фото на сайте")</f>
        <v>фото на сайте</v>
      </c>
    </row>
    <row r="404" spans="1:19" ht="50.1" customHeight="1">
      <c r="A404" s="31"/>
      <c r="B404" s="32" t="s">
        <v>1737</v>
      </c>
      <c r="C404" s="31" t="s">
        <v>390</v>
      </c>
      <c r="D404" s="31" t="s">
        <v>1347</v>
      </c>
      <c r="E404" s="31" t="s">
        <v>1738</v>
      </c>
      <c r="F404" s="31">
        <v>916</v>
      </c>
      <c r="G404" s="31">
        <v>86</v>
      </c>
      <c r="H404" s="31">
        <v>10</v>
      </c>
      <c r="I404" s="31">
        <v>30</v>
      </c>
      <c r="J404" s="31" t="s">
        <v>1739</v>
      </c>
      <c r="K404" s="31" t="s">
        <v>123</v>
      </c>
      <c r="L404" s="31" t="s">
        <v>56</v>
      </c>
      <c r="M404" s="31">
        <v>160</v>
      </c>
      <c r="N404" s="31">
        <v>2019</v>
      </c>
      <c r="O404" s="31">
        <v>76</v>
      </c>
      <c r="P404" s="31"/>
      <c r="Q404" s="31"/>
      <c r="R404" s="33"/>
      <c r="S404" s="34" t="str">
        <f>HYPERLINK("http://www.cnpol.ru/covers/18818.jpg","фото на сайте")</f>
        <v>фото на сайте</v>
      </c>
    </row>
    <row r="405" spans="1:19" ht="50.1" customHeight="1">
      <c r="A405" s="31" t="s">
        <v>43</v>
      </c>
      <c r="B405" s="32" t="s">
        <v>1740</v>
      </c>
      <c r="C405" s="31" t="s">
        <v>390</v>
      </c>
      <c r="D405" s="31" t="s">
        <v>1741</v>
      </c>
      <c r="E405" s="31" t="s">
        <v>1742</v>
      </c>
      <c r="F405" s="31">
        <v>1182</v>
      </c>
      <c r="G405" s="31">
        <v>86</v>
      </c>
      <c r="H405" s="31">
        <v>10</v>
      </c>
      <c r="I405" s="31">
        <v>30</v>
      </c>
      <c r="J405" s="31" t="s">
        <v>1743</v>
      </c>
      <c r="K405" s="31" t="s">
        <v>123</v>
      </c>
      <c r="L405" s="31" t="s">
        <v>56</v>
      </c>
      <c r="M405" s="31">
        <v>159</v>
      </c>
      <c r="N405" s="31">
        <v>2024</v>
      </c>
      <c r="O405" s="31">
        <v>76</v>
      </c>
      <c r="P405" s="31"/>
      <c r="Q405" s="31"/>
      <c r="R405" s="33" t="s">
        <v>1744</v>
      </c>
      <c r="S405" s="34" t="str">
        <f>HYPERLINK("http://www.cnpol.ru/covers/21319.jpg","фото на сайте")</f>
        <v>фото на сайте</v>
      </c>
    </row>
    <row r="406" spans="1:19" ht="50.1" customHeight="1">
      <c r="A406" s="31"/>
      <c r="B406" s="32" t="s">
        <v>1745</v>
      </c>
      <c r="C406" s="31" t="s">
        <v>390</v>
      </c>
      <c r="D406" s="31" t="s">
        <v>1746</v>
      </c>
      <c r="E406" s="31" t="s">
        <v>1747</v>
      </c>
      <c r="F406" s="31">
        <v>527</v>
      </c>
      <c r="G406" s="31">
        <v>86</v>
      </c>
      <c r="H406" s="31">
        <v>10</v>
      </c>
      <c r="I406" s="31">
        <v>30</v>
      </c>
      <c r="J406" s="31" t="s">
        <v>1748</v>
      </c>
      <c r="K406" s="31" t="s">
        <v>123</v>
      </c>
      <c r="L406" s="31" t="s">
        <v>56</v>
      </c>
      <c r="M406" s="31">
        <v>158</v>
      </c>
      <c r="N406" s="31">
        <v>2015</v>
      </c>
      <c r="O406" s="31">
        <v>76</v>
      </c>
      <c r="P406" s="31"/>
      <c r="Q406" s="31"/>
      <c r="R406" s="33"/>
      <c r="S406" s="34" t="str">
        <f>HYPERLINK("http://www.cnpol.ru/covers/16065.jpg","фото на сайте")</f>
        <v>фото на сайте</v>
      </c>
    </row>
    <row r="407" spans="1:19" ht="50.1" customHeight="1">
      <c r="A407" s="31"/>
      <c r="B407" s="32" t="s">
        <v>1749</v>
      </c>
      <c r="C407" s="31" t="s">
        <v>546</v>
      </c>
      <c r="D407" s="31" t="s">
        <v>1750</v>
      </c>
      <c r="E407" s="31" t="s">
        <v>1751</v>
      </c>
      <c r="F407" s="31">
        <v>222</v>
      </c>
      <c r="G407" s="31">
        <v>93</v>
      </c>
      <c r="H407" s="31">
        <v>10</v>
      </c>
      <c r="I407" s="31">
        <v>30</v>
      </c>
      <c r="J407" s="31" t="s">
        <v>1752</v>
      </c>
      <c r="K407" s="31" t="s">
        <v>123</v>
      </c>
      <c r="L407" s="31" t="s">
        <v>56</v>
      </c>
      <c r="M407" s="31">
        <v>160</v>
      </c>
      <c r="N407" s="31">
        <v>2017</v>
      </c>
      <c r="O407" s="31">
        <v>76</v>
      </c>
      <c r="P407" s="31"/>
      <c r="Q407" s="31"/>
      <c r="R407" s="33"/>
      <c r="S407" s="34" t="str">
        <f>HYPERLINK("http://www.cnpol.ru/covers/17523.jpg","фото на сайте")</f>
        <v>фото на сайте</v>
      </c>
    </row>
    <row r="408" spans="1:19" ht="50.1" customHeight="1">
      <c r="A408" s="31"/>
      <c r="B408" s="32" t="s">
        <v>1753</v>
      </c>
      <c r="C408" s="31" t="s">
        <v>390</v>
      </c>
      <c r="D408" s="31" t="s">
        <v>1754</v>
      </c>
      <c r="E408" s="31" t="s">
        <v>1755</v>
      </c>
      <c r="F408" s="31">
        <v>913</v>
      </c>
      <c r="G408" s="31">
        <v>86</v>
      </c>
      <c r="H408" s="31">
        <v>10</v>
      </c>
      <c r="I408" s="31">
        <v>30</v>
      </c>
      <c r="J408" s="31" t="s">
        <v>1756</v>
      </c>
      <c r="K408" s="31" t="s">
        <v>123</v>
      </c>
      <c r="L408" s="31" t="s">
        <v>56</v>
      </c>
      <c r="M408" s="31">
        <v>160</v>
      </c>
      <c r="N408" s="31">
        <v>2019</v>
      </c>
      <c r="O408" s="31">
        <v>76</v>
      </c>
      <c r="P408" s="31"/>
      <c r="Q408" s="31"/>
      <c r="R408" s="33"/>
      <c r="S408" s="34" t="str">
        <f>HYPERLINK("http://www.cnpol.ru/covers/18789.jpg","фото на сайте")</f>
        <v>фото на сайте</v>
      </c>
    </row>
    <row r="409" spans="1:19" ht="50.1" customHeight="1">
      <c r="A409" s="31"/>
      <c r="B409" s="32" t="s">
        <v>1757</v>
      </c>
      <c r="C409" s="31" t="s">
        <v>390</v>
      </c>
      <c r="D409" s="31" t="s">
        <v>1758</v>
      </c>
      <c r="E409" s="31" t="s">
        <v>1759</v>
      </c>
      <c r="F409" s="31">
        <v>457</v>
      </c>
      <c r="G409" s="31">
        <v>86</v>
      </c>
      <c r="H409" s="31">
        <v>10</v>
      </c>
      <c r="I409" s="31">
        <v>30</v>
      </c>
      <c r="J409" s="31" t="s">
        <v>1760</v>
      </c>
      <c r="K409" s="31" t="s">
        <v>123</v>
      </c>
      <c r="L409" s="31" t="s">
        <v>56</v>
      </c>
      <c r="M409" s="31">
        <v>158</v>
      </c>
      <c r="N409" s="31">
        <v>2014</v>
      </c>
      <c r="O409" s="31">
        <v>76</v>
      </c>
      <c r="P409" s="31"/>
      <c r="Q409" s="31"/>
      <c r="R409" s="33"/>
      <c r="S409" s="34" t="str">
        <f>HYPERLINK("http://www.cnpol.ru/covers/15522.jpg","фото на сайте")</f>
        <v>фото на сайте</v>
      </c>
    </row>
    <row r="410" spans="1:19" ht="50.1" customHeight="1">
      <c r="A410" s="31"/>
      <c r="B410" s="32" t="s">
        <v>1761</v>
      </c>
      <c r="C410" s="31" t="s">
        <v>390</v>
      </c>
      <c r="D410" s="31" t="s">
        <v>1427</v>
      </c>
      <c r="E410" s="31" t="s">
        <v>1762</v>
      </c>
      <c r="F410" s="31">
        <v>589</v>
      </c>
      <c r="G410" s="31">
        <v>86</v>
      </c>
      <c r="H410" s="31">
        <v>10</v>
      </c>
      <c r="I410" s="31">
        <v>30</v>
      </c>
      <c r="J410" s="31" t="s">
        <v>1763</v>
      </c>
      <c r="K410" s="31" t="s">
        <v>300</v>
      </c>
      <c r="L410" s="31" t="s">
        <v>56</v>
      </c>
      <c r="M410" s="31">
        <v>158</v>
      </c>
      <c r="N410" s="31">
        <v>2016</v>
      </c>
      <c r="O410" s="31">
        <v>76</v>
      </c>
      <c r="P410" s="31"/>
      <c r="Q410" s="31"/>
      <c r="R410" s="33"/>
      <c r="S410" s="34" t="str">
        <f>HYPERLINK("http://www.cnpol.ru/covers/16524.jpg","фото на сайте")</f>
        <v>фото на сайте</v>
      </c>
    </row>
    <row r="411" spans="1:19" ht="50.1" customHeight="1">
      <c r="A411" s="31"/>
      <c r="B411" s="32" t="s">
        <v>1764</v>
      </c>
      <c r="C411" s="31" t="s">
        <v>390</v>
      </c>
      <c r="D411" s="31" t="s">
        <v>1461</v>
      </c>
      <c r="E411" s="31" t="s">
        <v>1765</v>
      </c>
      <c r="F411" s="31">
        <v>823</v>
      </c>
      <c r="G411" s="31">
        <v>86</v>
      </c>
      <c r="H411" s="31">
        <v>10</v>
      </c>
      <c r="I411" s="31">
        <v>30</v>
      </c>
      <c r="J411" s="31" t="s">
        <v>1766</v>
      </c>
      <c r="K411" s="31" t="s">
        <v>123</v>
      </c>
      <c r="L411" s="31" t="s">
        <v>56</v>
      </c>
      <c r="M411" s="31">
        <v>160</v>
      </c>
      <c r="N411" s="31">
        <v>2018</v>
      </c>
      <c r="O411" s="31">
        <v>76</v>
      </c>
      <c r="P411" s="31"/>
      <c r="Q411" s="31"/>
      <c r="R411" s="33"/>
      <c r="S411" s="34" t="str">
        <f>HYPERLINK("http://www.cnpol.ru/covers/18226.jpg","фото на сайте")</f>
        <v>фото на сайте</v>
      </c>
    </row>
    <row r="412" spans="1:19" ht="50.1" customHeight="1">
      <c r="A412" s="31"/>
      <c r="B412" s="32" t="s">
        <v>1767</v>
      </c>
      <c r="C412" s="31" t="s">
        <v>1668</v>
      </c>
      <c r="D412" s="31" t="s">
        <v>1669</v>
      </c>
      <c r="E412" s="31" t="s">
        <v>1768</v>
      </c>
      <c r="F412" s="31" t="s">
        <v>31</v>
      </c>
      <c r="G412" s="31">
        <v>575</v>
      </c>
      <c r="H412" s="31">
        <v>10</v>
      </c>
      <c r="I412" s="31">
        <v>10</v>
      </c>
      <c r="J412" s="31" t="s">
        <v>1769</v>
      </c>
      <c r="K412" s="31" t="s">
        <v>33</v>
      </c>
      <c r="L412" s="31" t="s">
        <v>34</v>
      </c>
      <c r="M412" s="31">
        <v>447</v>
      </c>
      <c r="N412" s="31">
        <v>2022</v>
      </c>
      <c r="O412" s="31">
        <v>478</v>
      </c>
      <c r="P412" s="31"/>
      <c r="Q412" s="31"/>
      <c r="R412" s="33"/>
      <c r="S412" s="34" t="str">
        <f>HYPERLINK("http://www.cnpol.ru/covers/20085.jpg","фото на сайте")</f>
        <v>фото на сайте</v>
      </c>
    </row>
    <row r="413" spans="1:19" ht="50.1" customHeight="1">
      <c r="A413" s="31"/>
      <c r="B413" s="32" t="s">
        <v>1770</v>
      </c>
      <c r="C413" s="31" t="s">
        <v>28</v>
      </c>
      <c r="D413" s="31" t="s">
        <v>202</v>
      </c>
      <c r="E413" s="31" t="s">
        <v>1771</v>
      </c>
      <c r="F413" s="31" t="s">
        <v>31</v>
      </c>
      <c r="G413" s="35">
        <v>1041</v>
      </c>
      <c r="H413" s="31">
        <v>10</v>
      </c>
      <c r="I413" s="31">
        <v>12</v>
      </c>
      <c r="J413" s="31" t="s">
        <v>1772</v>
      </c>
      <c r="K413" s="31" t="s">
        <v>41</v>
      </c>
      <c r="L413" s="31" t="s">
        <v>34</v>
      </c>
      <c r="M413" s="31">
        <v>464</v>
      </c>
      <c r="N413" s="31">
        <v>2015</v>
      </c>
      <c r="O413" s="31">
        <v>558</v>
      </c>
      <c r="P413" s="31"/>
      <c r="Q413" s="31"/>
      <c r="R413" s="33"/>
      <c r="S413" s="34" t="str">
        <f>HYPERLINK("http://www.cnpol.ru/covers/16354.jpg","фото на сайте")</f>
        <v>фото на сайте</v>
      </c>
    </row>
    <row r="414" spans="1:19" ht="50.1" customHeight="1">
      <c r="A414" s="31"/>
      <c r="B414" s="32" t="s">
        <v>1773</v>
      </c>
      <c r="C414" s="31" t="s">
        <v>546</v>
      </c>
      <c r="D414" s="31" t="s">
        <v>1774</v>
      </c>
      <c r="E414" s="31" t="s">
        <v>1775</v>
      </c>
      <c r="F414" s="31">
        <v>335</v>
      </c>
      <c r="G414" s="31">
        <v>93</v>
      </c>
      <c r="H414" s="31">
        <v>10</v>
      </c>
      <c r="I414" s="31">
        <v>30</v>
      </c>
      <c r="J414" s="31" t="s">
        <v>1776</v>
      </c>
      <c r="K414" s="31" t="s">
        <v>123</v>
      </c>
      <c r="L414" s="31" t="s">
        <v>56</v>
      </c>
      <c r="M414" s="31">
        <v>160</v>
      </c>
      <c r="N414" s="31">
        <v>2019</v>
      </c>
      <c r="O414" s="31">
        <v>76</v>
      </c>
      <c r="P414" s="31"/>
      <c r="Q414" s="31"/>
      <c r="R414" s="33"/>
      <c r="S414" s="34" t="str">
        <f>HYPERLINK("http://www.cnpol.ru/covers/18990.jpg","фото на сайте")</f>
        <v>фото на сайте</v>
      </c>
    </row>
    <row r="415" spans="1:19" ht="50.1" customHeight="1">
      <c r="A415" s="31"/>
      <c r="B415" s="32" t="s">
        <v>1777</v>
      </c>
      <c r="C415" s="31" t="s">
        <v>546</v>
      </c>
      <c r="D415" s="31" t="s">
        <v>1628</v>
      </c>
      <c r="E415" s="31" t="s">
        <v>1778</v>
      </c>
      <c r="F415" s="31">
        <v>241</v>
      </c>
      <c r="G415" s="31">
        <v>93</v>
      </c>
      <c r="H415" s="31">
        <v>10</v>
      </c>
      <c r="I415" s="31">
        <v>30</v>
      </c>
      <c r="J415" s="31" t="s">
        <v>1779</v>
      </c>
      <c r="K415" s="31" t="s">
        <v>123</v>
      </c>
      <c r="L415" s="31" t="s">
        <v>56</v>
      </c>
      <c r="M415" s="31">
        <v>160</v>
      </c>
      <c r="N415" s="31">
        <v>2017</v>
      </c>
      <c r="O415" s="31">
        <v>76</v>
      </c>
      <c r="P415" s="31"/>
      <c r="Q415" s="31"/>
      <c r="R415" s="33"/>
      <c r="S415" s="34" t="str">
        <f>HYPERLINK("http://www.cnpol.ru/covers/17740.jpg","фото на сайте")</f>
        <v>фото на сайте</v>
      </c>
    </row>
    <row r="416" spans="1:19" ht="50.1" customHeight="1">
      <c r="A416" s="31"/>
      <c r="B416" s="32" t="s">
        <v>1780</v>
      </c>
      <c r="C416" s="31" t="s">
        <v>1781</v>
      </c>
      <c r="D416" s="31" t="s">
        <v>1782</v>
      </c>
      <c r="E416" s="31" t="s">
        <v>1783</v>
      </c>
      <c r="F416" s="31" t="s">
        <v>31</v>
      </c>
      <c r="G416" s="31">
        <v>418</v>
      </c>
      <c r="H416" s="31">
        <v>10</v>
      </c>
      <c r="I416" s="31">
        <v>18</v>
      </c>
      <c r="J416" s="31" t="s">
        <v>1784</v>
      </c>
      <c r="K416" s="31" t="s">
        <v>33</v>
      </c>
      <c r="L416" s="31" t="s">
        <v>34</v>
      </c>
      <c r="M416" s="31">
        <v>224</v>
      </c>
      <c r="N416" s="31">
        <v>2021</v>
      </c>
      <c r="O416" s="31">
        <v>218</v>
      </c>
      <c r="P416" s="31"/>
      <c r="Q416" s="31"/>
      <c r="R416" s="33"/>
      <c r="S416" s="34" t="str">
        <f>HYPERLINK("http://www.cnpol.ru/covers/19756.jpg","фото на сайте")</f>
        <v>фото на сайте</v>
      </c>
    </row>
    <row r="417" spans="1:19" ht="50.1" customHeight="1">
      <c r="A417" s="31" t="s">
        <v>43</v>
      </c>
      <c r="B417" s="32" t="s">
        <v>1785</v>
      </c>
      <c r="C417" s="31" t="s">
        <v>1328</v>
      </c>
      <c r="D417" s="31" t="s">
        <v>1786</v>
      </c>
      <c r="E417" s="31" t="s">
        <v>1787</v>
      </c>
      <c r="F417" s="31" t="s">
        <v>31</v>
      </c>
      <c r="G417" s="31">
        <v>489</v>
      </c>
      <c r="H417" s="31">
        <v>10</v>
      </c>
      <c r="I417" s="31">
        <v>16</v>
      </c>
      <c r="J417" s="31" t="s">
        <v>1788</v>
      </c>
      <c r="K417" s="31" t="s">
        <v>33</v>
      </c>
      <c r="L417" s="31" t="s">
        <v>210</v>
      </c>
      <c r="M417" s="31">
        <v>287</v>
      </c>
      <c r="N417" s="31">
        <v>2024</v>
      </c>
      <c r="O417" s="31" t="s">
        <v>220</v>
      </c>
      <c r="P417" s="31"/>
      <c r="Q417" s="31"/>
      <c r="R417" s="33" t="s">
        <v>1789</v>
      </c>
      <c r="S417" s="34" t="str">
        <f>HYPERLINK("http://www.cnpol.ru/covers/21385.jpg","фото на сайте")</f>
        <v>фото на сайте</v>
      </c>
    </row>
    <row r="418" spans="1:19" ht="50.1" customHeight="1">
      <c r="A418" s="31"/>
      <c r="B418" s="32" t="s">
        <v>1790</v>
      </c>
      <c r="C418" s="31" t="s">
        <v>1516</v>
      </c>
      <c r="D418" s="31" t="s">
        <v>1758</v>
      </c>
      <c r="E418" s="31" t="s">
        <v>1791</v>
      </c>
      <c r="F418" s="31">
        <v>37</v>
      </c>
      <c r="G418" s="31">
        <v>106</v>
      </c>
      <c r="H418" s="31">
        <v>10</v>
      </c>
      <c r="I418" s="31">
        <v>30</v>
      </c>
      <c r="J418" s="31" t="s">
        <v>1792</v>
      </c>
      <c r="K418" s="31" t="s">
        <v>123</v>
      </c>
      <c r="L418" s="31" t="s">
        <v>56</v>
      </c>
      <c r="M418" s="31">
        <v>159</v>
      </c>
      <c r="N418" s="31">
        <v>2021</v>
      </c>
      <c r="O418" s="31">
        <v>76</v>
      </c>
      <c r="P418" s="31"/>
      <c r="Q418" s="31"/>
      <c r="R418" s="33"/>
      <c r="S418" s="34" t="str">
        <f>HYPERLINK("http://www.cnpol.ru/covers/20017.jpg","фото на сайте")</f>
        <v>фото на сайте</v>
      </c>
    </row>
    <row r="419" spans="1:19" ht="50.1" customHeight="1">
      <c r="A419" s="31"/>
      <c r="B419" s="32" t="s">
        <v>1793</v>
      </c>
      <c r="C419" s="31" t="s">
        <v>546</v>
      </c>
      <c r="D419" s="31" t="s">
        <v>1794</v>
      </c>
      <c r="E419" s="31" t="s">
        <v>1795</v>
      </c>
      <c r="F419" s="31">
        <v>193</v>
      </c>
      <c r="G419" s="31">
        <v>93</v>
      </c>
      <c r="H419" s="31">
        <v>10</v>
      </c>
      <c r="I419" s="31">
        <v>30</v>
      </c>
      <c r="J419" s="31" t="s">
        <v>1796</v>
      </c>
      <c r="K419" s="31" t="s">
        <v>123</v>
      </c>
      <c r="L419" s="31" t="s">
        <v>56</v>
      </c>
      <c r="M419" s="31">
        <v>160</v>
      </c>
      <c r="N419" s="31">
        <v>2016</v>
      </c>
      <c r="O419" s="31">
        <v>76</v>
      </c>
      <c r="P419" s="31"/>
      <c r="Q419" s="31"/>
      <c r="R419" s="33"/>
      <c r="S419" s="34" t="str">
        <f>HYPERLINK("http://www.cnpol.ru/covers/17086.jpg","фото на сайте")</f>
        <v>фото на сайте</v>
      </c>
    </row>
    <row r="420" spans="1:19" ht="50.1" customHeight="1">
      <c r="A420" s="31"/>
      <c r="B420" s="32" t="s">
        <v>1797</v>
      </c>
      <c r="C420" s="31" t="s">
        <v>390</v>
      </c>
      <c r="D420" s="31" t="s">
        <v>594</v>
      </c>
      <c r="E420" s="31" t="s">
        <v>1798</v>
      </c>
      <c r="F420" s="31">
        <v>798</v>
      </c>
      <c r="G420" s="31">
        <v>86</v>
      </c>
      <c r="H420" s="31">
        <v>10</v>
      </c>
      <c r="I420" s="31">
        <v>30</v>
      </c>
      <c r="J420" s="31" t="s">
        <v>1799</v>
      </c>
      <c r="K420" s="31" t="s">
        <v>123</v>
      </c>
      <c r="L420" s="31" t="s">
        <v>56</v>
      </c>
      <c r="M420" s="31">
        <v>160</v>
      </c>
      <c r="N420" s="31">
        <v>2018</v>
      </c>
      <c r="O420" s="31">
        <v>76</v>
      </c>
      <c r="P420" s="31"/>
      <c r="Q420" s="31"/>
      <c r="R420" s="33"/>
      <c r="S420" s="34" t="str">
        <f>HYPERLINK("http://www.cnpol.ru/covers/18038.jpg","фото на сайте")</f>
        <v>фото на сайте</v>
      </c>
    </row>
    <row r="421" spans="1:19" ht="50.1" customHeight="1">
      <c r="A421" s="31"/>
      <c r="B421" s="32" t="s">
        <v>1800</v>
      </c>
      <c r="C421" s="31" t="s">
        <v>390</v>
      </c>
      <c r="D421" s="31" t="s">
        <v>1801</v>
      </c>
      <c r="E421" s="31" t="s">
        <v>1802</v>
      </c>
      <c r="F421" s="31">
        <v>832</v>
      </c>
      <c r="G421" s="31">
        <v>86</v>
      </c>
      <c r="H421" s="31">
        <v>10</v>
      </c>
      <c r="I421" s="31">
        <v>30</v>
      </c>
      <c r="J421" s="31" t="s">
        <v>1803</v>
      </c>
      <c r="K421" s="31" t="s">
        <v>123</v>
      </c>
      <c r="L421" s="31" t="s">
        <v>56</v>
      </c>
      <c r="M421" s="31">
        <v>160</v>
      </c>
      <c r="N421" s="31">
        <v>2018</v>
      </c>
      <c r="O421" s="31">
        <v>76</v>
      </c>
      <c r="P421" s="31"/>
      <c r="Q421" s="31"/>
      <c r="R421" s="33"/>
      <c r="S421" s="34" t="str">
        <f>HYPERLINK("http://www.cnpol.ru/covers/18282.jpg","фото на сайте")</f>
        <v>фото на сайте</v>
      </c>
    </row>
    <row r="422" spans="1:19" ht="50.1" customHeight="1">
      <c r="A422" s="31"/>
      <c r="B422" s="32" t="s">
        <v>1804</v>
      </c>
      <c r="C422" s="31" t="s">
        <v>390</v>
      </c>
      <c r="D422" s="31" t="s">
        <v>1805</v>
      </c>
      <c r="E422" s="31" t="s">
        <v>1806</v>
      </c>
      <c r="F422" s="31">
        <v>1049</v>
      </c>
      <c r="G422" s="31">
        <v>86</v>
      </c>
      <c r="H422" s="31">
        <v>10</v>
      </c>
      <c r="I422" s="31">
        <v>30</v>
      </c>
      <c r="J422" s="31" t="s">
        <v>1807</v>
      </c>
      <c r="K422" s="31" t="s">
        <v>123</v>
      </c>
      <c r="L422" s="31" t="s">
        <v>56</v>
      </c>
      <c r="M422" s="31">
        <v>160</v>
      </c>
      <c r="N422" s="31">
        <v>2021</v>
      </c>
      <c r="O422" s="31">
        <v>76</v>
      </c>
      <c r="P422" s="31"/>
      <c r="Q422" s="31"/>
      <c r="R422" s="33"/>
      <c r="S422" s="34" t="str">
        <f>HYPERLINK("http://www.cnpol.ru/covers/19795.jpg","фото на сайте")</f>
        <v>фото на сайте</v>
      </c>
    </row>
    <row r="423" spans="1:19" ht="50.1" customHeight="1">
      <c r="A423" s="31"/>
      <c r="B423" s="32" t="s">
        <v>1808</v>
      </c>
      <c r="C423" s="31" t="s">
        <v>400</v>
      </c>
      <c r="D423" s="31" t="s">
        <v>1809</v>
      </c>
      <c r="E423" s="31" t="s">
        <v>1810</v>
      </c>
      <c r="F423" s="31" t="s">
        <v>31</v>
      </c>
      <c r="G423" s="31">
        <v>503</v>
      </c>
      <c r="H423" s="31">
        <v>10</v>
      </c>
      <c r="I423" s="31">
        <v>12</v>
      </c>
      <c r="J423" s="31" t="s">
        <v>1811</v>
      </c>
      <c r="K423" s="31" t="s">
        <v>33</v>
      </c>
      <c r="L423" s="31" t="s">
        <v>34</v>
      </c>
      <c r="M423" s="31">
        <v>350</v>
      </c>
      <c r="N423" s="31">
        <v>2015</v>
      </c>
      <c r="O423" s="31">
        <v>286</v>
      </c>
      <c r="P423" s="31"/>
      <c r="Q423" s="31"/>
      <c r="R423" s="33"/>
      <c r="S423" s="34" t="str">
        <f>HYPERLINK("http://www.cnpol.ru/covers/15800.jpg","фото на сайте")</f>
        <v>фото на сайте</v>
      </c>
    </row>
    <row r="424" spans="1:19" ht="50.1" customHeight="1">
      <c r="A424" s="31"/>
      <c r="B424" s="32" t="s">
        <v>1812</v>
      </c>
      <c r="C424" s="31" t="s">
        <v>1813</v>
      </c>
      <c r="D424" s="31" t="s">
        <v>1814</v>
      </c>
      <c r="E424" s="31" t="s">
        <v>1815</v>
      </c>
      <c r="F424" s="31" t="s">
        <v>31</v>
      </c>
      <c r="G424" s="31">
        <v>349</v>
      </c>
      <c r="H424" s="31">
        <v>10</v>
      </c>
      <c r="I424" s="31">
        <v>26</v>
      </c>
      <c r="J424" s="31" t="s">
        <v>1816</v>
      </c>
      <c r="K424" s="31" t="s">
        <v>33</v>
      </c>
      <c r="L424" s="31" t="s">
        <v>210</v>
      </c>
      <c r="M424" s="31">
        <v>160</v>
      </c>
      <c r="N424" s="31">
        <v>2021</v>
      </c>
      <c r="O424" s="31">
        <v>102</v>
      </c>
      <c r="P424" s="31"/>
      <c r="Q424" s="31"/>
      <c r="R424" s="33"/>
      <c r="S424" s="34" t="str">
        <f>HYPERLINK("http://www.cnpol.ru/covers/19833.jpg","фото на сайте")</f>
        <v>фото на сайте</v>
      </c>
    </row>
    <row r="425" spans="1:19" ht="50.1" customHeight="1">
      <c r="A425" s="31"/>
      <c r="B425" s="32" t="s">
        <v>1817</v>
      </c>
      <c r="C425" s="31" t="s">
        <v>1818</v>
      </c>
      <c r="D425" s="31" t="s">
        <v>1814</v>
      </c>
      <c r="E425" s="31" t="s">
        <v>1819</v>
      </c>
      <c r="F425" s="31" t="s">
        <v>31</v>
      </c>
      <c r="G425" s="31">
        <v>258</v>
      </c>
      <c r="H425" s="31">
        <v>10</v>
      </c>
      <c r="I425" s="31">
        <v>30</v>
      </c>
      <c r="J425" s="31" t="s">
        <v>1820</v>
      </c>
      <c r="K425" s="31" t="s">
        <v>130</v>
      </c>
      <c r="L425" s="31" t="s">
        <v>56</v>
      </c>
      <c r="M425" s="31">
        <v>160</v>
      </c>
      <c r="N425" s="31">
        <v>2022</v>
      </c>
      <c r="O425" s="31">
        <v>102</v>
      </c>
      <c r="P425" s="31"/>
      <c r="Q425" s="31"/>
      <c r="R425" s="33"/>
      <c r="S425" s="34" t="str">
        <f>HYPERLINK("http://www.cnpol.ru/covers/20163.jpg","фото на сайте")</f>
        <v>фото на сайте</v>
      </c>
    </row>
    <row r="426" spans="1:19" ht="50.1" customHeight="1">
      <c r="A426" s="31"/>
      <c r="B426" s="32" t="s">
        <v>1821</v>
      </c>
      <c r="C426" s="31" t="s">
        <v>1822</v>
      </c>
      <c r="D426" s="31" t="s">
        <v>1814</v>
      </c>
      <c r="E426" s="31" t="s">
        <v>1819</v>
      </c>
      <c r="F426" s="31" t="s">
        <v>31</v>
      </c>
      <c r="G426" s="31">
        <v>593</v>
      </c>
      <c r="H426" s="31">
        <v>10</v>
      </c>
      <c r="I426" s="31">
        <v>24</v>
      </c>
      <c r="J426" s="31" t="s">
        <v>1823</v>
      </c>
      <c r="K426" s="31" t="s">
        <v>194</v>
      </c>
      <c r="L426" s="31" t="s">
        <v>34</v>
      </c>
      <c r="M426" s="31">
        <v>192</v>
      </c>
      <c r="N426" s="31">
        <v>2013</v>
      </c>
      <c r="O426" s="31">
        <v>212</v>
      </c>
      <c r="P426" s="31"/>
      <c r="Q426" s="31"/>
      <c r="R426" s="33"/>
      <c r="S426" s="34" t="str">
        <f>HYPERLINK("http://www.cnpol.ru/covers/14355.jpg","фото на сайте")</f>
        <v>фото на сайте</v>
      </c>
    </row>
    <row r="427" spans="1:19" ht="50.1" customHeight="1">
      <c r="A427" s="31"/>
      <c r="B427" s="32" t="s">
        <v>1824</v>
      </c>
      <c r="C427" s="31" t="s">
        <v>143</v>
      </c>
      <c r="D427" s="31" t="s">
        <v>1825</v>
      </c>
      <c r="E427" s="31" t="s">
        <v>1826</v>
      </c>
      <c r="F427" s="31" t="s">
        <v>31</v>
      </c>
      <c r="G427" s="31">
        <v>466</v>
      </c>
      <c r="H427" s="31">
        <v>10</v>
      </c>
      <c r="I427" s="31">
        <v>14</v>
      </c>
      <c r="J427" s="31" t="s">
        <v>1827</v>
      </c>
      <c r="K427" s="31" t="s">
        <v>33</v>
      </c>
      <c r="L427" s="31" t="s">
        <v>34</v>
      </c>
      <c r="M427" s="31">
        <v>287</v>
      </c>
      <c r="N427" s="31">
        <v>2023</v>
      </c>
      <c r="O427" s="31">
        <v>260</v>
      </c>
      <c r="P427" s="31"/>
      <c r="Q427" s="31"/>
      <c r="R427" s="33" t="s">
        <v>1828</v>
      </c>
      <c r="S427" s="34" t="str">
        <f>HYPERLINK("http://www.cnpol.ru/covers/20884.jpg","фото на сайте")</f>
        <v>фото на сайте</v>
      </c>
    </row>
    <row r="428" spans="1:19" ht="50.1" customHeight="1">
      <c r="A428" s="31"/>
      <c r="B428" s="32" t="s">
        <v>1829</v>
      </c>
      <c r="C428" s="31" t="s">
        <v>1830</v>
      </c>
      <c r="D428" s="31" t="s">
        <v>1831</v>
      </c>
      <c r="E428" s="31" t="s">
        <v>1832</v>
      </c>
      <c r="F428" s="31" t="s">
        <v>31</v>
      </c>
      <c r="G428" s="31">
        <v>370</v>
      </c>
      <c r="H428" s="31">
        <v>10</v>
      </c>
      <c r="I428" s="31">
        <v>16</v>
      </c>
      <c r="J428" s="31" t="s">
        <v>1833</v>
      </c>
      <c r="K428" s="31" t="s">
        <v>33</v>
      </c>
      <c r="L428" s="31" t="s">
        <v>34</v>
      </c>
      <c r="M428" s="31">
        <v>366</v>
      </c>
      <c r="N428" s="31">
        <v>2004</v>
      </c>
      <c r="O428" s="31">
        <v>300</v>
      </c>
      <c r="P428" s="31"/>
      <c r="Q428" s="31"/>
      <c r="R428" s="33"/>
      <c r="S428" s="34" t="str">
        <f>HYPERLINK("http://www.cnpol.ru/covers/4672.jpg","фото на сайте")</f>
        <v>фото на сайте</v>
      </c>
    </row>
    <row r="429" spans="1:19" ht="50.1" customHeight="1">
      <c r="A429" s="31"/>
      <c r="B429" s="32" t="s">
        <v>1834</v>
      </c>
      <c r="C429" s="31" t="s">
        <v>1323</v>
      </c>
      <c r="D429" s="31" t="s">
        <v>1835</v>
      </c>
      <c r="E429" s="31" t="s">
        <v>1836</v>
      </c>
      <c r="F429" s="31" t="s">
        <v>31</v>
      </c>
      <c r="G429" s="31">
        <v>169</v>
      </c>
      <c r="H429" s="31">
        <v>10</v>
      </c>
      <c r="I429" s="31">
        <v>8</v>
      </c>
      <c r="J429" s="31" t="s">
        <v>1837</v>
      </c>
      <c r="K429" s="31" t="s">
        <v>55</v>
      </c>
      <c r="L429" s="31" t="s">
        <v>56</v>
      </c>
      <c r="M429" s="31">
        <v>287</v>
      </c>
      <c r="N429" s="31">
        <v>2021</v>
      </c>
      <c r="O429" s="31">
        <v>122</v>
      </c>
      <c r="P429" s="31"/>
      <c r="Q429" s="31"/>
      <c r="R429" s="33"/>
      <c r="S429" s="34" t="str">
        <f>HYPERLINK("http://www.cnpol.ru/covers/19478.jpg","фото на сайте")</f>
        <v>фото на сайте</v>
      </c>
    </row>
    <row r="430" spans="1:19" ht="50.1" customHeight="1">
      <c r="A430" s="31"/>
      <c r="B430" s="32" t="s">
        <v>1838</v>
      </c>
      <c r="C430" s="31" t="s">
        <v>546</v>
      </c>
      <c r="D430" s="31" t="s">
        <v>1628</v>
      </c>
      <c r="E430" s="31" t="s">
        <v>1839</v>
      </c>
      <c r="F430" s="31">
        <v>320</v>
      </c>
      <c r="G430" s="31">
        <v>93</v>
      </c>
      <c r="H430" s="31">
        <v>10</v>
      </c>
      <c r="I430" s="31">
        <v>30</v>
      </c>
      <c r="J430" s="31" t="s">
        <v>1840</v>
      </c>
      <c r="K430" s="31" t="s">
        <v>123</v>
      </c>
      <c r="L430" s="31" t="s">
        <v>56</v>
      </c>
      <c r="M430" s="31">
        <v>160</v>
      </c>
      <c r="N430" s="31">
        <v>2019</v>
      </c>
      <c r="O430" s="31">
        <v>76</v>
      </c>
      <c r="P430" s="31"/>
      <c r="Q430" s="31"/>
      <c r="R430" s="33"/>
      <c r="S430" s="34" t="str">
        <f>HYPERLINK("http://www.cnpol.ru/covers/18827.jpg","фото на сайте")</f>
        <v>фото на сайте</v>
      </c>
    </row>
    <row r="431" spans="1:19" ht="50.1" customHeight="1">
      <c r="A431" s="31"/>
      <c r="B431" s="32" t="s">
        <v>1841</v>
      </c>
      <c r="C431" s="31" t="s">
        <v>546</v>
      </c>
      <c r="D431" s="31" t="s">
        <v>1842</v>
      </c>
      <c r="E431" s="31" t="s">
        <v>1843</v>
      </c>
      <c r="F431" s="31">
        <v>337</v>
      </c>
      <c r="G431" s="31">
        <v>93</v>
      </c>
      <c r="H431" s="31">
        <v>10</v>
      </c>
      <c r="I431" s="31">
        <v>30</v>
      </c>
      <c r="J431" s="31" t="s">
        <v>1844</v>
      </c>
      <c r="K431" s="31" t="s">
        <v>123</v>
      </c>
      <c r="L431" s="31" t="s">
        <v>56</v>
      </c>
      <c r="M431" s="31">
        <v>160</v>
      </c>
      <c r="N431" s="31">
        <v>2020</v>
      </c>
      <c r="O431" s="31">
        <v>76</v>
      </c>
      <c r="P431" s="31"/>
      <c r="Q431" s="31"/>
      <c r="R431" s="33"/>
      <c r="S431" s="34" t="str">
        <f>HYPERLINK("http://www.cnpol.ru/covers/19006.jpg","фото на сайте")</f>
        <v>фото на сайте</v>
      </c>
    </row>
    <row r="432" spans="1:19" ht="50.1" customHeight="1">
      <c r="A432" s="31"/>
      <c r="B432" s="32" t="s">
        <v>1845</v>
      </c>
      <c r="C432" s="31" t="s">
        <v>546</v>
      </c>
      <c r="D432" s="31" t="s">
        <v>1846</v>
      </c>
      <c r="E432" s="31" t="s">
        <v>1847</v>
      </c>
      <c r="F432" s="31">
        <v>322</v>
      </c>
      <c r="G432" s="31">
        <v>93</v>
      </c>
      <c r="H432" s="31">
        <v>10</v>
      </c>
      <c r="I432" s="31">
        <v>30</v>
      </c>
      <c r="J432" s="31" t="s">
        <v>1848</v>
      </c>
      <c r="K432" s="31" t="s">
        <v>123</v>
      </c>
      <c r="L432" s="31" t="s">
        <v>56</v>
      </c>
      <c r="M432" s="31">
        <v>160</v>
      </c>
      <c r="N432" s="31">
        <v>2019</v>
      </c>
      <c r="O432" s="31">
        <v>76</v>
      </c>
      <c r="P432" s="31"/>
      <c r="Q432" s="31"/>
      <c r="R432" s="33"/>
      <c r="S432" s="34" t="str">
        <f>HYPERLINK("http://www.cnpol.ru/covers/18847.jpg","фото на сайте")</f>
        <v>фото на сайте</v>
      </c>
    </row>
    <row r="433" spans="1:19" ht="50.1" customHeight="1">
      <c r="A433" s="31"/>
      <c r="B433" s="32" t="s">
        <v>1849</v>
      </c>
      <c r="C433" s="31" t="s">
        <v>390</v>
      </c>
      <c r="D433" s="31" t="s">
        <v>1850</v>
      </c>
      <c r="E433" s="31" t="s">
        <v>1851</v>
      </c>
      <c r="F433" s="31">
        <v>956</v>
      </c>
      <c r="G433" s="31">
        <v>86</v>
      </c>
      <c r="H433" s="31">
        <v>10</v>
      </c>
      <c r="I433" s="31">
        <v>30</v>
      </c>
      <c r="J433" s="31" t="s">
        <v>1852</v>
      </c>
      <c r="K433" s="31" t="s">
        <v>123</v>
      </c>
      <c r="L433" s="31" t="s">
        <v>56</v>
      </c>
      <c r="M433" s="31">
        <v>160</v>
      </c>
      <c r="N433" s="31">
        <v>2020</v>
      </c>
      <c r="O433" s="31">
        <v>76</v>
      </c>
      <c r="P433" s="31"/>
      <c r="Q433" s="31"/>
      <c r="R433" s="33"/>
      <c r="S433" s="34" t="str">
        <f>HYPERLINK("http://www.cnpol.ru/covers/19013.jpg","фото на сайте")</f>
        <v>фото на сайте</v>
      </c>
    </row>
    <row r="434" spans="1:19" ht="50.1" customHeight="1">
      <c r="A434" s="31" t="s">
        <v>43</v>
      </c>
      <c r="B434" s="32" t="s">
        <v>1853</v>
      </c>
      <c r="C434" s="31" t="s">
        <v>454</v>
      </c>
      <c r="D434" s="31" t="s">
        <v>1854</v>
      </c>
      <c r="E434" s="31" t="s">
        <v>1855</v>
      </c>
      <c r="F434" s="31" t="s">
        <v>31</v>
      </c>
      <c r="G434" s="35">
        <v>1011</v>
      </c>
      <c r="H434" s="31">
        <v>10</v>
      </c>
      <c r="I434" s="31">
        <v>5</v>
      </c>
      <c r="J434" s="31" t="s">
        <v>1856</v>
      </c>
      <c r="K434" s="31" t="s">
        <v>33</v>
      </c>
      <c r="L434" s="31" t="s">
        <v>34</v>
      </c>
      <c r="M434" s="31">
        <v>366</v>
      </c>
      <c r="N434" s="31">
        <v>2025</v>
      </c>
      <c r="O434" s="31">
        <v>248</v>
      </c>
      <c r="P434" s="31"/>
      <c r="Q434" s="31"/>
      <c r="R434" s="33" t="s">
        <v>1857</v>
      </c>
      <c r="S434" s="34" t="str">
        <f>HYPERLINK("http://www.cnpol.ru/covers/21602.jpg","фото на сайте")</f>
        <v>фото на сайте</v>
      </c>
    </row>
    <row r="435" spans="1:19" ht="50.1" customHeight="1">
      <c r="A435" s="31" t="s">
        <v>43</v>
      </c>
      <c r="B435" s="32" t="s">
        <v>1858</v>
      </c>
      <c r="C435" s="31" t="s">
        <v>143</v>
      </c>
      <c r="D435" s="31" t="s">
        <v>1859</v>
      </c>
      <c r="E435" s="31" t="s">
        <v>1860</v>
      </c>
      <c r="F435" s="31" t="s">
        <v>31</v>
      </c>
      <c r="G435" s="31">
        <v>733</v>
      </c>
      <c r="H435" s="31">
        <v>10</v>
      </c>
      <c r="I435" s="31">
        <v>14</v>
      </c>
      <c r="J435" s="31" t="s">
        <v>1861</v>
      </c>
      <c r="K435" s="31" t="s">
        <v>33</v>
      </c>
      <c r="L435" s="31" t="s">
        <v>34</v>
      </c>
      <c r="M435" s="31">
        <v>255</v>
      </c>
      <c r="N435" s="31">
        <v>2024</v>
      </c>
      <c r="O435" s="31">
        <v>320</v>
      </c>
      <c r="P435" s="31"/>
      <c r="Q435" s="31"/>
      <c r="R435" s="33" t="s">
        <v>1862</v>
      </c>
      <c r="S435" s="34" t="str">
        <f>HYPERLINK("http://www.cnpol.ru/covers/21000.jpg","фото на сайте")</f>
        <v>фото на сайте</v>
      </c>
    </row>
    <row r="436" spans="1:19" ht="50.1" customHeight="1">
      <c r="A436" s="31"/>
      <c r="B436" s="32" t="s">
        <v>1863</v>
      </c>
      <c r="C436" s="31" t="s">
        <v>390</v>
      </c>
      <c r="D436" s="31" t="s">
        <v>1427</v>
      </c>
      <c r="E436" s="31" t="s">
        <v>1864</v>
      </c>
      <c r="F436" s="31">
        <v>555</v>
      </c>
      <c r="G436" s="31">
        <v>86</v>
      </c>
      <c r="H436" s="31">
        <v>10</v>
      </c>
      <c r="I436" s="31">
        <v>30</v>
      </c>
      <c r="J436" s="31" t="s">
        <v>1865</v>
      </c>
      <c r="K436" s="31" t="s">
        <v>123</v>
      </c>
      <c r="L436" s="31" t="s">
        <v>56</v>
      </c>
      <c r="M436" s="31">
        <v>158</v>
      </c>
      <c r="N436" s="31">
        <v>2015</v>
      </c>
      <c r="O436" s="31">
        <v>76</v>
      </c>
      <c r="P436" s="31"/>
      <c r="Q436" s="31"/>
      <c r="R436" s="33"/>
      <c r="S436" s="34" t="str">
        <f>HYPERLINK("http://www.cnpol.ru/covers/16270.jpg","фото на сайте")</f>
        <v>фото на сайте</v>
      </c>
    </row>
    <row r="437" spans="1:19" ht="50.1" customHeight="1">
      <c r="A437" s="31"/>
      <c r="B437" s="32" t="s">
        <v>1866</v>
      </c>
      <c r="C437" s="31" t="s">
        <v>400</v>
      </c>
      <c r="D437" s="31" t="s">
        <v>1867</v>
      </c>
      <c r="E437" s="31" t="s">
        <v>1868</v>
      </c>
      <c r="F437" s="31" t="s">
        <v>31</v>
      </c>
      <c r="G437" s="31">
        <v>503</v>
      </c>
      <c r="H437" s="31">
        <v>10</v>
      </c>
      <c r="I437" s="31">
        <v>14</v>
      </c>
      <c r="J437" s="31" t="s">
        <v>1869</v>
      </c>
      <c r="K437" s="31" t="s">
        <v>33</v>
      </c>
      <c r="L437" s="31" t="s">
        <v>34</v>
      </c>
      <c r="M437" s="31">
        <v>287</v>
      </c>
      <c r="N437" s="31">
        <v>2021</v>
      </c>
      <c r="O437" s="31">
        <v>270</v>
      </c>
      <c r="P437" s="31"/>
      <c r="Q437" s="31"/>
      <c r="R437" s="33"/>
      <c r="S437" s="34" t="str">
        <f>HYPERLINK("http://www.cnpol.ru/covers/19451.jpg","фото на сайте")</f>
        <v>фото на сайте</v>
      </c>
    </row>
    <row r="438" spans="1:19" ht="50.1" customHeight="1">
      <c r="A438" s="31"/>
      <c r="B438" s="32" t="s">
        <v>1870</v>
      </c>
      <c r="C438" s="31" t="s">
        <v>546</v>
      </c>
      <c r="D438" s="31" t="s">
        <v>653</v>
      </c>
      <c r="E438" s="31" t="s">
        <v>1871</v>
      </c>
      <c r="F438" s="31">
        <v>309</v>
      </c>
      <c r="G438" s="31">
        <v>93</v>
      </c>
      <c r="H438" s="31">
        <v>10</v>
      </c>
      <c r="I438" s="31">
        <v>30</v>
      </c>
      <c r="J438" s="31" t="s">
        <v>1872</v>
      </c>
      <c r="K438" s="31" t="s">
        <v>123</v>
      </c>
      <c r="L438" s="31" t="s">
        <v>56</v>
      </c>
      <c r="M438" s="31">
        <v>160</v>
      </c>
      <c r="N438" s="31">
        <v>2019</v>
      </c>
      <c r="O438" s="31">
        <v>78</v>
      </c>
      <c r="P438" s="31"/>
      <c r="Q438" s="31"/>
      <c r="R438" s="33"/>
      <c r="S438" s="34" t="str">
        <f>HYPERLINK("http://www.cnpol.ru/covers/18688.jpg","фото на сайте")</f>
        <v>фото на сайте</v>
      </c>
    </row>
    <row r="439" spans="1:19" ht="50.1" customHeight="1">
      <c r="A439" s="31"/>
      <c r="B439" s="32" t="s">
        <v>1873</v>
      </c>
      <c r="C439" s="31" t="s">
        <v>385</v>
      </c>
      <c r="D439" s="31" t="s">
        <v>386</v>
      </c>
      <c r="E439" s="31" t="s">
        <v>1874</v>
      </c>
      <c r="F439" s="31" t="s">
        <v>31</v>
      </c>
      <c r="G439" s="31">
        <v>162</v>
      </c>
      <c r="H439" s="31">
        <v>10</v>
      </c>
      <c r="I439" s="31">
        <v>32</v>
      </c>
      <c r="J439" s="31" t="s">
        <v>1875</v>
      </c>
      <c r="K439" s="31" t="s">
        <v>55</v>
      </c>
      <c r="L439" s="31" t="s">
        <v>56</v>
      </c>
      <c r="M439" s="31">
        <v>256</v>
      </c>
      <c r="N439" s="31">
        <v>2016</v>
      </c>
      <c r="O439" s="31">
        <v>110</v>
      </c>
      <c r="P439" s="31"/>
      <c r="Q439" s="31"/>
      <c r="R439" s="33"/>
      <c r="S439" s="34" t="str">
        <f>HYPERLINK("http://www.cnpol.ru/covers/16763.jpg","фото на сайте")</f>
        <v>фото на сайте</v>
      </c>
    </row>
    <row r="440" spans="1:19" ht="50.1" customHeight="1">
      <c r="A440" s="31"/>
      <c r="B440" s="32" t="s">
        <v>1876</v>
      </c>
      <c r="C440" s="31" t="s">
        <v>1877</v>
      </c>
      <c r="D440" s="31" t="s">
        <v>1878</v>
      </c>
      <c r="E440" s="31" t="s">
        <v>1879</v>
      </c>
      <c r="F440" s="31" t="s">
        <v>31</v>
      </c>
      <c r="G440" s="31">
        <v>880</v>
      </c>
      <c r="H440" s="31">
        <v>10</v>
      </c>
      <c r="I440" s="31">
        <v>12</v>
      </c>
      <c r="J440" s="31" t="s">
        <v>1880</v>
      </c>
      <c r="K440" s="31" t="s">
        <v>33</v>
      </c>
      <c r="L440" s="31" t="s">
        <v>34</v>
      </c>
      <c r="M440" s="31">
        <v>352</v>
      </c>
      <c r="N440" s="31">
        <v>2015</v>
      </c>
      <c r="O440" s="31">
        <v>384</v>
      </c>
      <c r="P440" s="31"/>
      <c r="Q440" s="31"/>
      <c r="R440" s="33"/>
      <c r="S440" s="34" t="str">
        <f>HYPERLINK("http://www.cnpol.ru/covers/16367.jpg","фото на сайте")</f>
        <v>фото на сайте</v>
      </c>
    </row>
    <row r="441" spans="1:19" ht="50.1" customHeight="1">
      <c r="A441" s="31"/>
      <c r="B441" s="32" t="s">
        <v>1881</v>
      </c>
      <c r="C441" s="31" t="s">
        <v>408</v>
      </c>
      <c r="D441" s="31" t="s">
        <v>1882</v>
      </c>
      <c r="E441" s="31" t="s">
        <v>1883</v>
      </c>
      <c r="F441" s="31" t="s">
        <v>31</v>
      </c>
      <c r="G441" s="31">
        <v>640</v>
      </c>
      <c r="H441" s="31">
        <v>10</v>
      </c>
      <c r="I441" s="31">
        <v>14</v>
      </c>
      <c r="J441" s="31" t="s">
        <v>1884</v>
      </c>
      <c r="K441" s="31" t="s">
        <v>33</v>
      </c>
      <c r="L441" s="31" t="s">
        <v>34</v>
      </c>
      <c r="M441" s="31">
        <v>272</v>
      </c>
      <c r="N441" s="31">
        <v>2021</v>
      </c>
      <c r="O441" s="31">
        <v>322</v>
      </c>
      <c r="P441" s="31"/>
      <c r="Q441" s="31"/>
      <c r="R441" s="33"/>
      <c r="S441" s="34" t="str">
        <f>HYPERLINK("http://www.cnpol.ru/covers/19458.jpg","фото на сайте")</f>
        <v>фото на сайте</v>
      </c>
    </row>
    <row r="442" spans="1:19" ht="50.1" customHeight="1">
      <c r="A442" s="31"/>
      <c r="B442" s="32" t="s">
        <v>1885</v>
      </c>
      <c r="C442" s="31" t="s">
        <v>143</v>
      </c>
      <c r="D442" s="31" t="s">
        <v>980</v>
      </c>
      <c r="E442" s="31" t="s">
        <v>1886</v>
      </c>
      <c r="F442" s="31" t="s">
        <v>31</v>
      </c>
      <c r="G442" s="31">
        <v>807</v>
      </c>
      <c r="H442" s="31">
        <v>10</v>
      </c>
      <c r="I442" s="31">
        <v>10</v>
      </c>
      <c r="J442" s="31" t="s">
        <v>1887</v>
      </c>
      <c r="K442" s="31" t="s">
        <v>33</v>
      </c>
      <c r="L442" s="31" t="s">
        <v>34</v>
      </c>
      <c r="M442" s="31">
        <v>448</v>
      </c>
      <c r="N442" s="31">
        <v>2021</v>
      </c>
      <c r="O442" s="31">
        <v>492</v>
      </c>
      <c r="P442" s="31"/>
      <c r="Q442" s="31"/>
      <c r="R442" s="33"/>
      <c r="S442" s="34" t="str">
        <f>HYPERLINK("http://www.cnpol.ru/covers/19475.jpg","фото на сайте")</f>
        <v>фото на сайте</v>
      </c>
    </row>
    <row r="443" spans="1:19" ht="50.1" customHeight="1">
      <c r="A443" s="31"/>
      <c r="B443" s="32" t="s">
        <v>1888</v>
      </c>
      <c r="C443" s="31" t="s">
        <v>479</v>
      </c>
      <c r="D443" s="31" t="s">
        <v>1889</v>
      </c>
      <c r="E443" s="31" t="s">
        <v>1890</v>
      </c>
      <c r="F443" s="31" t="s">
        <v>31</v>
      </c>
      <c r="G443" s="31">
        <v>773</v>
      </c>
      <c r="H443" s="31">
        <v>10</v>
      </c>
      <c r="I443" s="31">
        <v>10</v>
      </c>
      <c r="J443" s="31" t="s">
        <v>1891</v>
      </c>
      <c r="K443" s="31" t="s">
        <v>33</v>
      </c>
      <c r="L443" s="31" t="s">
        <v>34</v>
      </c>
      <c r="M443" s="31">
        <v>288</v>
      </c>
      <c r="N443" s="31">
        <v>2019</v>
      </c>
      <c r="O443" s="31">
        <v>388</v>
      </c>
      <c r="P443" s="31"/>
      <c r="Q443" s="31"/>
      <c r="R443" s="33"/>
      <c r="S443" s="34" t="str">
        <f>HYPERLINK("http://www.cnpol.ru/covers/18508.jpg","фото на сайте")</f>
        <v>фото на сайте</v>
      </c>
    </row>
    <row r="444" spans="1:19" ht="50.1" customHeight="1">
      <c r="A444" s="31" t="s">
        <v>43</v>
      </c>
      <c r="B444" s="32" t="s">
        <v>1892</v>
      </c>
      <c r="C444" s="31" t="s">
        <v>37</v>
      </c>
      <c r="D444" s="31" t="s">
        <v>1893</v>
      </c>
      <c r="E444" s="31" t="s">
        <v>1894</v>
      </c>
      <c r="F444" s="31" t="s">
        <v>31</v>
      </c>
      <c r="G444" s="31">
        <v>961</v>
      </c>
      <c r="H444" s="31">
        <v>10</v>
      </c>
      <c r="I444" s="31">
        <v>12</v>
      </c>
      <c r="J444" s="31" t="s">
        <v>1895</v>
      </c>
      <c r="K444" s="31" t="s">
        <v>33</v>
      </c>
      <c r="L444" s="31" t="s">
        <v>34</v>
      </c>
      <c r="M444" s="31">
        <v>351</v>
      </c>
      <c r="N444" s="31">
        <v>2025</v>
      </c>
      <c r="O444" s="31">
        <v>360</v>
      </c>
      <c r="P444" s="31"/>
      <c r="Q444" s="31"/>
      <c r="R444" s="33" t="s">
        <v>1896</v>
      </c>
      <c r="S444" s="34" t="str">
        <f>HYPERLINK("http://www.cnpol.ru/covers/21618.jpg","фото на сайте")</f>
        <v>фото на сайте</v>
      </c>
    </row>
    <row r="445" spans="1:19" ht="50.1" customHeight="1">
      <c r="A445" s="31"/>
      <c r="B445" s="32" t="s">
        <v>1897</v>
      </c>
      <c r="C445" s="31" t="s">
        <v>28</v>
      </c>
      <c r="D445" s="31" t="s">
        <v>1898</v>
      </c>
      <c r="E445" s="31" t="s">
        <v>1899</v>
      </c>
      <c r="F445" s="31" t="s">
        <v>31</v>
      </c>
      <c r="G445" s="31">
        <v>675</v>
      </c>
      <c r="H445" s="31">
        <v>10</v>
      </c>
      <c r="I445" s="31">
        <v>8</v>
      </c>
      <c r="J445" s="31" t="s">
        <v>1900</v>
      </c>
      <c r="K445" s="31" t="s">
        <v>33</v>
      </c>
      <c r="L445" s="31" t="s">
        <v>34</v>
      </c>
      <c r="M445" s="31">
        <v>544</v>
      </c>
      <c r="N445" s="31">
        <v>2018</v>
      </c>
      <c r="O445" s="31">
        <v>422</v>
      </c>
      <c r="P445" s="31"/>
      <c r="Q445" s="31"/>
      <c r="R445" s="33"/>
      <c r="S445" s="34" t="str">
        <f>HYPERLINK("http://www.cnpol.ru/covers/18377.jpg","фото на сайте")</f>
        <v>фото на сайте</v>
      </c>
    </row>
    <row r="446" spans="1:19" ht="50.1" customHeight="1">
      <c r="A446" s="31"/>
      <c r="B446" s="32" t="s">
        <v>1901</v>
      </c>
      <c r="C446" s="31" t="s">
        <v>1102</v>
      </c>
      <c r="D446" s="31" t="s">
        <v>1898</v>
      </c>
      <c r="E446" s="31" t="s">
        <v>1902</v>
      </c>
      <c r="F446" s="31" t="s">
        <v>31</v>
      </c>
      <c r="G446" s="31">
        <v>593</v>
      </c>
      <c r="H446" s="31">
        <v>10</v>
      </c>
      <c r="I446" s="31">
        <v>14</v>
      </c>
      <c r="J446" s="31" t="s">
        <v>1903</v>
      </c>
      <c r="K446" s="31" t="s">
        <v>33</v>
      </c>
      <c r="L446" s="31" t="s">
        <v>34</v>
      </c>
      <c r="M446" s="31">
        <v>288</v>
      </c>
      <c r="N446" s="31">
        <v>2018</v>
      </c>
      <c r="O446" s="31">
        <v>254</v>
      </c>
      <c r="P446" s="31"/>
      <c r="Q446" s="31"/>
      <c r="R446" s="33"/>
      <c r="S446" s="34" t="str">
        <f>HYPERLINK("http://www.cnpol.ru/covers/18310.jpg","фото на сайте")</f>
        <v>фото на сайте</v>
      </c>
    </row>
    <row r="447" spans="1:19" ht="50.1" customHeight="1">
      <c r="A447" s="31"/>
      <c r="B447" s="32" t="s">
        <v>1904</v>
      </c>
      <c r="C447" s="31" t="s">
        <v>1102</v>
      </c>
      <c r="D447" s="31" t="s">
        <v>1898</v>
      </c>
      <c r="E447" s="31" t="s">
        <v>1905</v>
      </c>
      <c r="F447" s="31" t="s">
        <v>31</v>
      </c>
      <c r="G447" s="31">
        <v>593</v>
      </c>
      <c r="H447" s="31">
        <v>10</v>
      </c>
      <c r="I447" s="31">
        <v>12</v>
      </c>
      <c r="J447" s="31" t="s">
        <v>1906</v>
      </c>
      <c r="K447" s="31" t="s">
        <v>33</v>
      </c>
      <c r="L447" s="31" t="s">
        <v>34</v>
      </c>
      <c r="M447" s="31">
        <v>319</v>
      </c>
      <c r="N447" s="31">
        <v>2021</v>
      </c>
      <c r="O447" s="31">
        <v>274</v>
      </c>
      <c r="P447" s="31"/>
      <c r="Q447" s="31"/>
      <c r="R447" s="33"/>
      <c r="S447" s="34" t="str">
        <f>HYPERLINK("http://www.cnpol.ru/covers/19839.jpg","фото на сайте")</f>
        <v>фото на сайте</v>
      </c>
    </row>
    <row r="448" spans="1:19" ht="50.1" customHeight="1">
      <c r="A448" s="31"/>
      <c r="B448" s="32" t="s">
        <v>1907</v>
      </c>
      <c r="C448" s="31" t="s">
        <v>1594</v>
      </c>
      <c r="D448" s="31" t="s">
        <v>1908</v>
      </c>
      <c r="E448" s="31" t="s">
        <v>1909</v>
      </c>
      <c r="F448" s="31" t="s">
        <v>31</v>
      </c>
      <c r="G448" s="31">
        <v>169</v>
      </c>
      <c r="H448" s="31">
        <v>10</v>
      </c>
      <c r="I448" s="31">
        <v>11</v>
      </c>
      <c r="J448" s="31" t="s">
        <v>1910</v>
      </c>
      <c r="K448" s="31" t="s">
        <v>55</v>
      </c>
      <c r="L448" s="31" t="s">
        <v>56</v>
      </c>
      <c r="M448" s="31">
        <v>315</v>
      </c>
      <c r="N448" s="31">
        <v>2022</v>
      </c>
      <c r="O448" s="31">
        <v>163</v>
      </c>
      <c r="P448" s="31"/>
      <c r="Q448" s="31"/>
      <c r="R448" s="33"/>
      <c r="S448" s="34" t="str">
        <f>HYPERLINK("http://www.cnpol.ru/covers/20251.jpg","фото на сайте")</f>
        <v>фото на сайте</v>
      </c>
    </row>
    <row r="449" spans="1:19" ht="50.1" customHeight="1">
      <c r="A449" s="31"/>
      <c r="B449" s="32" t="s">
        <v>1911</v>
      </c>
      <c r="C449" s="31" t="s">
        <v>400</v>
      </c>
      <c r="D449" s="31" t="s">
        <v>785</v>
      </c>
      <c r="E449" s="31" t="s">
        <v>1912</v>
      </c>
      <c r="F449" s="31" t="s">
        <v>31</v>
      </c>
      <c r="G449" s="31">
        <v>503</v>
      </c>
      <c r="H449" s="31">
        <v>10</v>
      </c>
      <c r="I449" s="31">
        <v>14</v>
      </c>
      <c r="J449" s="31" t="s">
        <v>1913</v>
      </c>
      <c r="K449" s="31" t="s">
        <v>33</v>
      </c>
      <c r="L449" s="31" t="s">
        <v>34</v>
      </c>
      <c r="M449" s="31">
        <v>288</v>
      </c>
      <c r="N449" s="31">
        <v>2017</v>
      </c>
      <c r="O449" s="31">
        <v>254</v>
      </c>
      <c r="P449" s="31"/>
      <c r="Q449" s="31"/>
      <c r="R449" s="33"/>
      <c r="S449" s="34" t="str">
        <f>HYPERLINK("http://www.cnpol.ru/covers/17534.jpg","фото на сайте")</f>
        <v>фото на сайте</v>
      </c>
    </row>
    <row r="450" spans="1:19" ht="50.1" customHeight="1">
      <c r="A450" s="31"/>
      <c r="B450" s="32" t="s">
        <v>1914</v>
      </c>
      <c r="C450" s="31" t="s">
        <v>663</v>
      </c>
      <c r="D450" s="31" t="s">
        <v>1915</v>
      </c>
      <c r="E450" s="31" t="s">
        <v>1916</v>
      </c>
      <c r="F450" s="31" t="s">
        <v>31</v>
      </c>
      <c r="G450" s="35">
        <v>1099</v>
      </c>
      <c r="H450" s="31">
        <v>10</v>
      </c>
      <c r="I450" s="31">
        <v>10</v>
      </c>
      <c r="J450" s="31" t="s">
        <v>1917</v>
      </c>
      <c r="K450" s="31" t="s">
        <v>33</v>
      </c>
      <c r="L450" s="31" t="s">
        <v>34</v>
      </c>
      <c r="M450" s="31">
        <v>412</v>
      </c>
      <c r="N450" s="31">
        <v>2022</v>
      </c>
      <c r="O450" s="31">
        <v>470</v>
      </c>
      <c r="P450" s="31"/>
      <c r="Q450" s="31"/>
      <c r="R450" s="33" t="s">
        <v>1918</v>
      </c>
      <c r="S450" s="34" t="str">
        <f>HYPERLINK("http://www.cnpol.ru/covers/20399.jpg","фото на сайте")</f>
        <v>фото на сайте</v>
      </c>
    </row>
    <row r="451" spans="1:19" ht="50.1" customHeight="1">
      <c r="A451" s="31"/>
      <c r="B451" s="32" t="s">
        <v>1919</v>
      </c>
      <c r="C451" s="31" t="s">
        <v>1920</v>
      </c>
      <c r="D451" s="31" t="s">
        <v>1921</v>
      </c>
      <c r="E451" s="31" t="s">
        <v>1922</v>
      </c>
      <c r="F451" s="31" t="s">
        <v>31</v>
      </c>
      <c r="G451" s="31">
        <v>258</v>
      </c>
      <c r="H451" s="31">
        <v>10</v>
      </c>
      <c r="I451" s="31">
        <v>20</v>
      </c>
      <c r="J451" s="31" t="s">
        <v>1923</v>
      </c>
      <c r="K451" s="31" t="s">
        <v>130</v>
      </c>
      <c r="L451" s="31" t="s">
        <v>56</v>
      </c>
      <c r="M451" s="31">
        <v>224</v>
      </c>
      <c r="N451" s="31">
        <v>2020</v>
      </c>
      <c r="O451" s="31">
        <v>136</v>
      </c>
      <c r="P451" s="31"/>
      <c r="Q451" s="31"/>
      <c r="R451" s="33"/>
      <c r="S451" s="34" t="str">
        <f>HYPERLINK("http://www.cnpol.ru/covers/19318.jpg","фото на сайте")</f>
        <v>фото на сайте</v>
      </c>
    </row>
    <row r="452" spans="1:19" ht="50.1" customHeight="1">
      <c r="A452" s="31"/>
      <c r="B452" s="32" t="s">
        <v>1924</v>
      </c>
      <c r="C452" s="31" t="s">
        <v>1925</v>
      </c>
      <c r="D452" s="31" t="s">
        <v>1926</v>
      </c>
      <c r="E452" s="31" t="s">
        <v>1927</v>
      </c>
      <c r="F452" s="31" t="s">
        <v>31</v>
      </c>
      <c r="G452" s="31">
        <v>893</v>
      </c>
      <c r="H452" s="31">
        <v>10</v>
      </c>
      <c r="I452" s="31">
        <v>12</v>
      </c>
      <c r="J452" s="31" t="s">
        <v>1928</v>
      </c>
      <c r="K452" s="31" t="s">
        <v>33</v>
      </c>
      <c r="L452" s="31" t="s">
        <v>34</v>
      </c>
      <c r="M452" s="31">
        <v>332</v>
      </c>
      <c r="N452" s="31">
        <v>2024</v>
      </c>
      <c r="O452" s="31">
        <v>380</v>
      </c>
      <c r="P452" s="31"/>
      <c r="Q452" s="31"/>
      <c r="R452" s="33" t="s">
        <v>1929</v>
      </c>
      <c r="S452" s="34" t="str">
        <f>HYPERLINK("http://www.cnpol.ru/covers/20983.jpg","фото на сайте")</f>
        <v>фото на сайте</v>
      </c>
    </row>
    <row r="453" spans="1:19" ht="50.1" customHeight="1">
      <c r="A453" s="31"/>
      <c r="B453" s="32" t="s">
        <v>1930</v>
      </c>
      <c r="C453" s="31" t="s">
        <v>119</v>
      </c>
      <c r="D453" s="31" t="s">
        <v>236</v>
      </c>
      <c r="E453" s="31" t="s">
        <v>1931</v>
      </c>
      <c r="F453" s="31" t="s">
        <v>31</v>
      </c>
      <c r="G453" s="31">
        <v>675</v>
      </c>
      <c r="H453" s="31">
        <v>10</v>
      </c>
      <c r="I453" s="31">
        <v>12</v>
      </c>
      <c r="J453" s="31" t="s">
        <v>1932</v>
      </c>
      <c r="K453" s="31" t="s">
        <v>194</v>
      </c>
      <c r="L453" s="31" t="s">
        <v>34</v>
      </c>
      <c r="M453" s="31">
        <v>416</v>
      </c>
      <c r="N453" s="31">
        <v>2017</v>
      </c>
      <c r="O453" s="31">
        <v>284</v>
      </c>
      <c r="P453" s="31"/>
      <c r="Q453" s="31"/>
      <c r="R453" s="33"/>
      <c r="S453" s="34" t="str">
        <f>HYPERLINK("http://www.cnpol.ru/covers/17501.jpg","фото на сайте")</f>
        <v>фото на сайте</v>
      </c>
    </row>
    <row r="454" spans="1:19" ht="50.1" customHeight="1">
      <c r="A454" s="31"/>
      <c r="B454" s="32" t="s">
        <v>1933</v>
      </c>
      <c r="C454" s="31" t="s">
        <v>1934</v>
      </c>
      <c r="D454" s="31" t="s">
        <v>1935</v>
      </c>
      <c r="E454" s="31" t="s">
        <v>1936</v>
      </c>
      <c r="F454" s="31" t="s">
        <v>31</v>
      </c>
      <c r="G454" s="31">
        <v>389</v>
      </c>
      <c r="H454" s="31">
        <v>10</v>
      </c>
      <c r="I454" s="31">
        <v>14</v>
      </c>
      <c r="J454" s="31" t="s">
        <v>1937</v>
      </c>
      <c r="K454" s="31" t="s">
        <v>1938</v>
      </c>
      <c r="L454" s="31" t="s">
        <v>34</v>
      </c>
      <c r="M454" s="31">
        <v>283</v>
      </c>
      <c r="N454" s="31">
        <v>2008</v>
      </c>
      <c r="O454" s="31">
        <v>310</v>
      </c>
      <c r="P454" s="31"/>
      <c r="Q454" s="31"/>
      <c r="R454" s="33"/>
      <c r="S454" s="34" t="str">
        <f>HYPERLINK("http://www.cnpol.ru/covers/7676.jpg","фото на сайте")</f>
        <v>фото на сайте</v>
      </c>
    </row>
    <row r="455" spans="1:19" ht="50.1" customHeight="1">
      <c r="A455" s="31"/>
      <c r="B455" s="32" t="s">
        <v>1939</v>
      </c>
      <c r="C455" s="31" t="s">
        <v>1940</v>
      </c>
      <c r="D455" s="31" t="s">
        <v>1935</v>
      </c>
      <c r="E455" s="31" t="s">
        <v>1936</v>
      </c>
      <c r="F455" s="31" t="s">
        <v>31</v>
      </c>
      <c r="G455" s="31">
        <v>154</v>
      </c>
      <c r="H455" s="31">
        <v>10</v>
      </c>
      <c r="I455" s="31">
        <v>20</v>
      </c>
      <c r="J455" s="31" t="s">
        <v>1941</v>
      </c>
      <c r="K455" s="31" t="s">
        <v>55</v>
      </c>
      <c r="L455" s="31" t="s">
        <v>56</v>
      </c>
      <c r="M455" s="31">
        <v>382</v>
      </c>
      <c r="N455" s="31">
        <v>2008</v>
      </c>
      <c r="O455" s="31">
        <v>152</v>
      </c>
      <c r="P455" s="31"/>
      <c r="Q455" s="31"/>
      <c r="R455" s="33"/>
      <c r="S455" s="34" t="str">
        <f>HYPERLINK("http://www.cnpol.ru/covers/10812.jpg","фото на сайте")</f>
        <v>фото на сайте</v>
      </c>
    </row>
    <row r="456" spans="1:19" ht="50.1" customHeight="1">
      <c r="A456" s="31"/>
      <c r="B456" s="32" t="s">
        <v>1942</v>
      </c>
      <c r="C456" s="31" t="s">
        <v>968</v>
      </c>
      <c r="D456" s="31" t="s">
        <v>1943</v>
      </c>
      <c r="E456" s="31" t="s">
        <v>1944</v>
      </c>
      <c r="F456" s="31" t="s">
        <v>31</v>
      </c>
      <c r="G456" s="31">
        <v>243</v>
      </c>
      <c r="H456" s="31">
        <v>10</v>
      </c>
      <c r="I456" s="31">
        <v>24</v>
      </c>
      <c r="J456" s="31" t="s">
        <v>1945</v>
      </c>
      <c r="K456" s="31" t="s">
        <v>123</v>
      </c>
      <c r="L456" s="31" t="s">
        <v>56</v>
      </c>
      <c r="M456" s="31">
        <v>445</v>
      </c>
      <c r="N456" s="31">
        <v>2013</v>
      </c>
      <c r="O456" s="31">
        <v>202</v>
      </c>
      <c r="P456" s="31"/>
      <c r="Q456" s="31"/>
      <c r="R456" s="33"/>
      <c r="S456" s="34" t="str">
        <f>HYPERLINK("http://www.cnpol.ru/covers/14517.jpg","фото на сайте")</f>
        <v>фото на сайте</v>
      </c>
    </row>
    <row r="457" spans="1:19" ht="50.1" customHeight="1">
      <c r="A457" s="31"/>
      <c r="B457" s="32" t="s">
        <v>1946</v>
      </c>
      <c r="C457" s="31" t="s">
        <v>400</v>
      </c>
      <c r="D457" s="31" t="s">
        <v>1369</v>
      </c>
      <c r="E457" s="31" t="s">
        <v>1947</v>
      </c>
      <c r="F457" s="31" t="s">
        <v>31</v>
      </c>
      <c r="G457" s="31">
        <v>503</v>
      </c>
      <c r="H457" s="31">
        <v>10</v>
      </c>
      <c r="I457" s="31">
        <v>10</v>
      </c>
      <c r="J457" s="31" t="s">
        <v>1948</v>
      </c>
      <c r="K457" s="31" t="s">
        <v>33</v>
      </c>
      <c r="L457" s="31" t="s">
        <v>34</v>
      </c>
      <c r="M457" s="31">
        <v>320</v>
      </c>
      <c r="N457" s="31">
        <v>2016</v>
      </c>
      <c r="O457" s="31">
        <v>256</v>
      </c>
      <c r="P457" s="31"/>
      <c r="Q457" s="31"/>
      <c r="R457" s="33"/>
      <c r="S457" s="34" t="str">
        <f>HYPERLINK("http://www.cnpol.ru/covers/16911.jpg","фото на сайте")</f>
        <v>фото на сайте</v>
      </c>
    </row>
    <row r="458" spans="1:19" ht="50.1" customHeight="1">
      <c r="A458" s="31"/>
      <c r="B458" s="32" t="s">
        <v>1949</v>
      </c>
      <c r="C458" s="31" t="s">
        <v>1781</v>
      </c>
      <c r="D458" s="31" t="s">
        <v>1950</v>
      </c>
      <c r="E458" s="31" t="s">
        <v>1951</v>
      </c>
      <c r="F458" s="31" t="s">
        <v>31</v>
      </c>
      <c r="G458" s="31">
        <v>539</v>
      </c>
      <c r="H458" s="31">
        <v>10</v>
      </c>
      <c r="I458" s="31">
        <v>16</v>
      </c>
      <c r="J458" s="31" t="s">
        <v>1952</v>
      </c>
      <c r="K458" s="31" t="s">
        <v>33</v>
      </c>
      <c r="L458" s="31" t="s">
        <v>34</v>
      </c>
      <c r="M458" s="31">
        <v>224</v>
      </c>
      <c r="N458" s="31">
        <v>2016</v>
      </c>
      <c r="O458" s="31">
        <v>238</v>
      </c>
      <c r="P458" s="31"/>
      <c r="Q458" s="31"/>
      <c r="R458" s="33"/>
      <c r="S458" s="34" t="str">
        <f>HYPERLINK("http://www.cnpol.ru/covers/17182.jpg","фото на сайте")</f>
        <v>фото на сайте</v>
      </c>
    </row>
    <row r="459" spans="1:19" ht="50.1" customHeight="1">
      <c r="A459" s="31"/>
      <c r="B459" s="32" t="s">
        <v>1953</v>
      </c>
      <c r="C459" s="31" t="s">
        <v>975</v>
      </c>
      <c r="D459" s="31" t="s">
        <v>1954</v>
      </c>
      <c r="E459" s="31" t="s">
        <v>1955</v>
      </c>
      <c r="F459" s="31" t="s">
        <v>31</v>
      </c>
      <c r="G459" s="31">
        <v>154</v>
      </c>
      <c r="H459" s="31">
        <v>10</v>
      </c>
      <c r="I459" s="31">
        <v>16</v>
      </c>
      <c r="J459" s="31" t="s">
        <v>1956</v>
      </c>
      <c r="K459" s="31" t="s">
        <v>55</v>
      </c>
      <c r="L459" s="31" t="s">
        <v>56</v>
      </c>
      <c r="M459" s="31">
        <v>413</v>
      </c>
      <c r="N459" s="31">
        <v>2007</v>
      </c>
      <c r="O459" s="31">
        <v>174</v>
      </c>
      <c r="P459" s="31"/>
      <c r="Q459" s="31"/>
      <c r="R459" s="33"/>
      <c r="S459" s="34" t="str">
        <f>HYPERLINK("http://www.cnpol.ru/covers/7281.jpg","фото на сайте")</f>
        <v>фото на сайте</v>
      </c>
    </row>
    <row r="460" spans="1:19" ht="50.1" customHeight="1">
      <c r="A460" s="31"/>
      <c r="B460" s="32" t="s">
        <v>1957</v>
      </c>
      <c r="C460" s="31" t="s">
        <v>37</v>
      </c>
      <c r="D460" s="31" t="s">
        <v>1958</v>
      </c>
      <c r="E460" s="31" t="s">
        <v>1959</v>
      </c>
      <c r="F460" s="31" t="s">
        <v>31</v>
      </c>
      <c r="G460" s="31">
        <v>991</v>
      </c>
      <c r="H460" s="31">
        <v>10</v>
      </c>
      <c r="I460" s="31">
        <v>12</v>
      </c>
      <c r="J460" s="31" t="s">
        <v>1960</v>
      </c>
      <c r="K460" s="31" t="s">
        <v>33</v>
      </c>
      <c r="L460" s="31" t="s">
        <v>34</v>
      </c>
      <c r="M460" s="31">
        <v>367</v>
      </c>
      <c r="N460" s="31">
        <v>2022</v>
      </c>
      <c r="O460" s="31">
        <v>372</v>
      </c>
      <c r="P460" s="31"/>
      <c r="Q460" s="31"/>
      <c r="R460" s="33"/>
      <c r="S460" s="34" t="str">
        <f>HYPERLINK("http://www.cnpol.ru/covers/20093.jpg","фото на сайте")</f>
        <v>фото на сайте</v>
      </c>
    </row>
    <row r="461" spans="1:19" ht="50.1" customHeight="1">
      <c r="A461" s="31"/>
      <c r="B461" s="32" t="s">
        <v>1961</v>
      </c>
      <c r="C461" s="31" t="s">
        <v>400</v>
      </c>
      <c r="D461" s="31" t="s">
        <v>1962</v>
      </c>
      <c r="E461" s="31" t="s">
        <v>1963</v>
      </c>
      <c r="F461" s="31" t="s">
        <v>31</v>
      </c>
      <c r="G461" s="31">
        <v>503</v>
      </c>
      <c r="H461" s="31">
        <v>10</v>
      </c>
      <c r="I461" s="31">
        <v>10</v>
      </c>
      <c r="J461" s="31" t="s">
        <v>1964</v>
      </c>
      <c r="K461" s="31" t="s">
        <v>33</v>
      </c>
      <c r="L461" s="31" t="s">
        <v>34</v>
      </c>
      <c r="M461" s="31">
        <v>448</v>
      </c>
      <c r="N461" s="31">
        <v>2018</v>
      </c>
      <c r="O461" s="31">
        <v>350</v>
      </c>
      <c r="P461" s="31"/>
      <c r="Q461" s="31"/>
      <c r="R461" s="33"/>
      <c r="S461" s="34" t="str">
        <f>HYPERLINK("http://www.cnpol.ru/covers/18401.jpg","фото на сайте")</f>
        <v>фото на сайте</v>
      </c>
    </row>
    <row r="462" spans="1:19" ht="50.1" customHeight="1">
      <c r="A462" s="31" t="s">
        <v>35</v>
      </c>
      <c r="B462" s="32" t="s">
        <v>1965</v>
      </c>
      <c r="C462" s="31" t="s">
        <v>143</v>
      </c>
      <c r="D462" s="31" t="s">
        <v>1966</v>
      </c>
      <c r="E462" s="31" t="s">
        <v>1967</v>
      </c>
      <c r="F462" s="31" t="s">
        <v>31</v>
      </c>
      <c r="G462" s="35">
        <v>1632</v>
      </c>
      <c r="H462" s="31">
        <v>10</v>
      </c>
      <c r="I462" s="31">
        <v>4</v>
      </c>
      <c r="J462" s="31" t="s">
        <v>1968</v>
      </c>
      <c r="K462" s="31" t="s">
        <v>41</v>
      </c>
      <c r="L462" s="31" t="s">
        <v>34</v>
      </c>
      <c r="M462" s="31">
        <v>623</v>
      </c>
      <c r="N462" s="31">
        <v>2025</v>
      </c>
      <c r="O462" s="31" t="s">
        <v>220</v>
      </c>
      <c r="P462" s="31"/>
      <c r="Q462" s="31"/>
      <c r="R462" s="33" t="s">
        <v>1969</v>
      </c>
      <c r="S462" s="34" t="str">
        <f>HYPERLINK("http://www.cnpol.ru/covers/21858.jpg","фото на сайте")</f>
        <v>фото на сайте</v>
      </c>
    </row>
    <row r="463" spans="1:19" ht="50.1" customHeight="1">
      <c r="A463" s="31"/>
      <c r="B463" s="32" t="s">
        <v>1970</v>
      </c>
      <c r="C463" s="31" t="s">
        <v>37</v>
      </c>
      <c r="D463" s="31" t="s">
        <v>1971</v>
      </c>
      <c r="E463" s="31" t="s">
        <v>1972</v>
      </c>
      <c r="F463" s="31" t="s">
        <v>31</v>
      </c>
      <c r="G463" s="31">
        <v>905</v>
      </c>
      <c r="H463" s="31">
        <v>10</v>
      </c>
      <c r="I463" s="31">
        <v>12</v>
      </c>
      <c r="J463" s="31" t="s">
        <v>1973</v>
      </c>
      <c r="K463" s="31" t="s">
        <v>33</v>
      </c>
      <c r="L463" s="31" t="s">
        <v>34</v>
      </c>
      <c r="M463" s="31">
        <v>254</v>
      </c>
      <c r="N463" s="31">
        <v>2023</v>
      </c>
      <c r="O463" s="31">
        <v>365</v>
      </c>
      <c r="P463" s="31"/>
      <c r="Q463" s="31"/>
      <c r="R463" s="33" t="s">
        <v>1974</v>
      </c>
      <c r="S463" s="34" t="str">
        <f>HYPERLINK("http://www.cnpol.ru/covers/20863.jpg","фото на сайте")</f>
        <v>фото на сайте</v>
      </c>
    </row>
    <row r="464" spans="1:19" ht="50.1" customHeight="1">
      <c r="A464" s="31"/>
      <c r="B464" s="32" t="s">
        <v>1975</v>
      </c>
      <c r="C464" s="31" t="s">
        <v>400</v>
      </c>
      <c r="D464" s="31" t="s">
        <v>475</v>
      </c>
      <c r="E464" s="31" t="s">
        <v>1976</v>
      </c>
      <c r="F464" s="31" t="s">
        <v>31</v>
      </c>
      <c r="G464" s="31">
        <v>503</v>
      </c>
      <c r="H464" s="31">
        <v>10</v>
      </c>
      <c r="I464" s="31">
        <v>14</v>
      </c>
      <c r="J464" s="31" t="s">
        <v>1977</v>
      </c>
      <c r="K464" s="31" t="s">
        <v>33</v>
      </c>
      <c r="L464" s="31" t="s">
        <v>34</v>
      </c>
      <c r="M464" s="31">
        <v>319</v>
      </c>
      <c r="N464" s="31">
        <v>2011</v>
      </c>
      <c r="O464" s="31">
        <v>276</v>
      </c>
      <c r="P464" s="31"/>
      <c r="Q464" s="31"/>
      <c r="R464" s="33"/>
      <c r="S464" s="34" t="str">
        <f>HYPERLINK("http://www.cnpol.ru/covers/12746.jpg","фото на сайте")</f>
        <v>фото на сайте</v>
      </c>
    </row>
    <row r="465" spans="1:19" ht="50.1" customHeight="1">
      <c r="A465" s="31"/>
      <c r="B465" s="32" t="s">
        <v>1978</v>
      </c>
      <c r="C465" s="31" t="s">
        <v>1050</v>
      </c>
      <c r="D465" s="31" t="s">
        <v>1156</v>
      </c>
      <c r="E465" s="31" t="s">
        <v>1979</v>
      </c>
      <c r="F465" s="31" t="s">
        <v>31</v>
      </c>
      <c r="G465" s="31">
        <v>386</v>
      </c>
      <c r="H465" s="31">
        <v>10</v>
      </c>
      <c r="I465" s="31">
        <v>24</v>
      </c>
      <c r="J465" s="31" t="s">
        <v>1980</v>
      </c>
      <c r="K465" s="31" t="s">
        <v>33</v>
      </c>
      <c r="L465" s="31" t="s">
        <v>210</v>
      </c>
      <c r="M465" s="31">
        <v>224</v>
      </c>
      <c r="N465" s="31">
        <v>2020</v>
      </c>
      <c r="O465" s="31">
        <v>198</v>
      </c>
      <c r="P465" s="31"/>
      <c r="Q465" s="31"/>
      <c r="R465" s="33"/>
      <c r="S465" s="34" t="str">
        <f>HYPERLINK("http://www.cnpol.ru/covers/19334.jpg","фото на сайте")</f>
        <v>фото на сайте</v>
      </c>
    </row>
    <row r="466" spans="1:19" ht="50.1" customHeight="1">
      <c r="A466" s="31" t="s">
        <v>43</v>
      </c>
      <c r="B466" s="32" t="s">
        <v>1981</v>
      </c>
      <c r="C466" s="31" t="s">
        <v>143</v>
      </c>
      <c r="D466" s="31" t="s">
        <v>1982</v>
      </c>
      <c r="E466" s="31" t="s">
        <v>1983</v>
      </c>
      <c r="F466" s="31" t="s">
        <v>31</v>
      </c>
      <c r="G466" s="31">
        <v>550</v>
      </c>
      <c r="H466" s="31">
        <v>10</v>
      </c>
      <c r="I466" s="31">
        <v>16</v>
      </c>
      <c r="J466" s="31" t="s">
        <v>1984</v>
      </c>
      <c r="K466" s="31" t="s">
        <v>33</v>
      </c>
      <c r="L466" s="31" t="s">
        <v>34</v>
      </c>
      <c r="M466" s="31">
        <v>255</v>
      </c>
      <c r="N466" s="31">
        <v>2024</v>
      </c>
      <c r="O466" s="31">
        <v>222</v>
      </c>
      <c r="P466" s="31"/>
      <c r="Q466" s="31"/>
      <c r="R466" s="33" t="s">
        <v>1985</v>
      </c>
      <c r="S466" s="34" t="str">
        <f>HYPERLINK("http://www.cnpol.ru/covers/21288.jpg","фото на сайте")</f>
        <v>фото на сайте</v>
      </c>
    </row>
    <row r="467" spans="1:19" ht="50.1" customHeight="1">
      <c r="A467" s="31"/>
      <c r="B467" s="32" t="s">
        <v>1986</v>
      </c>
      <c r="C467" s="31" t="s">
        <v>37</v>
      </c>
      <c r="D467" s="31" t="s">
        <v>1987</v>
      </c>
      <c r="E467" s="31" t="s">
        <v>1988</v>
      </c>
      <c r="F467" s="31" t="s">
        <v>31</v>
      </c>
      <c r="G467" s="31">
        <v>753</v>
      </c>
      <c r="H467" s="31">
        <v>10</v>
      </c>
      <c r="I467" s="31">
        <v>18</v>
      </c>
      <c r="J467" s="31" t="s">
        <v>1989</v>
      </c>
      <c r="K467" s="31" t="s">
        <v>33</v>
      </c>
      <c r="L467" s="31" t="s">
        <v>34</v>
      </c>
      <c r="M467" s="31">
        <v>221</v>
      </c>
      <c r="N467" s="31">
        <v>2022</v>
      </c>
      <c r="O467" s="31">
        <v>242</v>
      </c>
      <c r="P467" s="31"/>
      <c r="Q467" s="31"/>
      <c r="R467" s="33"/>
      <c r="S467" s="34" t="str">
        <f>HYPERLINK("http://www.cnpol.ru/covers/20019.jpg","фото на сайте")</f>
        <v>фото на сайте</v>
      </c>
    </row>
    <row r="468" spans="1:19" ht="50.1" customHeight="1">
      <c r="A468" s="31" t="s">
        <v>43</v>
      </c>
      <c r="B468" s="32" t="s">
        <v>1990</v>
      </c>
      <c r="C468" s="31" t="s">
        <v>1991</v>
      </c>
      <c r="D468" s="31" t="s">
        <v>1992</v>
      </c>
      <c r="E468" s="31" t="s">
        <v>1993</v>
      </c>
      <c r="F468" s="31" t="s">
        <v>31</v>
      </c>
      <c r="G468" s="35">
        <v>1009</v>
      </c>
      <c r="H468" s="31">
        <v>10</v>
      </c>
      <c r="I468" s="31">
        <v>5</v>
      </c>
      <c r="J468" s="31" t="s">
        <v>1994</v>
      </c>
      <c r="K468" s="31" t="s">
        <v>33</v>
      </c>
      <c r="L468" s="31" t="s">
        <v>34</v>
      </c>
      <c r="M468" s="31">
        <v>367</v>
      </c>
      <c r="N468" s="31">
        <v>2023</v>
      </c>
      <c r="O468" s="31">
        <v>420</v>
      </c>
      <c r="P468" s="31"/>
      <c r="Q468" s="31"/>
      <c r="R468" s="33" t="s">
        <v>1995</v>
      </c>
      <c r="S468" s="34" t="str">
        <f>HYPERLINK("http://www.cnpol.ru/covers/21701.jpg","фото на сайте")</f>
        <v>фото на сайте</v>
      </c>
    </row>
    <row r="469" spans="1:19" ht="50.1" customHeight="1">
      <c r="A469" s="31"/>
      <c r="B469" s="32" t="s">
        <v>1996</v>
      </c>
      <c r="C469" s="31" t="s">
        <v>143</v>
      </c>
      <c r="D469" s="31" t="s">
        <v>1997</v>
      </c>
      <c r="E469" s="31" t="s">
        <v>1998</v>
      </c>
      <c r="F469" s="31" t="s">
        <v>31</v>
      </c>
      <c r="G469" s="35">
        <v>1113</v>
      </c>
      <c r="H469" s="31">
        <v>10</v>
      </c>
      <c r="I469" s="31">
        <v>10</v>
      </c>
      <c r="J469" s="31" t="s">
        <v>1999</v>
      </c>
      <c r="K469" s="31" t="s">
        <v>33</v>
      </c>
      <c r="L469" s="31" t="s">
        <v>34</v>
      </c>
      <c r="M469" s="31">
        <v>430</v>
      </c>
      <c r="N469" s="31">
        <v>2022</v>
      </c>
      <c r="O469" s="31">
        <v>396</v>
      </c>
      <c r="P469" s="31"/>
      <c r="Q469" s="31"/>
      <c r="R469" s="33" t="s">
        <v>2000</v>
      </c>
      <c r="S469" s="34" t="str">
        <f>HYPERLINK("http://www.cnpol.ru/covers/20325.jpg","фото на сайте")</f>
        <v>фото на сайте</v>
      </c>
    </row>
    <row r="470" spans="1:19" ht="50.1" customHeight="1">
      <c r="A470" s="31"/>
      <c r="B470" s="32" t="s">
        <v>2001</v>
      </c>
      <c r="C470" s="31" t="s">
        <v>1822</v>
      </c>
      <c r="D470" s="31" t="s">
        <v>1814</v>
      </c>
      <c r="E470" s="31" t="s">
        <v>2002</v>
      </c>
      <c r="F470" s="31" t="s">
        <v>31</v>
      </c>
      <c r="G470" s="35">
        <v>1265</v>
      </c>
      <c r="H470" s="31">
        <v>10</v>
      </c>
      <c r="I470" s="31">
        <v>5</v>
      </c>
      <c r="J470" s="31" t="s">
        <v>2003</v>
      </c>
      <c r="K470" s="31" t="s">
        <v>2004</v>
      </c>
      <c r="L470" s="31" t="s">
        <v>34</v>
      </c>
      <c r="M470" s="31">
        <v>544</v>
      </c>
      <c r="N470" s="31">
        <v>2018</v>
      </c>
      <c r="O470" s="31">
        <v>726</v>
      </c>
      <c r="P470" s="31"/>
      <c r="Q470" s="31"/>
      <c r="R470" s="33"/>
      <c r="S470" s="34" t="str">
        <f>HYPERLINK("http://www.cnpol.ru/covers/18425.jpg","фото на сайте")</f>
        <v>фото на сайте</v>
      </c>
    </row>
    <row r="471" spans="1:19" ht="50.1" customHeight="1">
      <c r="A471" s="31"/>
      <c r="B471" s="32" t="s">
        <v>2005</v>
      </c>
      <c r="C471" s="31" t="s">
        <v>678</v>
      </c>
      <c r="D471" s="31" t="s">
        <v>2006</v>
      </c>
      <c r="E471" s="31" t="s">
        <v>2007</v>
      </c>
      <c r="F471" s="31" t="s">
        <v>31</v>
      </c>
      <c r="G471" s="31">
        <v>245</v>
      </c>
      <c r="H471" s="31">
        <v>10</v>
      </c>
      <c r="I471" s="31">
        <v>14</v>
      </c>
      <c r="J471" s="31" t="s">
        <v>2008</v>
      </c>
      <c r="K471" s="31" t="s">
        <v>33</v>
      </c>
      <c r="L471" s="31" t="s">
        <v>34</v>
      </c>
      <c r="M471" s="31">
        <v>319</v>
      </c>
      <c r="N471" s="31">
        <v>2002</v>
      </c>
      <c r="O471" s="31">
        <v>352</v>
      </c>
      <c r="P471" s="31"/>
      <c r="Q471" s="31"/>
      <c r="R471" s="33"/>
      <c r="S471" s="34" t="str">
        <f>HYPERLINK("http://www.cnpol.ru/covers/3004.jpg","фото на сайте")</f>
        <v>фото на сайте</v>
      </c>
    </row>
    <row r="472" spans="1:19" ht="50.1" customHeight="1">
      <c r="A472" s="31" t="s">
        <v>43</v>
      </c>
      <c r="B472" s="32" t="s">
        <v>2009</v>
      </c>
      <c r="C472" s="31" t="s">
        <v>37</v>
      </c>
      <c r="D472" s="31" t="s">
        <v>2010</v>
      </c>
      <c r="E472" s="31" t="s">
        <v>2011</v>
      </c>
      <c r="F472" s="31" t="s">
        <v>31</v>
      </c>
      <c r="G472" s="31">
        <v>807</v>
      </c>
      <c r="H472" s="31">
        <v>10</v>
      </c>
      <c r="I472" s="31">
        <v>14</v>
      </c>
      <c r="J472" s="31" t="s">
        <v>2012</v>
      </c>
      <c r="K472" s="31" t="s">
        <v>33</v>
      </c>
      <c r="L472" s="31" t="s">
        <v>34</v>
      </c>
      <c r="M472" s="31">
        <v>255</v>
      </c>
      <c r="N472" s="31">
        <v>2024</v>
      </c>
      <c r="O472" s="31">
        <v>317</v>
      </c>
      <c r="P472" s="31"/>
      <c r="Q472" s="31"/>
      <c r="R472" s="33" t="s">
        <v>2013</v>
      </c>
      <c r="S472" s="34" t="str">
        <f>HYPERLINK("http://www.cnpol.ru/covers/21141.jpg","фото на сайте")</f>
        <v>фото на сайте</v>
      </c>
    </row>
    <row r="473" spans="1:19" ht="50.1" customHeight="1">
      <c r="A473" s="31"/>
      <c r="B473" s="32" t="s">
        <v>2014</v>
      </c>
      <c r="C473" s="31" t="s">
        <v>143</v>
      </c>
      <c r="D473" s="31" t="s">
        <v>1212</v>
      </c>
      <c r="E473" s="31" t="s">
        <v>2015</v>
      </c>
      <c r="F473" s="31" t="s">
        <v>31</v>
      </c>
      <c r="G473" s="31">
        <v>730</v>
      </c>
      <c r="H473" s="31">
        <v>10</v>
      </c>
      <c r="I473" s="31">
        <v>12</v>
      </c>
      <c r="J473" s="31" t="s">
        <v>2016</v>
      </c>
      <c r="K473" s="31" t="s">
        <v>33</v>
      </c>
      <c r="L473" s="31" t="s">
        <v>34</v>
      </c>
      <c r="M473" s="31">
        <v>416</v>
      </c>
      <c r="N473" s="31">
        <v>2020</v>
      </c>
      <c r="O473" s="31">
        <v>420</v>
      </c>
      <c r="P473" s="31"/>
      <c r="Q473" s="31"/>
      <c r="R473" s="33"/>
      <c r="S473" s="34" t="str">
        <f>HYPERLINK("http://www.cnpol.ru/covers/19032.jpg","фото на сайте")</f>
        <v>фото на сайте</v>
      </c>
    </row>
    <row r="474" spans="1:19" ht="50.1" customHeight="1">
      <c r="A474" s="31" t="s">
        <v>35</v>
      </c>
      <c r="B474" s="32" t="s">
        <v>2017</v>
      </c>
      <c r="C474" s="31" t="s">
        <v>143</v>
      </c>
      <c r="D474" s="31" t="s">
        <v>1212</v>
      </c>
      <c r="E474" s="31" t="s">
        <v>2018</v>
      </c>
      <c r="F474" s="31" t="s">
        <v>31</v>
      </c>
      <c r="G474" s="31">
        <v>941</v>
      </c>
      <c r="H474" s="31">
        <v>10</v>
      </c>
      <c r="I474" s="31">
        <v>6</v>
      </c>
      <c r="J474" s="31" t="s">
        <v>2019</v>
      </c>
      <c r="K474" s="31" t="s">
        <v>33</v>
      </c>
      <c r="L474" s="31" t="s">
        <v>34</v>
      </c>
      <c r="M474" s="31">
        <v>413</v>
      </c>
      <c r="N474" s="31">
        <v>2024</v>
      </c>
      <c r="O474" s="31">
        <v>440</v>
      </c>
      <c r="P474" s="31"/>
      <c r="Q474" s="31"/>
      <c r="R474" s="33" t="s">
        <v>2020</v>
      </c>
      <c r="S474" s="34" t="str">
        <f>HYPERLINK("http://www.cnpol.ru/covers/21172.jpg","фото на сайте")</f>
        <v>фото на сайте</v>
      </c>
    </row>
    <row r="475" spans="1:19" ht="50.1" customHeight="1">
      <c r="A475" s="31"/>
      <c r="B475" s="32" t="s">
        <v>2021</v>
      </c>
      <c r="C475" s="31" t="s">
        <v>143</v>
      </c>
      <c r="D475" s="31" t="s">
        <v>2022</v>
      </c>
      <c r="E475" s="31" t="s">
        <v>2023</v>
      </c>
      <c r="F475" s="31" t="s">
        <v>31</v>
      </c>
      <c r="G475" s="35">
        <v>1058</v>
      </c>
      <c r="H475" s="31">
        <v>10</v>
      </c>
      <c r="I475" s="31">
        <v>10</v>
      </c>
      <c r="J475" s="31" t="s">
        <v>2024</v>
      </c>
      <c r="K475" s="31" t="s">
        <v>41</v>
      </c>
      <c r="L475" s="31" t="s">
        <v>34</v>
      </c>
      <c r="M475" s="31">
        <v>480</v>
      </c>
      <c r="N475" s="31">
        <v>2019</v>
      </c>
      <c r="O475" s="31">
        <v>528</v>
      </c>
      <c r="P475" s="31"/>
      <c r="Q475" s="31"/>
      <c r="R475" s="33"/>
      <c r="S475" s="34" t="str">
        <f>HYPERLINK("http://www.cnpol.ru/covers/18936.jpg","фото на сайте")</f>
        <v>фото на сайте</v>
      </c>
    </row>
    <row r="476" spans="1:19" ht="50.1" customHeight="1">
      <c r="A476" s="31"/>
      <c r="B476" s="32" t="s">
        <v>2025</v>
      </c>
      <c r="C476" s="31" t="s">
        <v>2026</v>
      </c>
      <c r="D476" s="31" t="s">
        <v>120</v>
      </c>
      <c r="E476" s="31" t="s">
        <v>2027</v>
      </c>
      <c r="F476" s="31" t="s">
        <v>31</v>
      </c>
      <c r="G476" s="31">
        <v>539</v>
      </c>
      <c r="H476" s="31">
        <v>10</v>
      </c>
      <c r="I476" s="31">
        <v>12</v>
      </c>
      <c r="J476" s="31" t="s">
        <v>2028</v>
      </c>
      <c r="K476" s="31" t="s">
        <v>33</v>
      </c>
      <c r="L476" s="31" t="s">
        <v>34</v>
      </c>
      <c r="M476" s="31">
        <v>316</v>
      </c>
      <c r="N476" s="31">
        <v>2014</v>
      </c>
      <c r="O476" s="31">
        <v>266</v>
      </c>
      <c r="P476" s="31"/>
      <c r="Q476" s="31"/>
      <c r="R476" s="33"/>
      <c r="S476" s="34" t="str">
        <f>HYPERLINK("http://www.cnpol.ru/covers/14975.jpg","фото на сайте")</f>
        <v>фото на сайте</v>
      </c>
    </row>
    <row r="477" spans="1:19" ht="50.1" customHeight="1">
      <c r="A477" s="31" t="s">
        <v>43</v>
      </c>
      <c r="B477" s="32" t="s">
        <v>2029</v>
      </c>
      <c r="C477" s="31" t="s">
        <v>37</v>
      </c>
      <c r="D477" s="31" t="s">
        <v>2030</v>
      </c>
      <c r="E477" s="31" t="s">
        <v>2031</v>
      </c>
      <c r="F477" s="31" t="s">
        <v>31</v>
      </c>
      <c r="G477" s="31">
        <v>800</v>
      </c>
      <c r="H477" s="31">
        <v>10</v>
      </c>
      <c r="I477" s="31">
        <v>14</v>
      </c>
      <c r="J477" s="31" t="s">
        <v>2032</v>
      </c>
      <c r="K477" s="31" t="s">
        <v>33</v>
      </c>
      <c r="L477" s="31" t="s">
        <v>34</v>
      </c>
      <c r="M477" s="31">
        <v>255</v>
      </c>
      <c r="N477" s="31">
        <v>2025</v>
      </c>
      <c r="O477" s="31">
        <v>280</v>
      </c>
      <c r="P477" s="31"/>
      <c r="Q477" s="31"/>
      <c r="R477" s="33" t="s">
        <v>2033</v>
      </c>
      <c r="S477" s="34" t="str">
        <f>HYPERLINK("http://www.cnpol.ru/covers/21660.jpg","фото на сайте")</f>
        <v>фото на сайте</v>
      </c>
    </row>
    <row r="478" spans="1:19" ht="50.1" customHeight="1">
      <c r="A478" s="31" t="s">
        <v>35</v>
      </c>
      <c r="B478" s="32" t="s">
        <v>2034</v>
      </c>
      <c r="C478" s="31" t="s">
        <v>37</v>
      </c>
      <c r="D478" s="31" t="s">
        <v>2035</v>
      </c>
      <c r="E478" s="31" t="s">
        <v>2036</v>
      </c>
      <c r="F478" s="31" t="s">
        <v>31</v>
      </c>
      <c r="G478" s="31">
        <v>917</v>
      </c>
      <c r="H478" s="31">
        <v>10</v>
      </c>
      <c r="I478" s="31">
        <v>10</v>
      </c>
      <c r="J478" s="31" t="s">
        <v>2037</v>
      </c>
      <c r="K478" s="31" t="s">
        <v>33</v>
      </c>
      <c r="L478" s="31" t="s">
        <v>34</v>
      </c>
      <c r="M478" s="31">
        <v>319</v>
      </c>
      <c r="N478" s="31">
        <v>2026</v>
      </c>
      <c r="O478" s="31" t="s">
        <v>220</v>
      </c>
      <c r="P478" s="31"/>
      <c r="Q478" s="31"/>
      <c r="R478" s="33" t="s">
        <v>2038</v>
      </c>
      <c r="S478" s="34" t="str">
        <f>HYPERLINK("http://www.cnpol.ru/covers/21894.jpg","фото на сайте")</f>
        <v>фото на сайте</v>
      </c>
    </row>
    <row r="479" spans="1:19" ht="50.1" customHeight="1">
      <c r="A479" s="31" t="s">
        <v>35</v>
      </c>
      <c r="B479" s="32" t="s">
        <v>2039</v>
      </c>
      <c r="C479" s="31" t="s">
        <v>37</v>
      </c>
      <c r="D479" s="31" t="s">
        <v>2040</v>
      </c>
      <c r="E479" s="31" t="s">
        <v>2041</v>
      </c>
      <c r="F479" s="31" t="s">
        <v>31</v>
      </c>
      <c r="G479" s="35">
        <v>1205</v>
      </c>
      <c r="H479" s="31">
        <v>10</v>
      </c>
      <c r="I479" s="31">
        <v>8</v>
      </c>
      <c r="J479" s="31" t="s">
        <v>2042</v>
      </c>
      <c r="K479" s="31" t="s">
        <v>33</v>
      </c>
      <c r="L479" s="31" t="s">
        <v>34</v>
      </c>
      <c r="M479" s="31">
        <v>478</v>
      </c>
      <c r="N479" s="31">
        <v>2024</v>
      </c>
      <c r="O479" s="31">
        <v>456</v>
      </c>
      <c r="P479" s="31"/>
      <c r="Q479" s="31"/>
      <c r="R479" s="33" t="s">
        <v>2043</v>
      </c>
      <c r="S479" s="34" t="str">
        <f>HYPERLINK("http://www.cnpol.ru/covers/21372.jpg","фото на сайте")</f>
        <v>фото на сайте</v>
      </c>
    </row>
    <row r="480" spans="1:19" ht="50.1" customHeight="1">
      <c r="A480" s="31"/>
      <c r="B480" s="32" t="s">
        <v>2044</v>
      </c>
      <c r="C480" s="31" t="s">
        <v>2026</v>
      </c>
      <c r="D480" s="31" t="s">
        <v>150</v>
      </c>
      <c r="E480" s="31" t="s">
        <v>2045</v>
      </c>
      <c r="F480" s="31" t="s">
        <v>31</v>
      </c>
      <c r="G480" s="31">
        <v>522</v>
      </c>
      <c r="H480" s="31">
        <v>10</v>
      </c>
      <c r="I480" s="31">
        <v>10</v>
      </c>
      <c r="J480" s="31" t="s">
        <v>2046</v>
      </c>
      <c r="K480" s="31" t="s">
        <v>33</v>
      </c>
      <c r="L480" s="31" t="s">
        <v>34</v>
      </c>
      <c r="M480" s="31">
        <v>477</v>
      </c>
      <c r="N480" s="31">
        <v>2010</v>
      </c>
      <c r="O480" s="31">
        <v>418</v>
      </c>
      <c r="P480" s="31"/>
      <c r="Q480" s="31"/>
      <c r="R480" s="33"/>
      <c r="S480" s="34" t="str">
        <f>HYPERLINK("http://www.cnpol.ru/covers/12407.jpg","фото на сайте")</f>
        <v>фото на сайте</v>
      </c>
    </row>
    <row r="481" spans="1:19" ht="50.1" customHeight="1">
      <c r="A481" s="31" t="s">
        <v>43</v>
      </c>
      <c r="B481" s="32" t="s">
        <v>2047</v>
      </c>
      <c r="C481" s="31" t="s">
        <v>37</v>
      </c>
      <c r="D481" s="31" t="s">
        <v>2010</v>
      </c>
      <c r="E481" s="31" t="s">
        <v>2048</v>
      </c>
      <c r="F481" s="31" t="s">
        <v>31</v>
      </c>
      <c r="G481" s="31">
        <v>759</v>
      </c>
      <c r="H481" s="31">
        <v>10</v>
      </c>
      <c r="I481" s="31">
        <v>16</v>
      </c>
      <c r="J481" s="31" t="s">
        <v>2049</v>
      </c>
      <c r="K481" s="31" t="s">
        <v>33</v>
      </c>
      <c r="L481" s="31" t="s">
        <v>34</v>
      </c>
      <c r="M481" s="31">
        <v>223</v>
      </c>
      <c r="N481" s="31">
        <v>2024</v>
      </c>
      <c r="O481" s="31">
        <v>290</v>
      </c>
      <c r="P481" s="31"/>
      <c r="Q481" s="31"/>
      <c r="R481" s="33" t="s">
        <v>2050</v>
      </c>
      <c r="S481" s="34" t="str">
        <f>HYPERLINK("http://www.cnpol.ru/covers/21142.jpg","фото на сайте")</f>
        <v>фото на сайте</v>
      </c>
    </row>
    <row r="482" spans="1:19" ht="50.1" customHeight="1">
      <c r="A482" s="31"/>
      <c r="B482" s="32" t="s">
        <v>2051</v>
      </c>
      <c r="C482" s="31" t="s">
        <v>2026</v>
      </c>
      <c r="D482" s="31" t="s">
        <v>2052</v>
      </c>
      <c r="E482" s="31" t="s">
        <v>2053</v>
      </c>
      <c r="F482" s="31" t="s">
        <v>31</v>
      </c>
      <c r="G482" s="31">
        <v>522</v>
      </c>
      <c r="H482" s="31">
        <v>10</v>
      </c>
      <c r="I482" s="31">
        <v>16</v>
      </c>
      <c r="J482" s="31" t="s">
        <v>2054</v>
      </c>
      <c r="K482" s="31" t="s">
        <v>33</v>
      </c>
      <c r="L482" s="31" t="s">
        <v>34</v>
      </c>
      <c r="M482" s="31">
        <v>317</v>
      </c>
      <c r="N482" s="31">
        <v>2010</v>
      </c>
      <c r="O482" s="31">
        <v>304</v>
      </c>
      <c r="P482" s="31"/>
      <c r="Q482" s="31"/>
      <c r="R482" s="33"/>
      <c r="S482" s="34" t="str">
        <f>HYPERLINK("http://www.cnpol.ru/covers/12432.jpg","фото на сайте")</f>
        <v>фото на сайте</v>
      </c>
    </row>
    <row r="483" spans="1:19" ht="50.1" customHeight="1">
      <c r="A483" s="31"/>
      <c r="B483" s="32" t="s">
        <v>2055</v>
      </c>
      <c r="C483" s="31" t="s">
        <v>2056</v>
      </c>
      <c r="D483" s="31" t="s">
        <v>2057</v>
      </c>
      <c r="E483" s="31" t="s">
        <v>2058</v>
      </c>
      <c r="F483" s="31" t="s">
        <v>31</v>
      </c>
      <c r="G483" s="35">
        <v>1137</v>
      </c>
      <c r="H483" s="31">
        <v>10</v>
      </c>
      <c r="I483" s="31">
        <v>8</v>
      </c>
      <c r="J483" s="31" t="s">
        <v>2059</v>
      </c>
      <c r="K483" s="31" t="s">
        <v>33</v>
      </c>
      <c r="L483" s="31" t="s">
        <v>34</v>
      </c>
      <c r="M483" s="31">
        <v>415</v>
      </c>
      <c r="N483" s="31">
        <v>2023</v>
      </c>
      <c r="O483" s="31">
        <v>402</v>
      </c>
      <c r="P483" s="31"/>
      <c r="Q483" s="31"/>
      <c r="R483" s="33" t="s">
        <v>2060</v>
      </c>
      <c r="S483" s="34" t="str">
        <f>HYPERLINK("http://www.cnpol.ru/covers/20587.jpg","фото на сайте")</f>
        <v>фото на сайте</v>
      </c>
    </row>
    <row r="484" spans="1:19" ht="50.1" customHeight="1">
      <c r="A484" s="31" t="s">
        <v>43</v>
      </c>
      <c r="B484" s="32" t="s">
        <v>2061</v>
      </c>
      <c r="C484" s="31" t="s">
        <v>37</v>
      </c>
      <c r="D484" s="31" t="s">
        <v>2062</v>
      </c>
      <c r="E484" s="31" t="s">
        <v>2063</v>
      </c>
      <c r="F484" s="31" t="s">
        <v>31</v>
      </c>
      <c r="G484" s="35">
        <v>1015</v>
      </c>
      <c r="H484" s="31">
        <v>10</v>
      </c>
      <c r="I484" s="31">
        <v>5</v>
      </c>
      <c r="J484" s="31" t="s">
        <v>2064</v>
      </c>
      <c r="K484" s="31" t="s">
        <v>33</v>
      </c>
      <c r="L484" s="31" t="s">
        <v>34</v>
      </c>
      <c r="M484" s="31">
        <v>384</v>
      </c>
      <c r="N484" s="31">
        <v>2025</v>
      </c>
      <c r="O484" s="31" t="s">
        <v>220</v>
      </c>
      <c r="P484" s="31"/>
      <c r="Q484" s="31"/>
      <c r="R484" s="33" t="s">
        <v>2065</v>
      </c>
      <c r="S484" s="34" t="str">
        <f>HYPERLINK("http://www.cnpol.ru/covers/21855.jpg","фото на сайте")</f>
        <v>фото на сайте</v>
      </c>
    </row>
    <row r="485" spans="1:19" ht="50.1" customHeight="1">
      <c r="A485" s="31" t="s">
        <v>35</v>
      </c>
      <c r="B485" s="32" t="s">
        <v>2066</v>
      </c>
      <c r="C485" s="31" t="s">
        <v>37</v>
      </c>
      <c r="D485" s="31" t="s">
        <v>2067</v>
      </c>
      <c r="E485" s="31" t="s">
        <v>2068</v>
      </c>
      <c r="F485" s="31" t="s">
        <v>31</v>
      </c>
      <c r="G485" s="35">
        <v>1149</v>
      </c>
      <c r="H485" s="31">
        <v>10</v>
      </c>
      <c r="I485" s="31">
        <v>5</v>
      </c>
      <c r="J485" s="31" t="s">
        <v>2069</v>
      </c>
      <c r="K485" s="31" t="s">
        <v>33</v>
      </c>
      <c r="L485" s="31" t="s">
        <v>34</v>
      </c>
      <c r="M485" s="31">
        <v>446</v>
      </c>
      <c r="N485" s="31">
        <v>2025</v>
      </c>
      <c r="O485" s="31">
        <v>498</v>
      </c>
      <c r="P485" s="31"/>
      <c r="Q485" s="31"/>
      <c r="R485" s="33" t="s">
        <v>2070</v>
      </c>
      <c r="S485" s="34" t="str">
        <f>HYPERLINK("http://www.cnpol.ru/covers/21757.jpg","фото на сайте")</f>
        <v>фото на сайте</v>
      </c>
    </row>
    <row r="486" spans="1:19" ht="50.1" customHeight="1">
      <c r="A486" s="31" t="s">
        <v>43</v>
      </c>
      <c r="B486" s="32" t="s">
        <v>2071</v>
      </c>
      <c r="C486" s="31" t="s">
        <v>37</v>
      </c>
      <c r="D486" s="31" t="s">
        <v>2072</v>
      </c>
      <c r="E486" s="31" t="s">
        <v>2073</v>
      </c>
      <c r="F486" s="31" t="s">
        <v>31</v>
      </c>
      <c r="G486" s="35">
        <v>1076</v>
      </c>
      <c r="H486" s="31">
        <v>10</v>
      </c>
      <c r="I486" s="31">
        <v>5</v>
      </c>
      <c r="J486" s="31" t="s">
        <v>2074</v>
      </c>
      <c r="K486" s="31" t="s">
        <v>33</v>
      </c>
      <c r="L486" s="31" t="s">
        <v>34</v>
      </c>
      <c r="M486" s="31">
        <v>415</v>
      </c>
      <c r="N486" s="31">
        <v>2025</v>
      </c>
      <c r="O486" s="31">
        <v>451</v>
      </c>
      <c r="P486" s="31"/>
      <c r="Q486" s="31"/>
      <c r="R486" s="33" t="s">
        <v>2075</v>
      </c>
      <c r="S486" s="34" t="str">
        <f>HYPERLINK("http://www.cnpol.ru/covers/21657.jpg","фото на сайте")</f>
        <v>фото на сайте</v>
      </c>
    </row>
    <row r="487" spans="1:19" ht="50.1" customHeight="1">
      <c r="A487" s="31" t="s">
        <v>43</v>
      </c>
      <c r="B487" s="32" t="s">
        <v>2076</v>
      </c>
      <c r="C487" s="31" t="s">
        <v>143</v>
      </c>
      <c r="D487" s="31" t="s">
        <v>2077</v>
      </c>
      <c r="E487" s="31" t="s">
        <v>2078</v>
      </c>
      <c r="F487" s="31" t="s">
        <v>31</v>
      </c>
      <c r="G487" s="35">
        <v>1009</v>
      </c>
      <c r="H487" s="31">
        <v>10</v>
      </c>
      <c r="I487" s="31">
        <v>5</v>
      </c>
      <c r="J487" s="31" t="s">
        <v>2079</v>
      </c>
      <c r="K487" s="31" t="s">
        <v>33</v>
      </c>
      <c r="L487" s="31" t="s">
        <v>34</v>
      </c>
      <c r="M487" s="31">
        <v>383</v>
      </c>
      <c r="N487" s="31">
        <v>2025</v>
      </c>
      <c r="O487" s="31" t="s">
        <v>220</v>
      </c>
      <c r="P487" s="31"/>
      <c r="Q487" s="31"/>
      <c r="R487" s="33" t="s">
        <v>2080</v>
      </c>
      <c r="S487" s="34" t="str">
        <f>HYPERLINK("http://www.cnpol.ru/covers/21798.jpg","фото на сайте")</f>
        <v>фото на сайте</v>
      </c>
    </row>
    <row r="488" spans="1:19" ht="50.1" customHeight="1">
      <c r="A488" s="31" t="s">
        <v>43</v>
      </c>
      <c r="B488" s="32" t="s">
        <v>2081</v>
      </c>
      <c r="C488" s="31" t="s">
        <v>171</v>
      </c>
      <c r="D488" s="31" t="s">
        <v>172</v>
      </c>
      <c r="E488" s="31" t="s">
        <v>2082</v>
      </c>
      <c r="F488" s="31" t="s">
        <v>31</v>
      </c>
      <c r="G488" s="35">
        <v>1931</v>
      </c>
      <c r="H488" s="31">
        <v>10</v>
      </c>
      <c r="I488" s="31">
        <v>4</v>
      </c>
      <c r="J488" s="31" t="s">
        <v>2083</v>
      </c>
      <c r="K488" s="31" t="s">
        <v>41</v>
      </c>
      <c r="L488" s="31" t="s">
        <v>34</v>
      </c>
      <c r="M488" s="31">
        <v>719</v>
      </c>
      <c r="N488" s="31">
        <v>2024</v>
      </c>
      <c r="O488" s="31">
        <v>823</v>
      </c>
      <c r="P488" s="31"/>
      <c r="Q488" s="31"/>
      <c r="R488" s="33" t="s">
        <v>2084</v>
      </c>
      <c r="S488" s="34" t="str">
        <f>HYPERLINK("http://www.cnpol.ru/covers/21133.jpg","фото на сайте")</f>
        <v>фото на сайте</v>
      </c>
    </row>
    <row r="489" spans="1:19" ht="50.1" customHeight="1">
      <c r="A489" s="31"/>
      <c r="B489" s="32" t="s">
        <v>2085</v>
      </c>
      <c r="C489" s="31" t="s">
        <v>37</v>
      </c>
      <c r="D489" s="31" t="s">
        <v>2086</v>
      </c>
      <c r="E489" s="31" t="s">
        <v>2087</v>
      </c>
      <c r="F489" s="31" t="s">
        <v>31</v>
      </c>
      <c r="G489" s="31">
        <v>575</v>
      </c>
      <c r="H489" s="31">
        <v>10</v>
      </c>
      <c r="I489" s="31">
        <v>10</v>
      </c>
      <c r="J489" s="31" t="s">
        <v>2088</v>
      </c>
      <c r="K489" s="31" t="s">
        <v>33</v>
      </c>
      <c r="L489" s="31" t="s">
        <v>34</v>
      </c>
      <c r="M489" s="31">
        <v>448</v>
      </c>
      <c r="N489" s="31">
        <v>2019</v>
      </c>
      <c r="O489" s="31">
        <v>342</v>
      </c>
      <c r="P489" s="31"/>
      <c r="Q489" s="31"/>
      <c r="R489" s="33"/>
      <c r="S489" s="34" t="str">
        <f>HYPERLINK("http://www.cnpol.ru/covers/18613.jpg","фото на сайте")</f>
        <v>фото на сайте</v>
      </c>
    </row>
    <row r="490" spans="1:19" ht="50.1" customHeight="1">
      <c r="A490" s="31"/>
      <c r="B490" s="32" t="s">
        <v>2089</v>
      </c>
      <c r="C490" s="31" t="s">
        <v>1338</v>
      </c>
      <c r="D490" s="31" t="s">
        <v>2090</v>
      </c>
      <c r="E490" s="31" t="s">
        <v>2091</v>
      </c>
      <c r="F490" s="31" t="s">
        <v>31</v>
      </c>
      <c r="G490" s="31">
        <v>154</v>
      </c>
      <c r="H490" s="31">
        <v>10</v>
      </c>
      <c r="I490" s="31">
        <v>16</v>
      </c>
      <c r="J490" s="31" t="s">
        <v>2092</v>
      </c>
      <c r="K490" s="31" t="s">
        <v>55</v>
      </c>
      <c r="L490" s="31" t="s">
        <v>56</v>
      </c>
      <c r="M490" s="31">
        <v>382</v>
      </c>
      <c r="N490" s="31">
        <v>2008</v>
      </c>
      <c r="O490" s="31">
        <v>154</v>
      </c>
      <c r="P490" s="31"/>
      <c r="Q490" s="31"/>
      <c r="R490" s="33"/>
      <c r="S490" s="34" t="str">
        <f>HYPERLINK("http://www.cnpol.ru/covers/10269.jpg","фото на сайте")</f>
        <v>фото на сайте</v>
      </c>
    </row>
    <row r="491" spans="1:19" ht="50.1" customHeight="1">
      <c r="A491" s="31"/>
      <c r="B491" s="32" t="s">
        <v>2093</v>
      </c>
      <c r="C491" s="31" t="s">
        <v>413</v>
      </c>
      <c r="D491" s="31" t="s">
        <v>2094</v>
      </c>
      <c r="E491" s="31" t="s">
        <v>2095</v>
      </c>
      <c r="F491" s="31">
        <v>45</v>
      </c>
      <c r="G491" s="31">
        <v>117</v>
      </c>
      <c r="H491" s="31">
        <v>10</v>
      </c>
      <c r="I491" s="31">
        <v>36</v>
      </c>
      <c r="J491" s="31" t="s">
        <v>2096</v>
      </c>
      <c r="K491" s="31" t="s">
        <v>123</v>
      </c>
      <c r="L491" s="31" t="s">
        <v>56</v>
      </c>
      <c r="M491" s="31">
        <v>190</v>
      </c>
      <c r="N491" s="31">
        <v>2015</v>
      </c>
      <c r="O491" s="31">
        <v>90</v>
      </c>
      <c r="P491" s="31"/>
      <c r="Q491" s="31"/>
      <c r="R491" s="33"/>
      <c r="S491" s="34" t="str">
        <f>HYPERLINK("http://www.cnpol.ru/covers/15833.jpg","фото на сайте")</f>
        <v>фото на сайте</v>
      </c>
    </row>
    <row r="492" spans="1:19" ht="50.1" customHeight="1">
      <c r="A492" s="31" t="s">
        <v>43</v>
      </c>
      <c r="B492" s="32" t="s">
        <v>2097</v>
      </c>
      <c r="C492" s="31" t="s">
        <v>688</v>
      </c>
      <c r="D492" s="31" t="s">
        <v>689</v>
      </c>
      <c r="E492" s="31" t="s">
        <v>2098</v>
      </c>
      <c r="F492" s="31" t="s">
        <v>31</v>
      </c>
      <c r="G492" s="35">
        <v>1015</v>
      </c>
      <c r="H492" s="31">
        <v>10</v>
      </c>
      <c r="I492" s="31">
        <v>10</v>
      </c>
      <c r="J492" s="31" t="s">
        <v>2099</v>
      </c>
      <c r="K492" s="31" t="s">
        <v>33</v>
      </c>
      <c r="L492" s="31" t="s">
        <v>34</v>
      </c>
      <c r="M492" s="31">
        <v>383</v>
      </c>
      <c r="N492" s="31">
        <v>2025</v>
      </c>
      <c r="O492" s="31" t="s">
        <v>220</v>
      </c>
      <c r="P492" s="31"/>
      <c r="Q492" s="31"/>
      <c r="R492" s="33" t="s">
        <v>2100</v>
      </c>
      <c r="S492" s="34" t="str">
        <f>HYPERLINK("http://www.cnpol.ru/covers/21882.jpg","фото на сайте")</f>
        <v>фото на сайте</v>
      </c>
    </row>
    <row r="493" spans="1:19" ht="50.1" customHeight="1">
      <c r="A493" s="31"/>
      <c r="B493" s="32" t="s">
        <v>2101</v>
      </c>
      <c r="C493" s="31" t="s">
        <v>132</v>
      </c>
      <c r="D493" s="31" t="s">
        <v>2102</v>
      </c>
      <c r="E493" s="31" t="s">
        <v>2103</v>
      </c>
      <c r="F493" s="31" t="s">
        <v>31</v>
      </c>
      <c r="G493" s="31">
        <v>370</v>
      </c>
      <c r="H493" s="31">
        <v>10</v>
      </c>
      <c r="I493" s="31">
        <v>20</v>
      </c>
      <c r="J493" s="31" t="s">
        <v>2104</v>
      </c>
      <c r="K493" s="31" t="s">
        <v>194</v>
      </c>
      <c r="L493" s="31" t="s">
        <v>34</v>
      </c>
      <c r="M493" s="31">
        <v>30</v>
      </c>
      <c r="N493" s="31">
        <v>2008</v>
      </c>
      <c r="O493" s="31">
        <v>158</v>
      </c>
      <c r="P493" s="31"/>
      <c r="Q493" s="31"/>
      <c r="R493" s="33"/>
      <c r="S493" s="34" t="str">
        <f>HYPERLINK("http://www.cnpol.ru/covers/8748.jpg","фото на сайте")</f>
        <v>фото на сайте</v>
      </c>
    </row>
    <row r="494" spans="1:19" ht="50.1" customHeight="1">
      <c r="A494" s="31"/>
      <c r="B494" s="32" t="s">
        <v>2105</v>
      </c>
      <c r="C494" s="31" t="s">
        <v>390</v>
      </c>
      <c r="D494" s="31" t="s">
        <v>2106</v>
      </c>
      <c r="E494" s="31" t="s">
        <v>2107</v>
      </c>
      <c r="F494" s="31">
        <v>569</v>
      </c>
      <c r="G494" s="31">
        <v>86</v>
      </c>
      <c r="H494" s="31">
        <v>10</v>
      </c>
      <c r="I494" s="31">
        <v>30</v>
      </c>
      <c r="J494" s="31" t="s">
        <v>2108</v>
      </c>
      <c r="K494" s="31" t="s">
        <v>123</v>
      </c>
      <c r="L494" s="31" t="s">
        <v>56</v>
      </c>
      <c r="M494" s="31">
        <v>158</v>
      </c>
      <c r="N494" s="31">
        <v>2015</v>
      </c>
      <c r="O494" s="31">
        <v>76</v>
      </c>
      <c r="P494" s="31"/>
      <c r="Q494" s="31"/>
      <c r="R494" s="33"/>
      <c r="S494" s="34" t="str">
        <f>HYPERLINK("http://www.cnpol.ru/covers/16376.jpg","фото на сайте")</f>
        <v>фото на сайте</v>
      </c>
    </row>
    <row r="495" spans="1:19" ht="50.1" customHeight="1">
      <c r="A495" s="31"/>
      <c r="B495" s="32" t="s">
        <v>2109</v>
      </c>
      <c r="C495" s="31" t="s">
        <v>2110</v>
      </c>
      <c r="D495" s="31" t="s">
        <v>2111</v>
      </c>
      <c r="E495" s="31" t="s">
        <v>2112</v>
      </c>
      <c r="F495" s="31" t="s">
        <v>31</v>
      </c>
      <c r="G495" s="31">
        <v>162</v>
      </c>
      <c r="H495" s="31">
        <v>10</v>
      </c>
      <c r="I495" s="31">
        <v>20</v>
      </c>
      <c r="J495" s="31" t="s">
        <v>2113</v>
      </c>
      <c r="K495" s="31" t="s">
        <v>123</v>
      </c>
      <c r="L495" s="31" t="s">
        <v>56</v>
      </c>
      <c r="M495" s="31">
        <v>347</v>
      </c>
      <c r="N495" s="31">
        <v>2014</v>
      </c>
      <c r="O495" s="31">
        <v>160</v>
      </c>
      <c r="P495" s="31"/>
      <c r="Q495" s="31"/>
      <c r="R495" s="33"/>
      <c r="S495" s="34" t="str">
        <f>HYPERLINK("http://www.cnpol.ru/covers/15712.jpg","фото на сайте")</f>
        <v>фото на сайте</v>
      </c>
    </row>
    <row r="496" spans="1:19" ht="50.1" customHeight="1">
      <c r="A496" s="31"/>
      <c r="B496" s="32" t="s">
        <v>2114</v>
      </c>
      <c r="C496" s="31" t="s">
        <v>863</v>
      </c>
      <c r="D496" s="31" t="s">
        <v>2115</v>
      </c>
      <c r="E496" s="31" t="s">
        <v>2116</v>
      </c>
      <c r="F496" s="31" t="s">
        <v>31</v>
      </c>
      <c r="G496" s="31">
        <v>773</v>
      </c>
      <c r="H496" s="31">
        <v>10</v>
      </c>
      <c r="I496" s="31">
        <v>8</v>
      </c>
      <c r="J496" s="31" t="s">
        <v>2117</v>
      </c>
      <c r="K496" s="31" t="s">
        <v>41</v>
      </c>
      <c r="L496" s="31" t="s">
        <v>34</v>
      </c>
      <c r="M496" s="31">
        <v>463</v>
      </c>
      <c r="N496" s="31">
        <v>2023</v>
      </c>
      <c r="O496" s="31">
        <v>564</v>
      </c>
      <c r="P496" s="31"/>
      <c r="Q496" s="31"/>
      <c r="R496" s="33" t="s">
        <v>2118</v>
      </c>
      <c r="S496" s="34" t="str">
        <f>HYPERLINK("http://www.cnpol.ru/covers/20834.jpg","фото на сайте")</f>
        <v>фото на сайте</v>
      </c>
    </row>
    <row r="497" spans="1:19" ht="50.1" customHeight="1">
      <c r="A497" s="31"/>
      <c r="B497" s="32" t="s">
        <v>2119</v>
      </c>
      <c r="C497" s="31" t="s">
        <v>2120</v>
      </c>
      <c r="D497" s="31" t="s">
        <v>1449</v>
      </c>
      <c r="E497" s="31" t="s">
        <v>2121</v>
      </c>
      <c r="F497" s="31" t="s">
        <v>31</v>
      </c>
      <c r="G497" s="31">
        <v>81</v>
      </c>
      <c r="H497" s="31">
        <v>10</v>
      </c>
      <c r="I497" s="31">
        <v>100</v>
      </c>
      <c r="J497" s="31" t="s">
        <v>2122</v>
      </c>
      <c r="K497" s="31" t="s">
        <v>123</v>
      </c>
      <c r="L497" s="31" t="s">
        <v>56</v>
      </c>
      <c r="M497" s="31">
        <v>47</v>
      </c>
      <c r="N497" s="31">
        <v>2005</v>
      </c>
      <c r="O497" s="31">
        <v>30</v>
      </c>
      <c r="P497" s="31"/>
      <c r="Q497" s="31"/>
      <c r="R497" s="33"/>
      <c r="S497" s="34" t="str">
        <f>HYPERLINK("http://www.cnpol.ru/covers/5698.jpg","фото на сайте")</f>
        <v>фото на сайте</v>
      </c>
    </row>
    <row r="498" spans="1:19" ht="50.1" customHeight="1">
      <c r="A498" s="31" t="s">
        <v>35</v>
      </c>
      <c r="B498" s="32" t="s">
        <v>2123</v>
      </c>
      <c r="C498" s="31" t="s">
        <v>2124</v>
      </c>
      <c r="D498" s="31" t="s">
        <v>2125</v>
      </c>
      <c r="E498" s="31" t="s">
        <v>2126</v>
      </c>
      <c r="F498" s="31" t="s">
        <v>31</v>
      </c>
      <c r="G498" s="31">
        <v>366</v>
      </c>
      <c r="H498" s="31">
        <v>10</v>
      </c>
      <c r="I498" s="31">
        <v>8</v>
      </c>
      <c r="J498" s="31" t="s">
        <v>2127</v>
      </c>
      <c r="K498" s="31" t="s">
        <v>123</v>
      </c>
      <c r="L498" s="31" t="s">
        <v>56</v>
      </c>
      <c r="M498" s="31">
        <v>415</v>
      </c>
      <c r="N498" s="31">
        <v>2024</v>
      </c>
      <c r="O498" s="31">
        <v>125</v>
      </c>
      <c r="P498" s="31"/>
      <c r="Q498" s="31"/>
      <c r="R498" s="33" t="s">
        <v>2128</v>
      </c>
      <c r="S498" s="34" t="str">
        <f>HYPERLINK("http://www.cnpol.ru/covers/21429.jpg","фото на сайте")</f>
        <v>фото на сайте</v>
      </c>
    </row>
    <row r="499" spans="1:19" ht="50.1" customHeight="1">
      <c r="A499" s="31"/>
      <c r="B499" s="32" t="s">
        <v>2129</v>
      </c>
      <c r="C499" s="31" t="s">
        <v>1877</v>
      </c>
      <c r="D499" s="31" t="s">
        <v>2130</v>
      </c>
      <c r="E499" s="31" t="s">
        <v>2131</v>
      </c>
      <c r="F499" s="31" t="s">
        <v>31</v>
      </c>
      <c r="G499" s="31">
        <v>880</v>
      </c>
      <c r="H499" s="31">
        <v>10</v>
      </c>
      <c r="I499" s="31">
        <v>10</v>
      </c>
      <c r="J499" s="31" t="s">
        <v>2132</v>
      </c>
      <c r="K499" s="31" t="s">
        <v>33</v>
      </c>
      <c r="L499" s="31" t="s">
        <v>34</v>
      </c>
      <c r="M499" s="31">
        <v>448</v>
      </c>
      <c r="N499" s="31">
        <v>2019</v>
      </c>
      <c r="O499" s="31">
        <v>448</v>
      </c>
      <c r="P499" s="31"/>
      <c r="Q499" s="31"/>
      <c r="R499" s="33"/>
      <c r="S499" s="34" t="str">
        <f>HYPERLINK("http://www.cnpol.ru/covers/18732.jpg","фото на сайте")</f>
        <v>фото на сайте</v>
      </c>
    </row>
    <row r="500" spans="1:19" ht="50.1" customHeight="1">
      <c r="A500" s="31"/>
      <c r="B500" s="32" t="s">
        <v>2133</v>
      </c>
      <c r="C500" s="31" t="s">
        <v>385</v>
      </c>
      <c r="D500" s="31" t="s">
        <v>386</v>
      </c>
      <c r="E500" s="31" t="s">
        <v>2134</v>
      </c>
      <c r="F500" s="31" t="s">
        <v>31</v>
      </c>
      <c r="G500" s="31">
        <v>162</v>
      </c>
      <c r="H500" s="31">
        <v>10</v>
      </c>
      <c r="I500" s="31">
        <v>32</v>
      </c>
      <c r="J500" s="31" t="s">
        <v>2135</v>
      </c>
      <c r="K500" s="31" t="s">
        <v>55</v>
      </c>
      <c r="L500" s="31" t="s">
        <v>56</v>
      </c>
      <c r="M500" s="31">
        <v>288</v>
      </c>
      <c r="N500" s="31">
        <v>2016</v>
      </c>
      <c r="O500" s="31">
        <v>106</v>
      </c>
      <c r="P500" s="31"/>
      <c r="Q500" s="31"/>
      <c r="R500" s="33"/>
      <c r="S500" s="34" t="str">
        <f>HYPERLINK("http://www.cnpol.ru/covers/0120.jpg","фото на сайте")</f>
        <v>фото на сайте</v>
      </c>
    </row>
    <row r="501" spans="1:19" ht="50.1" customHeight="1">
      <c r="A501" s="31"/>
      <c r="B501" s="32" t="s">
        <v>2136</v>
      </c>
      <c r="C501" s="31" t="s">
        <v>390</v>
      </c>
      <c r="D501" s="31" t="s">
        <v>2137</v>
      </c>
      <c r="E501" s="31" t="s">
        <v>2138</v>
      </c>
      <c r="F501" s="31">
        <v>952</v>
      </c>
      <c r="G501" s="31">
        <v>86</v>
      </c>
      <c r="H501" s="31">
        <v>10</v>
      </c>
      <c r="I501" s="31">
        <v>30</v>
      </c>
      <c r="J501" s="31" t="s">
        <v>2139</v>
      </c>
      <c r="K501" s="31" t="s">
        <v>123</v>
      </c>
      <c r="L501" s="31" t="s">
        <v>56</v>
      </c>
      <c r="M501" s="31">
        <v>160</v>
      </c>
      <c r="N501" s="31">
        <v>2020</v>
      </c>
      <c r="O501" s="31">
        <v>76</v>
      </c>
      <c r="P501" s="31"/>
      <c r="Q501" s="31"/>
      <c r="R501" s="33"/>
      <c r="S501" s="34" t="str">
        <f>HYPERLINK("http://www.cnpol.ru/covers/19004.jpg","фото на сайте")</f>
        <v>фото на сайте</v>
      </c>
    </row>
    <row r="502" spans="1:19" ht="50.1" customHeight="1">
      <c r="A502" s="31"/>
      <c r="B502" s="32" t="s">
        <v>2140</v>
      </c>
      <c r="C502" s="31" t="s">
        <v>390</v>
      </c>
      <c r="D502" s="31" t="s">
        <v>2141</v>
      </c>
      <c r="E502" s="31" t="s">
        <v>2142</v>
      </c>
      <c r="F502" s="31">
        <v>996</v>
      </c>
      <c r="G502" s="31">
        <v>86</v>
      </c>
      <c r="H502" s="31">
        <v>10</v>
      </c>
      <c r="I502" s="31">
        <v>30</v>
      </c>
      <c r="J502" s="31" t="s">
        <v>2143</v>
      </c>
      <c r="K502" s="31" t="s">
        <v>123</v>
      </c>
      <c r="L502" s="31" t="s">
        <v>56</v>
      </c>
      <c r="M502" s="31">
        <v>160</v>
      </c>
      <c r="N502" s="31">
        <v>2020</v>
      </c>
      <c r="O502" s="31">
        <v>76</v>
      </c>
      <c r="P502" s="31"/>
      <c r="Q502" s="31"/>
      <c r="R502" s="33"/>
      <c r="S502" s="34" t="str">
        <f>HYPERLINK("http://www.cnpol.ru/covers/19335.jpg","фото на сайте")</f>
        <v>фото на сайте</v>
      </c>
    </row>
    <row r="503" spans="1:19" ht="50.1" customHeight="1">
      <c r="A503" s="31"/>
      <c r="B503" s="32" t="s">
        <v>2144</v>
      </c>
      <c r="C503" s="31" t="s">
        <v>390</v>
      </c>
      <c r="D503" s="31" t="s">
        <v>594</v>
      </c>
      <c r="E503" s="31" t="s">
        <v>2145</v>
      </c>
      <c r="F503" s="31">
        <v>581</v>
      </c>
      <c r="G503" s="31">
        <v>86</v>
      </c>
      <c r="H503" s="31">
        <v>10</v>
      </c>
      <c r="I503" s="31">
        <v>30</v>
      </c>
      <c r="J503" s="31" t="s">
        <v>2146</v>
      </c>
      <c r="K503" s="31" t="s">
        <v>123</v>
      </c>
      <c r="L503" s="31" t="s">
        <v>56</v>
      </c>
      <c r="M503" s="31">
        <v>158</v>
      </c>
      <c r="N503" s="31">
        <v>2016</v>
      </c>
      <c r="O503" s="31">
        <v>76</v>
      </c>
      <c r="P503" s="31"/>
      <c r="Q503" s="31"/>
      <c r="R503" s="33"/>
      <c r="S503" s="34" t="str">
        <f>HYPERLINK("http://www.cnpol.ru/covers/16465.jpg","фото на сайте")</f>
        <v>фото на сайте</v>
      </c>
    </row>
    <row r="504" spans="1:19" ht="50.1" customHeight="1">
      <c r="A504" s="31"/>
      <c r="B504" s="32" t="s">
        <v>2147</v>
      </c>
      <c r="C504" s="31" t="s">
        <v>400</v>
      </c>
      <c r="D504" s="31" t="s">
        <v>2148</v>
      </c>
      <c r="E504" s="31" t="s">
        <v>2149</v>
      </c>
      <c r="F504" s="31" t="s">
        <v>31</v>
      </c>
      <c r="G504" s="31">
        <v>503</v>
      </c>
      <c r="H504" s="31">
        <v>10</v>
      </c>
      <c r="I504" s="31">
        <v>14</v>
      </c>
      <c r="J504" s="31" t="s">
        <v>2150</v>
      </c>
      <c r="K504" s="31" t="s">
        <v>33</v>
      </c>
      <c r="L504" s="31" t="s">
        <v>34</v>
      </c>
      <c r="M504" s="31">
        <v>320</v>
      </c>
      <c r="N504" s="31">
        <v>2020</v>
      </c>
      <c r="O504" s="31">
        <v>274</v>
      </c>
      <c r="P504" s="31"/>
      <c r="Q504" s="31"/>
      <c r="R504" s="33"/>
      <c r="S504" s="34" t="str">
        <f>HYPERLINK("http://www.cnpol.ru/covers/19170.jpg","фото на сайте")</f>
        <v>фото на сайте</v>
      </c>
    </row>
    <row r="505" spans="1:19" ht="50.1" customHeight="1">
      <c r="A505" s="31"/>
      <c r="B505" s="32" t="s">
        <v>2151</v>
      </c>
      <c r="C505" s="31" t="s">
        <v>464</v>
      </c>
      <c r="D505" s="31" t="s">
        <v>2152</v>
      </c>
      <c r="E505" s="31" t="s">
        <v>2153</v>
      </c>
      <c r="F505" s="31" t="s">
        <v>31</v>
      </c>
      <c r="G505" s="31">
        <v>137</v>
      </c>
      <c r="H505" s="31">
        <v>10</v>
      </c>
      <c r="I505" s="31">
        <v>50</v>
      </c>
      <c r="J505" s="31" t="s">
        <v>2154</v>
      </c>
      <c r="K505" s="31" t="s">
        <v>468</v>
      </c>
      <c r="L505" s="31" t="s">
        <v>56</v>
      </c>
      <c r="M505" s="31">
        <v>18</v>
      </c>
      <c r="N505" s="31">
        <v>2005</v>
      </c>
      <c r="O505" s="31">
        <v>88</v>
      </c>
      <c r="P505" s="31"/>
      <c r="Q505" s="31"/>
      <c r="R505" s="33"/>
      <c r="S505" s="34" t="str">
        <f>HYPERLINK("http://www.cnpol.ru/covers/6055.jpg","фото на сайте")</f>
        <v>фото на сайте</v>
      </c>
    </row>
    <row r="506" spans="1:19" ht="50.1" customHeight="1">
      <c r="A506" s="31"/>
      <c r="B506" s="32" t="s">
        <v>2155</v>
      </c>
      <c r="C506" s="31" t="s">
        <v>520</v>
      </c>
      <c r="D506" s="31" t="s">
        <v>2156</v>
      </c>
      <c r="E506" s="31" t="s">
        <v>2157</v>
      </c>
      <c r="F506" s="31">
        <v>83</v>
      </c>
      <c r="G506" s="31">
        <v>117</v>
      </c>
      <c r="H506" s="31">
        <v>10</v>
      </c>
      <c r="I506" s="31">
        <v>30</v>
      </c>
      <c r="J506" s="31" t="s">
        <v>2158</v>
      </c>
      <c r="K506" s="31" t="s">
        <v>123</v>
      </c>
      <c r="L506" s="31" t="s">
        <v>56</v>
      </c>
      <c r="M506" s="31">
        <v>192</v>
      </c>
      <c r="N506" s="31">
        <v>2021</v>
      </c>
      <c r="O506" s="31">
        <v>90</v>
      </c>
      <c r="P506" s="31"/>
      <c r="Q506" s="31"/>
      <c r="R506" s="33"/>
      <c r="S506" s="34" t="str">
        <f>HYPERLINK("http://www.cnpol.ru/covers/19575.jpg","фото на сайте")</f>
        <v>фото на сайте</v>
      </c>
    </row>
    <row r="507" spans="1:19" ht="50.1" customHeight="1">
      <c r="A507" s="31"/>
      <c r="B507" s="32" t="s">
        <v>2159</v>
      </c>
      <c r="C507" s="31" t="s">
        <v>413</v>
      </c>
      <c r="D507" s="31" t="s">
        <v>2094</v>
      </c>
      <c r="E507" s="31" t="s">
        <v>2160</v>
      </c>
      <c r="F507" s="31">
        <v>63</v>
      </c>
      <c r="G507" s="31">
        <v>117</v>
      </c>
      <c r="H507" s="31">
        <v>10</v>
      </c>
      <c r="I507" s="31">
        <v>36</v>
      </c>
      <c r="J507" s="31" t="s">
        <v>2161</v>
      </c>
      <c r="K507" s="31" t="s">
        <v>123</v>
      </c>
      <c r="L507" s="31" t="s">
        <v>56</v>
      </c>
      <c r="M507" s="31">
        <v>190</v>
      </c>
      <c r="N507" s="31">
        <v>2015</v>
      </c>
      <c r="O507" s="31">
        <v>90</v>
      </c>
      <c r="P507" s="31"/>
      <c r="Q507" s="31"/>
      <c r="R507" s="33"/>
      <c r="S507" s="34" t="str">
        <f>HYPERLINK("http://www.cnpol.ru/covers/16112.jpg","фото на сайте")</f>
        <v>фото на сайте</v>
      </c>
    </row>
    <row r="508" spans="1:19" ht="50.1" customHeight="1">
      <c r="A508" s="31"/>
      <c r="B508" s="32" t="s">
        <v>2162</v>
      </c>
      <c r="C508" s="31" t="s">
        <v>385</v>
      </c>
      <c r="D508" s="31" t="s">
        <v>386</v>
      </c>
      <c r="E508" s="31" t="s">
        <v>2163</v>
      </c>
      <c r="F508" s="31" t="s">
        <v>31</v>
      </c>
      <c r="G508" s="31">
        <v>162</v>
      </c>
      <c r="H508" s="31">
        <v>10</v>
      </c>
      <c r="I508" s="31">
        <v>32</v>
      </c>
      <c r="J508" s="31" t="s">
        <v>2164</v>
      </c>
      <c r="K508" s="31" t="s">
        <v>55</v>
      </c>
      <c r="L508" s="31" t="s">
        <v>56</v>
      </c>
      <c r="M508" s="31">
        <v>256</v>
      </c>
      <c r="N508" s="31">
        <v>2016</v>
      </c>
      <c r="O508" s="31">
        <v>108</v>
      </c>
      <c r="P508" s="31"/>
      <c r="Q508" s="31"/>
      <c r="R508" s="33"/>
      <c r="S508" s="34" t="str">
        <f>HYPERLINK("http://www.cnpol.ru/covers/0114.jpg","фото на сайте")</f>
        <v>фото на сайте</v>
      </c>
    </row>
    <row r="509" spans="1:19" ht="50.1" customHeight="1">
      <c r="A509" s="31"/>
      <c r="B509" s="32" t="s">
        <v>2165</v>
      </c>
      <c r="C509" s="31" t="s">
        <v>206</v>
      </c>
      <c r="D509" s="31" t="s">
        <v>2166</v>
      </c>
      <c r="E509" s="31" t="s">
        <v>2167</v>
      </c>
      <c r="F509" s="31" t="s">
        <v>31</v>
      </c>
      <c r="G509" s="31">
        <v>321</v>
      </c>
      <c r="H509" s="31">
        <v>10</v>
      </c>
      <c r="I509" s="31">
        <v>16</v>
      </c>
      <c r="J509" s="31" t="s">
        <v>2168</v>
      </c>
      <c r="K509" s="31" t="s">
        <v>123</v>
      </c>
      <c r="L509" s="31" t="s">
        <v>210</v>
      </c>
      <c r="M509" s="31">
        <v>285</v>
      </c>
      <c r="N509" s="31">
        <v>2008</v>
      </c>
      <c r="O509" s="31">
        <v>178</v>
      </c>
      <c r="P509" s="31"/>
      <c r="Q509" s="31"/>
      <c r="R509" s="33"/>
      <c r="S509" s="34" t="str">
        <f>HYPERLINK("http://www.cnpol.ru/covers/10426.jpg","фото на сайте")</f>
        <v>фото на сайте</v>
      </c>
    </row>
    <row r="510" spans="1:19" ht="50.1" customHeight="1">
      <c r="A510" s="31"/>
      <c r="B510" s="32" t="s">
        <v>2169</v>
      </c>
      <c r="C510" s="31" t="s">
        <v>520</v>
      </c>
      <c r="D510" s="31" t="s">
        <v>2170</v>
      </c>
      <c r="E510" s="31" t="s">
        <v>2171</v>
      </c>
      <c r="F510" s="31">
        <v>18</v>
      </c>
      <c r="G510" s="31">
        <v>117</v>
      </c>
      <c r="H510" s="31">
        <v>10</v>
      </c>
      <c r="I510" s="31">
        <v>30</v>
      </c>
      <c r="J510" s="31" t="s">
        <v>2172</v>
      </c>
      <c r="K510" s="31" t="s">
        <v>123</v>
      </c>
      <c r="L510" s="31" t="s">
        <v>56</v>
      </c>
      <c r="M510" s="31">
        <v>192</v>
      </c>
      <c r="N510" s="31">
        <v>2016</v>
      </c>
      <c r="O510" s="31">
        <v>90</v>
      </c>
      <c r="P510" s="31"/>
      <c r="Q510" s="31"/>
      <c r="R510" s="33"/>
      <c r="S510" s="34" t="str">
        <f>HYPERLINK("http://www.cnpol.ru/covers/16490.jpg","фото на сайте")</f>
        <v>фото на сайте</v>
      </c>
    </row>
    <row r="511" spans="1:19" ht="50.1" customHeight="1">
      <c r="A511" s="31"/>
      <c r="B511" s="32" t="s">
        <v>2173</v>
      </c>
      <c r="C511" s="31" t="s">
        <v>413</v>
      </c>
      <c r="D511" s="31" t="s">
        <v>2094</v>
      </c>
      <c r="E511" s="31" t="s">
        <v>2174</v>
      </c>
      <c r="F511" s="31">
        <v>81</v>
      </c>
      <c r="G511" s="31">
        <v>117</v>
      </c>
      <c r="H511" s="31">
        <v>10</v>
      </c>
      <c r="I511" s="31">
        <v>36</v>
      </c>
      <c r="J511" s="31" t="s">
        <v>2175</v>
      </c>
      <c r="K511" s="31" t="s">
        <v>123</v>
      </c>
      <c r="L511" s="31" t="s">
        <v>56</v>
      </c>
      <c r="M511" s="31">
        <v>189</v>
      </c>
      <c r="N511" s="31">
        <v>2015</v>
      </c>
      <c r="O511" s="31">
        <v>90</v>
      </c>
      <c r="P511" s="31"/>
      <c r="Q511" s="31"/>
      <c r="R511" s="33"/>
      <c r="S511" s="34" t="str">
        <f>HYPERLINK("http://www.cnpol.ru/covers/16381.jpg","фото на сайте")</f>
        <v>фото на сайте</v>
      </c>
    </row>
    <row r="512" spans="1:19" ht="50.1" customHeight="1">
      <c r="A512" s="31"/>
      <c r="B512" s="32" t="s">
        <v>2176</v>
      </c>
      <c r="C512" s="31" t="s">
        <v>390</v>
      </c>
      <c r="D512" s="31" t="s">
        <v>2177</v>
      </c>
      <c r="E512" s="31" t="s">
        <v>2178</v>
      </c>
      <c r="F512" s="31">
        <v>542</v>
      </c>
      <c r="G512" s="31">
        <v>86</v>
      </c>
      <c r="H512" s="31">
        <v>10</v>
      </c>
      <c r="I512" s="31">
        <v>30</v>
      </c>
      <c r="J512" s="31" t="s">
        <v>2179</v>
      </c>
      <c r="K512" s="31" t="s">
        <v>123</v>
      </c>
      <c r="L512" s="31" t="s">
        <v>56</v>
      </c>
      <c r="M512" s="31">
        <v>158</v>
      </c>
      <c r="N512" s="31">
        <v>2015</v>
      </c>
      <c r="O512" s="31">
        <v>76</v>
      </c>
      <c r="P512" s="31"/>
      <c r="Q512" s="31"/>
      <c r="R512" s="33"/>
      <c r="S512" s="34" t="str">
        <f>HYPERLINK("http://www.cnpol.ru/covers/16166.jpg","фото на сайте")</f>
        <v>фото на сайте</v>
      </c>
    </row>
    <row r="513" spans="1:19" ht="50.1" customHeight="1">
      <c r="A513" s="31"/>
      <c r="B513" s="32" t="s">
        <v>2180</v>
      </c>
      <c r="C513" s="31" t="s">
        <v>400</v>
      </c>
      <c r="D513" s="31" t="s">
        <v>2181</v>
      </c>
      <c r="E513" s="31" t="s">
        <v>2182</v>
      </c>
      <c r="F513" s="31" t="s">
        <v>31</v>
      </c>
      <c r="G513" s="31">
        <v>503</v>
      </c>
      <c r="H513" s="31">
        <v>10</v>
      </c>
      <c r="I513" s="31">
        <v>14</v>
      </c>
      <c r="J513" s="31" t="s">
        <v>2183</v>
      </c>
      <c r="K513" s="31" t="s">
        <v>33</v>
      </c>
      <c r="L513" s="31" t="s">
        <v>34</v>
      </c>
      <c r="M513" s="31">
        <v>320</v>
      </c>
      <c r="N513" s="31">
        <v>2019</v>
      </c>
      <c r="O513" s="31">
        <v>272</v>
      </c>
      <c r="P513" s="31"/>
      <c r="Q513" s="31"/>
      <c r="R513" s="33"/>
      <c r="S513" s="34" t="str">
        <f>HYPERLINK("http://www.cnpol.ru/covers/18487.jpg","фото на сайте")</f>
        <v>фото на сайте</v>
      </c>
    </row>
    <row r="514" spans="1:19" ht="50.1" customHeight="1">
      <c r="A514" s="31" t="s">
        <v>35</v>
      </c>
      <c r="B514" s="32" t="s">
        <v>2184</v>
      </c>
      <c r="C514" s="31" t="s">
        <v>2185</v>
      </c>
      <c r="D514" s="31" t="s">
        <v>2186</v>
      </c>
      <c r="E514" s="31" t="s">
        <v>2187</v>
      </c>
      <c r="F514" s="31" t="s">
        <v>31</v>
      </c>
      <c r="G514" s="31">
        <v>666</v>
      </c>
      <c r="H514" s="31">
        <v>10</v>
      </c>
      <c r="I514" s="31">
        <v>8</v>
      </c>
      <c r="J514" s="31" t="s">
        <v>2188</v>
      </c>
      <c r="K514" s="31" t="s">
        <v>123</v>
      </c>
      <c r="L514" s="31" t="s">
        <v>34</v>
      </c>
      <c r="M514" s="31">
        <v>448</v>
      </c>
      <c r="N514" s="31">
        <v>2025</v>
      </c>
      <c r="O514" s="31">
        <v>355</v>
      </c>
      <c r="P514" s="31"/>
      <c r="Q514" s="31"/>
      <c r="R514" s="33" t="s">
        <v>2189</v>
      </c>
      <c r="S514" s="34" t="str">
        <f>HYPERLINK("http://www.cnpol.ru/covers/21677.jpg","фото на сайте")</f>
        <v>фото на сайте</v>
      </c>
    </row>
    <row r="515" spans="1:19" ht="50.1" customHeight="1">
      <c r="A515" s="31"/>
      <c r="B515" s="32" t="s">
        <v>2190</v>
      </c>
      <c r="C515" s="31" t="s">
        <v>37</v>
      </c>
      <c r="D515" s="31" t="s">
        <v>2191</v>
      </c>
      <c r="E515" s="31" t="s">
        <v>2192</v>
      </c>
      <c r="F515" s="31" t="s">
        <v>31</v>
      </c>
      <c r="G515" s="31">
        <v>572</v>
      </c>
      <c r="H515" s="31">
        <v>10</v>
      </c>
      <c r="I515" s="31">
        <v>10</v>
      </c>
      <c r="J515" s="31" t="s">
        <v>2193</v>
      </c>
      <c r="K515" s="31" t="s">
        <v>33</v>
      </c>
      <c r="L515" s="31" t="s">
        <v>34</v>
      </c>
      <c r="M515" s="31">
        <v>416</v>
      </c>
      <c r="N515" s="31">
        <v>2023</v>
      </c>
      <c r="O515" s="31">
        <v>400</v>
      </c>
      <c r="P515" s="31"/>
      <c r="Q515" s="31"/>
      <c r="R515" s="33" t="s">
        <v>2194</v>
      </c>
      <c r="S515" s="34" t="str">
        <f>HYPERLINK("http://www.cnpol.ru/covers/20678.jpg","фото на сайте")</f>
        <v>фото на сайте</v>
      </c>
    </row>
    <row r="516" spans="1:19" ht="50.1" customHeight="1">
      <c r="A516" s="31"/>
      <c r="B516" s="32" t="s">
        <v>2195</v>
      </c>
      <c r="C516" s="31" t="s">
        <v>1003</v>
      </c>
      <c r="D516" s="31" t="s">
        <v>1004</v>
      </c>
      <c r="E516" s="31" t="s">
        <v>2196</v>
      </c>
      <c r="F516" s="31" t="s">
        <v>31</v>
      </c>
      <c r="G516" s="31">
        <v>122</v>
      </c>
      <c r="H516" s="31">
        <v>10</v>
      </c>
      <c r="I516" s="31">
        <v>40</v>
      </c>
      <c r="J516" s="31" t="s">
        <v>2197</v>
      </c>
      <c r="K516" s="31" t="s">
        <v>123</v>
      </c>
      <c r="L516" s="31" t="s">
        <v>56</v>
      </c>
      <c r="M516" s="31">
        <v>126</v>
      </c>
      <c r="N516" s="31">
        <v>2021</v>
      </c>
      <c r="O516" s="31">
        <v>60</v>
      </c>
      <c r="P516" s="31"/>
      <c r="Q516" s="31"/>
      <c r="R516" s="33"/>
      <c r="S516" s="34" t="str">
        <f>HYPERLINK("http://www.cnpol.ru/covers/19517.jpg","фото на сайте")</f>
        <v>фото на сайте</v>
      </c>
    </row>
    <row r="517" spans="1:19" ht="50.1" customHeight="1">
      <c r="A517" s="31"/>
      <c r="B517" s="32" t="s">
        <v>2198</v>
      </c>
      <c r="C517" s="31" t="s">
        <v>149</v>
      </c>
      <c r="D517" s="31" t="s">
        <v>150</v>
      </c>
      <c r="E517" s="31" t="s">
        <v>2199</v>
      </c>
      <c r="F517" s="31" t="s">
        <v>31</v>
      </c>
      <c r="G517" s="31">
        <v>244</v>
      </c>
      <c r="H517" s="31">
        <v>10</v>
      </c>
      <c r="I517" s="31">
        <v>18</v>
      </c>
      <c r="J517" s="31" t="s">
        <v>2200</v>
      </c>
      <c r="K517" s="31" t="s">
        <v>123</v>
      </c>
      <c r="L517" s="31" t="s">
        <v>56</v>
      </c>
      <c r="M517" s="31">
        <v>320</v>
      </c>
      <c r="N517" s="31">
        <v>2024</v>
      </c>
      <c r="O517" s="31">
        <v>148</v>
      </c>
      <c r="P517" s="31"/>
      <c r="Q517" s="31"/>
      <c r="R517" s="33" t="s">
        <v>2201</v>
      </c>
      <c r="S517" s="34" t="str">
        <f>HYPERLINK("http://www.cnpol.ru/covers/20951.jpg","фото на сайте")</f>
        <v>фото на сайте</v>
      </c>
    </row>
    <row r="518" spans="1:19" ht="50.1" customHeight="1">
      <c r="A518" s="31" t="s">
        <v>35</v>
      </c>
      <c r="B518" s="32" t="s">
        <v>2202</v>
      </c>
      <c r="C518" s="31" t="s">
        <v>503</v>
      </c>
      <c r="D518" s="31" t="s">
        <v>504</v>
      </c>
      <c r="E518" s="31" t="s">
        <v>2203</v>
      </c>
      <c r="F518" s="31" t="s">
        <v>31</v>
      </c>
      <c r="G518" s="35">
        <v>1327</v>
      </c>
      <c r="H518" s="31">
        <v>10</v>
      </c>
      <c r="I518" s="31">
        <v>4</v>
      </c>
      <c r="J518" s="31" t="s">
        <v>2204</v>
      </c>
      <c r="K518" s="31" t="s">
        <v>33</v>
      </c>
      <c r="L518" s="31" t="s">
        <v>34</v>
      </c>
      <c r="M518" s="31">
        <v>557</v>
      </c>
      <c r="N518" s="31">
        <v>2025</v>
      </c>
      <c r="O518" s="31">
        <v>578</v>
      </c>
      <c r="P518" s="31"/>
      <c r="Q518" s="31"/>
      <c r="R518" s="33" t="s">
        <v>2205</v>
      </c>
      <c r="S518" s="34" t="str">
        <f>HYPERLINK("http://www.cnpol.ru/covers/21647.jpg","фото на сайте")</f>
        <v>фото на сайте</v>
      </c>
    </row>
    <row r="519" spans="1:19" ht="50.1" customHeight="1">
      <c r="A519" s="31"/>
      <c r="B519" s="32" t="s">
        <v>2206</v>
      </c>
      <c r="C519" s="31" t="s">
        <v>520</v>
      </c>
      <c r="D519" s="31" t="s">
        <v>559</v>
      </c>
      <c r="E519" s="31" t="s">
        <v>2207</v>
      </c>
      <c r="F519" s="31">
        <v>54</v>
      </c>
      <c r="G519" s="31">
        <v>117</v>
      </c>
      <c r="H519" s="31">
        <v>10</v>
      </c>
      <c r="I519" s="31">
        <v>30</v>
      </c>
      <c r="J519" s="31" t="s">
        <v>2208</v>
      </c>
      <c r="K519" s="31" t="s">
        <v>123</v>
      </c>
      <c r="L519" s="31" t="s">
        <v>56</v>
      </c>
      <c r="M519" s="31">
        <v>192</v>
      </c>
      <c r="N519" s="31">
        <v>2018</v>
      </c>
      <c r="O519" s="31">
        <v>90</v>
      </c>
      <c r="P519" s="31"/>
      <c r="Q519" s="31"/>
      <c r="R519" s="33"/>
      <c r="S519" s="34" t="str">
        <f>HYPERLINK("http://www.cnpol.ru/covers/17960.jpg","фото на сайте")</f>
        <v>фото на сайте</v>
      </c>
    </row>
    <row r="520" spans="1:19" ht="50.1" customHeight="1">
      <c r="A520" s="31"/>
      <c r="B520" s="32" t="s">
        <v>2209</v>
      </c>
      <c r="C520" s="31" t="s">
        <v>408</v>
      </c>
      <c r="D520" s="31" t="s">
        <v>2210</v>
      </c>
      <c r="E520" s="31" t="s">
        <v>2211</v>
      </c>
      <c r="F520" s="31" t="s">
        <v>31</v>
      </c>
      <c r="G520" s="31">
        <v>640</v>
      </c>
      <c r="H520" s="31">
        <v>10</v>
      </c>
      <c r="I520" s="31">
        <v>16</v>
      </c>
      <c r="J520" s="31" t="s">
        <v>2212</v>
      </c>
      <c r="K520" s="31" t="s">
        <v>33</v>
      </c>
      <c r="L520" s="31" t="s">
        <v>34</v>
      </c>
      <c r="M520" s="31">
        <v>208</v>
      </c>
      <c r="N520" s="31">
        <v>2021</v>
      </c>
      <c r="O520" s="31">
        <v>304</v>
      </c>
      <c r="P520" s="31"/>
      <c r="Q520" s="31"/>
      <c r="R520" s="33"/>
      <c r="S520" s="34" t="str">
        <f>HYPERLINK("http://www.cnpol.ru/covers/19460.jpg","фото на сайте")</f>
        <v>фото на сайте</v>
      </c>
    </row>
    <row r="521" spans="1:19" ht="50.1" customHeight="1">
      <c r="A521" s="31" t="s">
        <v>35</v>
      </c>
      <c r="B521" s="32" t="s">
        <v>2213</v>
      </c>
      <c r="C521" s="31" t="s">
        <v>37</v>
      </c>
      <c r="D521" s="31" t="s">
        <v>2214</v>
      </c>
      <c r="E521" s="31" t="s">
        <v>2215</v>
      </c>
      <c r="F521" s="31" t="s">
        <v>31</v>
      </c>
      <c r="G521" s="35">
        <v>1076</v>
      </c>
      <c r="H521" s="31">
        <v>10</v>
      </c>
      <c r="I521" s="31">
        <v>5</v>
      </c>
      <c r="J521" s="31" t="s">
        <v>2216</v>
      </c>
      <c r="K521" s="31" t="s">
        <v>33</v>
      </c>
      <c r="L521" s="31" t="s">
        <v>34</v>
      </c>
      <c r="M521" s="31">
        <v>415</v>
      </c>
      <c r="N521" s="31">
        <v>2025</v>
      </c>
      <c r="O521" s="31">
        <v>430</v>
      </c>
      <c r="P521" s="31"/>
      <c r="Q521" s="31"/>
      <c r="R521" s="33" t="s">
        <v>2217</v>
      </c>
      <c r="S521" s="34" t="str">
        <f>HYPERLINK("http://www.cnpol.ru/covers/21630.jpg","фото на сайте")</f>
        <v>фото на сайте</v>
      </c>
    </row>
    <row r="522" spans="1:19" ht="50.1" customHeight="1">
      <c r="A522" s="31"/>
      <c r="B522" s="32" t="s">
        <v>2218</v>
      </c>
      <c r="C522" s="31" t="s">
        <v>408</v>
      </c>
      <c r="D522" s="31" t="s">
        <v>2219</v>
      </c>
      <c r="E522" s="31" t="s">
        <v>2220</v>
      </c>
      <c r="F522" s="31" t="s">
        <v>31</v>
      </c>
      <c r="G522" s="31">
        <v>855</v>
      </c>
      <c r="H522" s="31">
        <v>10</v>
      </c>
      <c r="I522" s="31">
        <v>12</v>
      </c>
      <c r="J522" s="31" t="s">
        <v>2221</v>
      </c>
      <c r="K522" s="31" t="s">
        <v>33</v>
      </c>
      <c r="L522" s="31" t="s">
        <v>34</v>
      </c>
      <c r="M522" s="31">
        <v>415</v>
      </c>
      <c r="N522" s="31">
        <v>2022</v>
      </c>
      <c r="O522" s="31">
        <v>490</v>
      </c>
      <c r="P522" s="31"/>
      <c r="Q522" s="31"/>
      <c r="R522" s="33"/>
      <c r="S522" s="34" t="str">
        <f>HYPERLINK("http://www.cnpol.ru/covers/20267.jpg","фото на сайте")</f>
        <v>фото на сайте</v>
      </c>
    </row>
    <row r="523" spans="1:19" ht="50.1" customHeight="1">
      <c r="A523" s="31" t="s">
        <v>43</v>
      </c>
      <c r="B523" s="32" t="s">
        <v>2222</v>
      </c>
      <c r="C523" s="31" t="s">
        <v>2223</v>
      </c>
      <c r="D523" s="31" t="s">
        <v>236</v>
      </c>
      <c r="E523" s="31" t="s">
        <v>2224</v>
      </c>
      <c r="F523" s="31" t="s">
        <v>31</v>
      </c>
      <c r="G523" s="31">
        <v>275</v>
      </c>
      <c r="H523" s="31">
        <v>10</v>
      </c>
      <c r="I523" s="31">
        <v>10</v>
      </c>
      <c r="J523" s="31" t="s">
        <v>2225</v>
      </c>
      <c r="K523" s="31" t="s">
        <v>33</v>
      </c>
      <c r="L523" s="31" t="s">
        <v>56</v>
      </c>
      <c r="M523" s="31">
        <v>255</v>
      </c>
      <c r="N523" s="31">
        <v>2025</v>
      </c>
      <c r="O523" s="31" t="s">
        <v>220</v>
      </c>
      <c r="P523" s="31"/>
      <c r="Q523" s="31"/>
      <c r="R523" s="33" t="s">
        <v>2226</v>
      </c>
      <c r="S523" s="34" t="str">
        <f>HYPERLINK("http://www.cnpol.ru/covers/21823.jpg","фото на сайте")</f>
        <v>фото на сайте</v>
      </c>
    </row>
    <row r="524" spans="1:19" ht="50.1" customHeight="1">
      <c r="A524" s="31"/>
      <c r="B524" s="32" t="s">
        <v>2227</v>
      </c>
      <c r="C524" s="31" t="s">
        <v>2228</v>
      </c>
      <c r="D524" s="31" t="s">
        <v>213</v>
      </c>
      <c r="E524" s="31" t="s">
        <v>2229</v>
      </c>
      <c r="F524" s="31">
        <v>5</v>
      </c>
      <c r="G524" s="31">
        <v>461</v>
      </c>
      <c r="H524" s="31">
        <v>10</v>
      </c>
      <c r="I524" s="31">
        <v>16</v>
      </c>
      <c r="J524" s="31" t="s">
        <v>2230</v>
      </c>
      <c r="K524" s="31" t="s">
        <v>2231</v>
      </c>
      <c r="L524" s="31" t="s">
        <v>34</v>
      </c>
      <c r="M524" s="31">
        <v>160</v>
      </c>
      <c r="N524" s="31">
        <v>2017</v>
      </c>
      <c r="O524" s="31">
        <v>324</v>
      </c>
      <c r="P524" s="31"/>
      <c r="Q524" s="31"/>
      <c r="R524" s="33"/>
      <c r="S524" s="34" t="str">
        <f>HYPERLINK("http://www.cnpol.ru/covers/17422.jpg","фото на сайте")</f>
        <v>фото на сайте</v>
      </c>
    </row>
    <row r="525" spans="1:19" ht="50.1" customHeight="1">
      <c r="A525" s="31"/>
      <c r="B525" s="32" t="s">
        <v>2232</v>
      </c>
      <c r="C525" s="31" t="s">
        <v>2233</v>
      </c>
      <c r="D525" s="31" t="s">
        <v>2234</v>
      </c>
      <c r="E525" s="31" t="s">
        <v>2235</v>
      </c>
      <c r="F525" s="31" t="s">
        <v>31</v>
      </c>
      <c r="G525" s="31">
        <v>137</v>
      </c>
      <c r="H525" s="31">
        <v>10</v>
      </c>
      <c r="I525" s="31">
        <v>24</v>
      </c>
      <c r="J525" s="31" t="s">
        <v>2236</v>
      </c>
      <c r="K525" s="31" t="s">
        <v>55</v>
      </c>
      <c r="L525" s="31" t="s">
        <v>56</v>
      </c>
      <c r="M525" s="31">
        <v>303</v>
      </c>
      <c r="N525" s="31">
        <v>2008</v>
      </c>
      <c r="O525" s="31" t="s">
        <v>220</v>
      </c>
      <c r="P525" s="31"/>
      <c r="Q525" s="31"/>
      <c r="R525" s="33"/>
      <c r="S525" s="34" t="str">
        <f>HYPERLINK("http://www.cnpol.ru/covers/8747.jpg","фото на сайте")</f>
        <v>фото на сайте</v>
      </c>
    </row>
    <row r="526" spans="1:19" ht="50.1" customHeight="1">
      <c r="A526" s="31"/>
      <c r="B526" s="32" t="s">
        <v>2237</v>
      </c>
      <c r="C526" s="31" t="s">
        <v>400</v>
      </c>
      <c r="D526" s="31" t="s">
        <v>2238</v>
      </c>
      <c r="E526" s="31" t="s">
        <v>2239</v>
      </c>
      <c r="F526" s="31" t="s">
        <v>31</v>
      </c>
      <c r="G526" s="31">
        <v>503</v>
      </c>
      <c r="H526" s="31">
        <v>10</v>
      </c>
      <c r="I526" s="31">
        <v>10</v>
      </c>
      <c r="J526" s="31" t="s">
        <v>2240</v>
      </c>
      <c r="K526" s="31" t="s">
        <v>33</v>
      </c>
      <c r="L526" s="31" t="s">
        <v>34</v>
      </c>
      <c r="M526" s="31">
        <v>384</v>
      </c>
      <c r="N526" s="31">
        <v>2016</v>
      </c>
      <c r="O526" s="31">
        <v>326</v>
      </c>
      <c r="P526" s="31"/>
      <c r="Q526" s="31"/>
      <c r="R526" s="33"/>
      <c r="S526" s="34" t="str">
        <f>HYPERLINK("http://www.cnpol.ru/covers/16596.jpg","фото на сайте")</f>
        <v>фото на сайте</v>
      </c>
    </row>
    <row r="527" spans="1:19" ht="50.1" customHeight="1">
      <c r="A527" s="31"/>
      <c r="B527" s="32" t="s">
        <v>2241</v>
      </c>
      <c r="C527" s="31" t="s">
        <v>400</v>
      </c>
      <c r="D527" s="31" t="s">
        <v>2238</v>
      </c>
      <c r="E527" s="31" t="s">
        <v>2242</v>
      </c>
      <c r="F527" s="31" t="s">
        <v>31</v>
      </c>
      <c r="G527" s="31">
        <v>503</v>
      </c>
      <c r="H527" s="31">
        <v>10</v>
      </c>
      <c r="I527" s="31">
        <v>10</v>
      </c>
      <c r="J527" s="31" t="s">
        <v>2243</v>
      </c>
      <c r="K527" s="31" t="s">
        <v>33</v>
      </c>
      <c r="L527" s="31" t="s">
        <v>34</v>
      </c>
      <c r="M527" s="31">
        <v>416</v>
      </c>
      <c r="N527" s="31">
        <v>2017</v>
      </c>
      <c r="O527" s="31">
        <v>330</v>
      </c>
      <c r="P527" s="31"/>
      <c r="Q527" s="31"/>
      <c r="R527" s="33"/>
      <c r="S527" s="34" t="str">
        <f>HYPERLINK("http://www.cnpol.ru/covers/17672.jpg","фото на сайте")</f>
        <v>фото на сайте</v>
      </c>
    </row>
    <row r="528" spans="1:19" ht="50.1" customHeight="1">
      <c r="A528" s="31"/>
      <c r="B528" s="32" t="s">
        <v>2244</v>
      </c>
      <c r="C528" s="31" t="s">
        <v>390</v>
      </c>
      <c r="D528" s="31" t="s">
        <v>1801</v>
      </c>
      <c r="E528" s="31" t="s">
        <v>2245</v>
      </c>
      <c r="F528" s="31">
        <v>717</v>
      </c>
      <c r="G528" s="31">
        <v>86</v>
      </c>
      <c r="H528" s="31">
        <v>10</v>
      </c>
      <c r="I528" s="31">
        <v>30</v>
      </c>
      <c r="J528" s="31" t="s">
        <v>2246</v>
      </c>
      <c r="K528" s="31" t="s">
        <v>123</v>
      </c>
      <c r="L528" s="31" t="s">
        <v>56</v>
      </c>
      <c r="M528" s="31">
        <v>160</v>
      </c>
      <c r="N528" s="31">
        <v>2017</v>
      </c>
      <c r="O528" s="31">
        <v>76</v>
      </c>
      <c r="P528" s="31"/>
      <c r="Q528" s="31"/>
      <c r="R528" s="33"/>
      <c r="S528" s="34" t="str">
        <f>HYPERLINK("http://www.cnpol.ru/covers/17471.jpg","фото на сайте")</f>
        <v>фото на сайте</v>
      </c>
    </row>
    <row r="529" spans="1:19" ht="50.1" customHeight="1">
      <c r="A529" s="31"/>
      <c r="B529" s="32" t="s">
        <v>2247</v>
      </c>
      <c r="C529" s="31" t="s">
        <v>1265</v>
      </c>
      <c r="D529" s="31" t="s">
        <v>1266</v>
      </c>
      <c r="E529" s="31" t="s">
        <v>2248</v>
      </c>
      <c r="F529" s="31" t="s">
        <v>31</v>
      </c>
      <c r="G529" s="31">
        <v>88</v>
      </c>
      <c r="H529" s="31">
        <v>10</v>
      </c>
      <c r="I529" s="31">
        <v>40</v>
      </c>
      <c r="J529" s="31" t="s">
        <v>2249</v>
      </c>
      <c r="K529" s="31" t="s">
        <v>123</v>
      </c>
      <c r="L529" s="31" t="s">
        <v>56</v>
      </c>
      <c r="M529" s="31">
        <v>125</v>
      </c>
      <c r="N529" s="31">
        <v>2010</v>
      </c>
      <c r="O529" s="31">
        <v>62</v>
      </c>
      <c r="P529" s="31"/>
      <c r="Q529" s="31"/>
      <c r="R529" s="33"/>
      <c r="S529" s="34" t="str">
        <f>HYPERLINK("http://www.cnpol.ru/covers/11792.jpg","фото на сайте")</f>
        <v>фото на сайте</v>
      </c>
    </row>
    <row r="530" spans="1:19" ht="50.1" customHeight="1">
      <c r="A530" s="31"/>
      <c r="B530" s="32" t="s">
        <v>2250</v>
      </c>
      <c r="C530" s="31" t="s">
        <v>1265</v>
      </c>
      <c r="D530" s="31" t="s">
        <v>1266</v>
      </c>
      <c r="E530" s="31" t="s">
        <v>2248</v>
      </c>
      <c r="F530" s="31" t="s">
        <v>31</v>
      </c>
      <c r="G530" s="31">
        <v>88</v>
      </c>
      <c r="H530" s="31">
        <v>10</v>
      </c>
      <c r="I530" s="31">
        <v>80</v>
      </c>
      <c r="J530" s="31" t="s">
        <v>2251</v>
      </c>
      <c r="K530" s="31" t="s">
        <v>123</v>
      </c>
      <c r="L530" s="31" t="s">
        <v>56</v>
      </c>
      <c r="M530" s="31">
        <v>125</v>
      </c>
      <c r="N530" s="31">
        <v>2011</v>
      </c>
      <c r="O530" s="31">
        <v>64</v>
      </c>
      <c r="P530" s="31"/>
      <c r="Q530" s="31"/>
      <c r="R530" s="33"/>
      <c r="S530" s="34" t="str">
        <f>HYPERLINK("http://www.cnpol.ru/covers/12606.jpg","фото на сайте")</f>
        <v>фото на сайте</v>
      </c>
    </row>
    <row r="531" spans="1:19" ht="50.1" customHeight="1">
      <c r="A531" s="31"/>
      <c r="B531" s="32" t="s">
        <v>2252</v>
      </c>
      <c r="C531" s="31" t="s">
        <v>546</v>
      </c>
      <c r="D531" s="31" t="s">
        <v>2253</v>
      </c>
      <c r="E531" s="31" t="s">
        <v>2254</v>
      </c>
      <c r="F531" s="31">
        <v>161</v>
      </c>
      <c r="G531" s="31">
        <v>93</v>
      </c>
      <c r="H531" s="31">
        <v>10</v>
      </c>
      <c r="I531" s="31">
        <v>30</v>
      </c>
      <c r="J531" s="31" t="s">
        <v>2255</v>
      </c>
      <c r="K531" s="31" t="s">
        <v>123</v>
      </c>
      <c r="L531" s="31" t="s">
        <v>56</v>
      </c>
      <c r="M531" s="31">
        <v>160</v>
      </c>
      <c r="N531" s="31">
        <v>2016</v>
      </c>
      <c r="O531" s="31">
        <v>76</v>
      </c>
      <c r="P531" s="31"/>
      <c r="Q531" s="31"/>
      <c r="R531" s="33"/>
      <c r="S531" s="34" t="str">
        <f>HYPERLINK("http://www.cnpol.ru/covers/16630.jpg","фото на сайте")</f>
        <v>фото на сайте</v>
      </c>
    </row>
    <row r="532" spans="1:19" ht="50.1" customHeight="1">
      <c r="A532" s="31"/>
      <c r="B532" s="32" t="s">
        <v>2256</v>
      </c>
      <c r="C532" s="31" t="s">
        <v>658</v>
      </c>
      <c r="D532" s="31" t="s">
        <v>2257</v>
      </c>
      <c r="E532" s="31" t="s">
        <v>2258</v>
      </c>
      <c r="F532" s="31" t="s">
        <v>31</v>
      </c>
      <c r="G532" s="31">
        <v>456</v>
      </c>
      <c r="H532" s="31">
        <v>10</v>
      </c>
      <c r="I532" s="31">
        <v>20</v>
      </c>
      <c r="J532" s="31" t="s">
        <v>2259</v>
      </c>
      <c r="K532" s="31" t="s">
        <v>33</v>
      </c>
      <c r="L532" s="31" t="s">
        <v>210</v>
      </c>
      <c r="M532" s="31">
        <v>286</v>
      </c>
      <c r="N532" s="31">
        <v>2014</v>
      </c>
      <c r="O532" s="31">
        <v>254</v>
      </c>
      <c r="P532" s="31"/>
      <c r="Q532" s="31"/>
      <c r="R532" s="33"/>
      <c r="S532" s="34" t="str">
        <f>HYPERLINK("http://www.cnpol.ru/covers/15591.jpg","фото на сайте")</f>
        <v>фото на сайте</v>
      </c>
    </row>
    <row r="533" spans="1:19" ht="50.1" customHeight="1">
      <c r="A533" s="31"/>
      <c r="B533" s="32" t="s">
        <v>2260</v>
      </c>
      <c r="C533" s="31" t="s">
        <v>546</v>
      </c>
      <c r="D533" s="31" t="s">
        <v>1842</v>
      </c>
      <c r="E533" s="31" t="s">
        <v>2261</v>
      </c>
      <c r="F533" s="31">
        <v>127</v>
      </c>
      <c r="G533" s="31">
        <v>93</v>
      </c>
      <c r="H533" s="31">
        <v>10</v>
      </c>
      <c r="I533" s="31">
        <v>30</v>
      </c>
      <c r="J533" s="31" t="s">
        <v>2262</v>
      </c>
      <c r="K533" s="31" t="s">
        <v>123</v>
      </c>
      <c r="L533" s="31" t="s">
        <v>56</v>
      </c>
      <c r="M533" s="31">
        <v>158</v>
      </c>
      <c r="N533" s="31">
        <v>2015</v>
      </c>
      <c r="O533" s="31">
        <v>76</v>
      </c>
      <c r="P533" s="31"/>
      <c r="Q533" s="31"/>
      <c r="R533" s="33"/>
      <c r="S533" s="34" t="str">
        <f>HYPERLINK("http://www.cnpol.ru/covers/16118.jpg","фото на сайте")</f>
        <v>фото на сайте</v>
      </c>
    </row>
    <row r="534" spans="1:19" ht="50.1" customHeight="1">
      <c r="A534" s="31"/>
      <c r="B534" s="32" t="s">
        <v>2263</v>
      </c>
      <c r="C534" s="31" t="s">
        <v>1247</v>
      </c>
      <c r="D534" s="31" t="s">
        <v>1248</v>
      </c>
      <c r="E534" s="31" t="s">
        <v>2264</v>
      </c>
      <c r="F534" s="31" t="s">
        <v>31</v>
      </c>
      <c r="G534" s="31">
        <v>112</v>
      </c>
      <c r="H534" s="31">
        <v>10</v>
      </c>
      <c r="I534" s="31">
        <v>50</v>
      </c>
      <c r="J534" s="31" t="s">
        <v>2265</v>
      </c>
      <c r="K534" s="31" t="s">
        <v>123</v>
      </c>
      <c r="L534" s="31" t="s">
        <v>56</v>
      </c>
      <c r="M534" s="31">
        <v>128</v>
      </c>
      <c r="N534" s="31">
        <v>2014</v>
      </c>
      <c r="O534" s="31">
        <v>62</v>
      </c>
      <c r="P534" s="31"/>
      <c r="Q534" s="31"/>
      <c r="R534" s="33"/>
      <c r="S534" s="34" t="str">
        <f>HYPERLINK("http://www.cnpol.ru/covers/15508.jpg","фото на сайте")</f>
        <v>фото на сайте</v>
      </c>
    </row>
    <row r="535" spans="1:19" ht="50.1" customHeight="1">
      <c r="A535" s="31"/>
      <c r="B535" s="32" t="s">
        <v>2266</v>
      </c>
      <c r="C535" s="31" t="s">
        <v>400</v>
      </c>
      <c r="D535" s="31" t="s">
        <v>2267</v>
      </c>
      <c r="E535" s="31" t="s">
        <v>2268</v>
      </c>
      <c r="F535" s="31" t="s">
        <v>31</v>
      </c>
      <c r="G535" s="31">
        <v>503</v>
      </c>
      <c r="H535" s="31">
        <v>10</v>
      </c>
      <c r="I535" s="31">
        <v>14</v>
      </c>
      <c r="J535" s="31" t="s">
        <v>2269</v>
      </c>
      <c r="K535" s="31" t="s">
        <v>33</v>
      </c>
      <c r="L535" s="31" t="s">
        <v>34</v>
      </c>
      <c r="M535" s="31">
        <v>288</v>
      </c>
      <c r="N535" s="31">
        <v>2020</v>
      </c>
      <c r="O535" s="31">
        <v>250</v>
      </c>
      <c r="P535" s="31"/>
      <c r="Q535" s="31"/>
      <c r="R535" s="33"/>
      <c r="S535" s="34" t="str">
        <f>HYPERLINK("http://www.cnpol.ru/covers/19027.jpg","фото на сайте")</f>
        <v>фото на сайте</v>
      </c>
    </row>
    <row r="536" spans="1:19" ht="50.1" customHeight="1">
      <c r="A536" s="31"/>
      <c r="B536" s="32" t="s">
        <v>2270</v>
      </c>
      <c r="C536" s="31" t="s">
        <v>143</v>
      </c>
      <c r="D536" s="31" t="s">
        <v>2022</v>
      </c>
      <c r="E536" s="31" t="s">
        <v>2271</v>
      </c>
      <c r="F536" s="31" t="s">
        <v>31</v>
      </c>
      <c r="G536" s="35">
        <v>1058</v>
      </c>
      <c r="H536" s="31">
        <v>10</v>
      </c>
      <c r="I536" s="31">
        <v>8</v>
      </c>
      <c r="J536" s="31" t="s">
        <v>2272</v>
      </c>
      <c r="K536" s="31" t="s">
        <v>41</v>
      </c>
      <c r="L536" s="31" t="s">
        <v>34</v>
      </c>
      <c r="M536" s="31">
        <v>624</v>
      </c>
      <c r="N536" s="31">
        <v>2019</v>
      </c>
      <c r="O536" s="31">
        <v>648</v>
      </c>
      <c r="P536" s="31"/>
      <c r="Q536" s="31"/>
      <c r="R536" s="33"/>
      <c r="S536" s="34" t="str">
        <f>HYPERLINK("http://www.cnpol.ru/covers/18937.jpg","фото на сайте")</f>
        <v>фото на сайте</v>
      </c>
    </row>
    <row r="537" spans="1:19" ht="50.1" customHeight="1">
      <c r="A537" s="31"/>
      <c r="B537" s="32" t="s">
        <v>2273</v>
      </c>
      <c r="C537" s="31" t="s">
        <v>37</v>
      </c>
      <c r="D537" s="31" t="s">
        <v>2274</v>
      </c>
      <c r="E537" s="31" t="s">
        <v>2275</v>
      </c>
      <c r="F537" s="31" t="s">
        <v>31</v>
      </c>
      <c r="G537" s="31">
        <v>593</v>
      </c>
      <c r="H537" s="31">
        <v>10</v>
      </c>
      <c r="I537" s="31">
        <v>20</v>
      </c>
      <c r="J537" s="31" t="s">
        <v>2276</v>
      </c>
      <c r="K537" s="31" t="s">
        <v>33</v>
      </c>
      <c r="L537" s="31" t="s">
        <v>34</v>
      </c>
      <c r="M537" s="31">
        <v>256</v>
      </c>
      <c r="N537" s="31">
        <v>2014</v>
      </c>
      <c r="O537" s="31">
        <v>300</v>
      </c>
      <c r="P537" s="31"/>
      <c r="Q537" s="31"/>
      <c r="R537" s="33"/>
      <c r="S537" s="34" t="str">
        <f>HYPERLINK("http://www.cnpol.ru/covers/15352.jpg","фото на сайте")</f>
        <v>фото на сайте</v>
      </c>
    </row>
    <row r="538" spans="1:19" ht="50.1" customHeight="1">
      <c r="A538" s="31"/>
      <c r="B538" s="32" t="s">
        <v>2277</v>
      </c>
      <c r="C538" s="31" t="s">
        <v>1050</v>
      </c>
      <c r="D538" s="31" t="s">
        <v>2278</v>
      </c>
      <c r="E538" s="31" t="s">
        <v>2279</v>
      </c>
      <c r="F538" s="31" t="s">
        <v>31</v>
      </c>
      <c r="G538" s="31">
        <v>386</v>
      </c>
      <c r="H538" s="31">
        <v>10</v>
      </c>
      <c r="I538" s="31">
        <v>18</v>
      </c>
      <c r="J538" s="31" t="s">
        <v>2280</v>
      </c>
      <c r="K538" s="31" t="s">
        <v>130</v>
      </c>
      <c r="L538" s="31" t="s">
        <v>210</v>
      </c>
      <c r="M538" s="31">
        <v>254</v>
      </c>
      <c r="N538" s="31">
        <v>2021</v>
      </c>
      <c r="O538" s="31">
        <v>160</v>
      </c>
      <c r="P538" s="31"/>
      <c r="Q538" s="31"/>
      <c r="R538" s="33"/>
      <c r="S538" s="34" t="str">
        <f>HYPERLINK("http://www.cnpol.ru/covers/19762.jpg","фото на сайте")</f>
        <v>фото на сайте</v>
      </c>
    </row>
    <row r="539" spans="1:19" ht="50.1" customHeight="1">
      <c r="A539" s="31"/>
      <c r="B539" s="32" t="s">
        <v>2281</v>
      </c>
      <c r="C539" s="31" t="s">
        <v>45</v>
      </c>
      <c r="D539" s="31" t="s">
        <v>182</v>
      </c>
      <c r="E539" s="31" t="s">
        <v>2282</v>
      </c>
      <c r="F539" s="31" t="s">
        <v>31</v>
      </c>
      <c r="G539" s="31">
        <v>855</v>
      </c>
      <c r="H539" s="31">
        <v>10</v>
      </c>
      <c r="I539" s="31">
        <v>14</v>
      </c>
      <c r="J539" s="31" t="s">
        <v>2283</v>
      </c>
      <c r="K539" s="31" t="s">
        <v>33</v>
      </c>
      <c r="L539" s="31" t="s">
        <v>34</v>
      </c>
      <c r="M539" s="31">
        <v>288</v>
      </c>
      <c r="N539" s="31">
        <v>2021</v>
      </c>
      <c r="O539" s="31">
        <v>358</v>
      </c>
      <c r="P539" s="31"/>
      <c r="Q539" s="31"/>
      <c r="R539" s="33"/>
      <c r="S539" s="34" t="str">
        <f>HYPERLINK("http://www.cnpol.ru/covers/19819.jpg","фото на сайте")</f>
        <v>фото на сайте</v>
      </c>
    </row>
    <row r="540" spans="1:19" ht="50.1" customHeight="1">
      <c r="A540" s="31"/>
      <c r="B540" s="32" t="s">
        <v>2284</v>
      </c>
      <c r="C540" s="31" t="s">
        <v>390</v>
      </c>
      <c r="D540" s="31" t="s">
        <v>2285</v>
      </c>
      <c r="E540" s="31" t="s">
        <v>2286</v>
      </c>
      <c r="F540" s="31">
        <v>1099</v>
      </c>
      <c r="G540" s="31">
        <v>86</v>
      </c>
      <c r="H540" s="31">
        <v>10</v>
      </c>
      <c r="I540" s="31">
        <v>30</v>
      </c>
      <c r="J540" s="31" t="s">
        <v>2287</v>
      </c>
      <c r="K540" s="31" t="s">
        <v>123</v>
      </c>
      <c r="L540" s="31" t="s">
        <v>56</v>
      </c>
      <c r="M540" s="31">
        <v>159</v>
      </c>
      <c r="N540" s="31">
        <v>2022</v>
      </c>
      <c r="O540" s="31">
        <v>76</v>
      </c>
      <c r="P540" s="31"/>
      <c r="Q540" s="31"/>
      <c r="R540" s="33"/>
      <c r="S540" s="34" t="str">
        <f>HYPERLINK("http://www.cnpol.ru/covers/20312.jpg","фото на сайте")</f>
        <v>фото на сайте</v>
      </c>
    </row>
    <row r="541" spans="1:19" ht="50.1" customHeight="1">
      <c r="A541" s="31" t="s">
        <v>43</v>
      </c>
      <c r="B541" s="32" t="s">
        <v>2288</v>
      </c>
      <c r="C541" s="31" t="s">
        <v>37</v>
      </c>
      <c r="D541" s="31" t="s">
        <v>2289</v>
      </c>
      <c r="E541" s="31" t="s">
        <v>2290</v>
      </c>
      <c r="F541" s="31" t="s">
        <v>31</v>
      </c>
      <c r="G541" s="35">
        <v>1076</v>
      </c>
      <c r="H541" s="31">
        <v>10</v>
      </c>
      <c r="I541" s="31">
        <v>5</v>
      </c>
      <c r="J541" s="31" t="s">
        <v>2291</v>
      </c>
      <c r="K541" s="31" t="s">
        <v>33</v>
      </c>
      <c r="L541" s="31" t="s">
        <v>34</v>
      </c>
      <c r="M541" s="31">
        <v>383</v>
      </c>
      <c r="N541" s="31">
        <v>2025</v>
      </c>
      <c r="O541" s="31">
        <v>402</v>
      </c>
      <c r="P541" s="31"/>
      <c r="Q541" s="31"/>
      <c r="R541" s="33" t="s">
        <v>2292</v>
      </c>
      <c r="S541" s="34" t="str">
        <f>HYPERLINK("http://www.cnpol.ru/covers/21607.jpg","фото на сайте")</f>
        <v>фото на сайте</v>
      </c>
    </row>
    <row r="542" spans="1:19" ht="50.1" customHeight="1">
      <c r="A542" s="31"/>
      <c r="B542" s="32" t="s">
        <v>2293</v>
      </c>
      <c r="C542" s="31" t="s">
        <v>390</v>
      </c>
      <c r="D542" s="31" t="s">
        <v>2294</v>
      </c>
      <c r="E542" s="31" t="s">
        <v>2295</v>
      </c>
      <c r="F542" s="31">
        <v>923</v>
      </c>
      <c r="G542" s="31">
        <v>86</v>
      </c>
      <c r="H542" s="31">
        <v>10</v>
      </c>
      <c r="I542" s="31">
        <v>30</v>
      </c>
      <c r="J542" s="31" t="s">
        <v>2296</v>
      </c>
      <c r="K542" s="31" t="s">
        <v>123</v>
      </c>
      <c r="L542" s="31" t="s">
        <v>56</v>
      </c>
      <c r="M542" s="31">
        <v>160</v>
      </c>
      <c r="N542" s="31">
        <v>2019</v>
      </c>
      <c r="O542" s="31">
        <v>76</v>
      </c>
      <c r="P542" s="31"/>
      <c r="Q542" s="31"/>
      <c r="R542" s="33"/>
      <c r="S542" s="34" t="str">
        <f>HYPERLINK("http://www.cnpol.ru/covers/18846.jpg","фото на сайте")</f>
        <v>фото на сайте</v>
      </c>
    </row>
    <row r="543" spans="1:19" ht="50.1" customHeight="1">
      <c r="A543" s="31"/>
      <c r="B543" s="32" t="s">
        <v>2297</v>
      </c>
      <c r="C543" s="31" t="s">
        <v>390</v>
      </c>
      <c r="D543" s="31" t="s">
        <v>1581</v>
      </c>
      <c r="E543" s="31" t="s">
        <v>2298</v>
      </c>
      <c r="F543" s="31">
        <v>602</v>
      </c>
      <c r="G543" s="31">
        <v>86</v>
      </c>
      <c r="H543" s="31">
        <v>10</v>
      </c>
      <c r="I543" s="31">
        <v>30</v>
      </c>
      <c r="J543" s="31" t="s">
        <v>2299</v>
      </c>
      <c r="K543" s="31" t="s">
        <v>123</v>
      </c>
      <c r="L543" s="31" t="s">
        <v>56</v>
      </c>
      <c r="M543" s="31">
        <v>160</v>
      </c>
      <c r="N543" s="31">
        <v>2016</v>
      </c>
      <c r="O543" s="31">
        <v>76</v>
      </c>
      <c r="P543" s="31"/>
      <c r="Q543" s="31"/>
      <c r="R543" s="33"/>
      <c r="S543" s="34" t="str">
        <f>HYPERLINK("http://www.cnpol.ru/covers/16633.jpg","фото на сайте")</f>
        <v>фото на сайте</v>
      </c>
    </row>
    <row r="544" spans="1:19" ht="50.1" customHeight="1">
      <c r="A544" s="31"/>
      <c r="B544" s="32" t="s">
        <v>2300</v>
      </c>
      <c r="C544" s="31" t="s">
        <v>576</v>
      </c>
      <c r="D544" s="31" t="s">
        <v>577</v>
      </c>
      <c r="E544" s="31" t="s">
        <v>2301</v>
      </c>
      <c r="F544" s="31" t="s">
        <v>31</v>
      </c>
      <c r="G544" s="31">
        <v>226</v>
      </c>
      <c r="H544" s="31">
        <v>10</v>
      </c>
      <c r="I544" s="31">
        <v>20</v>
      </c>
      <c r="J544" s="31" t="s">
        <v>2302</v>
      </c>
      <c r="K544" s="31" t="s">
        <v>123</v>
      </c>
      <c r="L544" s="31" t="s">
        <v>56</v>
      </c>
      <c r="M544" s="31">
        <v>320</v>
      </c>
      <c r="N544" s="31">
        <v>2017</v>
      </c>
      <c r="O544" s="31">
        <v>148</v>
      </c>
      <c r="P544" s="31"/>
      <c r="Q544" s="31"/>
      <c r="R544" s="33"/>
      <c r="S544" s="34" t="str">
        <f>HYPERLINK("http://www.cnpol.ru/covers/17354.jpg","фото на сайте")</f>
        <v>фото на сайте</v>
      </c>
    </row>
    <row r="545" spans="1:19" ht="50.1" customHeight="1">
      <c r="A545" s="31"/>
      <c r="B545" s="32" t="s">
        <v>2303</v>
      </c>
      <c r="C545" s="31" t="s">
        <v>581</v>
      </c>
      <c r="D545" s="31" t="s">
        <v>577</v>
      </c>
      <c r="E545" s="31" t="s">
        <v>2301</v>
      </c>
      <c r="F545" s="31" t="s">
        <v>31</v>
      </c>
      <c r="G545" s="31">
        <v>194</v>
      </c>
      <c r="H545" s="31">
        <v>10</v>
      </c>
      <c r="I545" s="31">
        <v>24</v>
      </c>
      <c r="J545" s="31" t="s">
        <v>2304</v>
      </c>
      <c r="K545" s="31" t="s">
        <v>123</v>
      </c>
      <c r="L545" s="31" t="s">
        <v>56</v>
      </c>
      <c r="M545" s="31">
        <v>315</v>
      </c>
      <c r="N545" s="31">
        <v>2012</v>
      </c>
      <c r="O545" s="31">
        <v>150</v>
      </c>
      <c r="P545" s="31"/>
      <c r="Q545" s="31"/>
      <c r="R545" s="33"/>
      <c r="S545" s="34" t="str">
        <f>HYPERLINK("http://www.cnpol.ru/covers/13314.jpg","фото на сайте")</f>
        <v>фото на сайте</v>
      </c>
    </row>
    <row r="546" spans="1:19" ht="50.1" customHeight="1">
      <c r="A546" s="31"/>
      <c r="B546" s="32" t="s">
        <v>2305</v>
      </c>
      <c r="C546" s="31" t="s">
        <v>390</v>
      </c>
      <c r="D546" s="31" t="s">
        <v>2306</v>
      </c>
      <c r="E546" s="31" t="s">
        <v>2307</v>
      </c>
      <c r="F546" s="31">
        <v>1110</v>
      </c>
      <c r="G546" s="31">
        <v>86</v>
      </c>
      <c r="H546" s="31">
        <v>10</v>
      </c>
      <c r="I546" s="31">
        <v>30</v>
      </c>
      <c r="J546" s="31" t="s">
        <v>2308</v>
      </c>
      <c r="K546" s="31" t="s">
        <v>123</v>
      </c>
      <c r="L546" s="31" t="s">
        <v>56</v>
      </c>
      <c r="M546" s="31">
        <v>159</v>
      </c>
      <c r="N546" s="31">
        <v>2022</v>
      </c>
      <c r="O546" s="31">
        <v>76</v>
      </c>
      <c r="P546" s="31"/>
      <c r="Q546" s="31"/>
      <c r="R546" s="33" t="s">
        <v>2309</v>
      </c>
      <c r="S546" s="34" t="str">
        <f>HYPERLINK("http://www.cnpol.ru/covers/20415.jpg","фото на сайте")</f>
        <v>фото на сайте</v>
      </c>
    </row>
    <row r="547" spans="1:19" ht="50.1" customHeight="1">
      <c r="A547" s="31"/>
      <c r="B547" s="32" t="s">
        <v>2310</v>
      </c>
      <c r="C547" s="31" t="s">
        <v>390</v>
      </c>
      <c r="D547" s="31" t="s">
        <v>1628</v>
      </c>
      <c r="E547" s="31" t="s">
        <v>2311</v>
      </c>
      <c r="F547" s="31">
        <v>1117</v>
      </c>
      <c r="G547" s="31">
        <v>86</v>
      </c>
      <c r="H547" s="31">
        <v>10</v>
      </c>
      <c r="I547" s="31">
        <v>30</v>
      </c>
      <c r="J547" s="31" t="s">
        <v>2312</v>
      </c>
      <c r="K547" s="31" t="s">
        <v>123</v>
      </c>
      <c r="L547" s="31" t="s">
        <v>56</v>
      </c>
      <c r="M547" s="31">
        <v>159</v>
      </c>
      <c r="N547" s="31">
        <v>2022</v>
      </c>
      <c r="O547" s="31">
        <v>76</v>
      </c>
      <c r="P547" s="31"/>
      <c r="Q547" s="31"/>
      <c r="R547" s="33" t="s">
        <v>2313</v>
      </c>
      <c r="S547" s="34" t="str">
        <f>HYPERLINK("http://www.cnpol.ru/covers/20441.jpg","фото на сайте")</f>
        <v>фото на сайте</v>
      </c>
    </row>
    <row r="548" spans="1:19" ht="50.1" customHeight="1">
      <c r="A548" s="31" t="s">
        <v>43</v>
      </c>
      <c r="B548" s="32" t="s">
        <v>2314</v>
      </c>
      <c r="C548" s="31" t="s">
        <v>390</v>
      </c>
      <c r="D548" s="31" t="s">
        <v>2315</v>
      </c>
      <c r="E548" s="31" t="s">
        <v>2316</v>
      </c>
      <c r="F548" s="31">
        <v>1178</v>
      </c>
      <c r="G548" s="31">
        <v>86</v>
      </c>
      <c r="H548" s="31">
        <v>10</v>
      </c>
      <c r="I548" s="31">
        <v>30</v>
      </c>
      <c r="J548" s="31" t="s">
        <v>2317</v>
      </c>
      <c r="K548" s="31" t="s">
        <v>123</v>
      </c>
      <c r="L548" s="31" t="s">
        <v>56</v>
      </c>
      <c r="M548" s="31">
        <v>159</v>
      </c>
      <c r="N548" s="31">
        <v>2024</v>
      </c>
      <c r="O548" s="31">
        <v>76</v>
      </c>
      <c r="P548" s="31"/>
      <c r="Q548" s="31"/>
      <c r="R548" s="33" t="s">
        <v>2318</v>
      </c>
      <c r="S548" s="34" t="str">
        <f>HYPERLINK("http://www.cnpol.ru/covers/21234.jpg","фото на сайте")</f>
        <v>фото на сайте</v>
      </c>
    </row>
    <row r="549" spans="1:19" ht="50.1" customHeight="1">
      <c r="A549" s="31"/>
      <c r="B549" s="32" t="s">
        <v>2319</v>
      </c>
      <c r="C549" s="31" t="s">
        <v>390</v>
      </c>
      <c r="D549" s="31" t="s">
        <v>1461</v>
      </c>
      <c r="E549" s="31" t="s">
        <v>2320</v>
      </c>
      <c r="F549" s="31">
        <v>1054</v>
      </c>
      <c r="G549" s="31">
        <v>86</v>
      </c>
      <c r="H549" s="31">
        <v>10</v>
      </c>
      <c r="I549" s="31">
        <v>30</v>
      </c>
      <c r="J549" s="31" t="s">
        <v>2321</v>
      </c>
      <c r="K549" s="31" t="s">
        <v>123</v>
      </c>
      <c r="L549" s="31" t="s">
        <v>56</v>
      </c>
      <c r="M549" s="31">
        <v>159</v>
      </c>
      <c r="N549" s="31">
        <v>2021</v>
      </c>
      <c r="O549" s="31">
        <v>76</v>
      </c>
      <c r="P549" s="31"/>
      <c r="Q549" s="31"/>
      <c r="R549" s="33"/>
      <c r="S549" s="34" t="str">
        <f>HYPERLINK("http://www.cnpol.ru/covers/19863.jpg","фото на сайте")</f>
        <v>фото на сайте</v>
      </c>
    </row>
    <row r="550" spans="1:19" ht="50.1" customHeight="1">
      <c r="A550" s="31"/>
      <c r="B550" s="32" t="s">
        <v>2322</v>
      </c>
      <c r="C550" s="31" t="s">
        <v>390</v>
      </c>
      <c r="D550" s="31" t="s">
        <v>2294</v>
      </c>
      <c r="E550" s="31" t="s">
        <v>2323</v>
      </c>
      <c r="F550" s="31">
        <v>1161</v>
      </c>
      <c r="G550" s="31">
        <v>86</v>
      </c>
      <c r="H550" s="31">
        <v>10</v>
      </c>
      <c r="I550" s="31">
        <v>30</v>
      </c>
      <c r="J550" s="31" t="s">
        <v>2324</v>
      </c>
      <c r="K550" s="31" t="s">
        <v>123</v>
      </c>
      <c r="L550" s="31" t="s">
        <v>56</v>
      </c>
      <c r="M550" s="31">
        <v>159</v>
      </c>
      <c r="N550" s="31">
        <v>2024</v>
      </c>
      <c r="O550" s="31">
        <v>76</v>
      </c>
      <c r="P550" s="31"/>
      <c r="Q550" s="31"/>
      <c r="R550" s="33" t="s">
        <v>2325</v>
      </c>
      <c r="S550" s="34" t="str">
        <f>HYPERLINK("http://www.cnpol.ru/covers/20941.jpg","фото на сайте")</f>
        <v>фото на сайте</v>
      </c>
    </row>
    <row r="551" spans="1:19" ht="50.1" customHeight="1">
      <c r="A551" s="31"/>
      <c r="B551" s="32" t="s">
        <v>2326</v>
      </c>
      <c r="C551" s="31" t="s">
        <v>390</v>
      </c>
      <c r="D551" s="31" t="s">
        <v>1705</v>
      </c>
      <c r="E551" s="31" t="s">
        <v>2327</v>
      </c>
      <c r="F551" s="31">
        <v>467</v>
      </c>
      <c r="G551" s="31">
        <v>86</v>
      </c>
      <c r="H551" s="31">
        <v>10</v>
      </c>
      <c r="I551" s="31">
        <v>30</v>
      </c>
      <c r="J551" s="31" t="s">
        <v>2328</v>
      </c>
      <c r="K551" s="31" t="s">
        <v>123</v>
      </c>
      <c r="L551" s="31" t="s">
        <v>56</v>
      </c>
      <c r="M551" s="31">
        <v>158</v>
      </c>
      <c r="N551" s="31">
        <v>2014</v>
      </c>
      <c r="O551" s="31">
        <v>76</v>
      </c>
      <c r="P551" s="31"/>
      <c r="Q551" s="31"/>
      <c r="R551" s="33"/>
      <c r="S551" s="34" t="str">
        <f>HYPERLINK("http://www.cnpol.ru/covers/15596.jpg","фото на сайте")</f>
        <v>фото на сайте</v>
      </c>
    </row>
    <row r="552" spans="1:19" ht="50.1" customHeight="1">
      <c r="A552" s="31"/>
      <c r="B552" s="32" t="s">
        <v>2329</v>
      </c>
      <c r="C552" s="31" t="s">
        <v>37</v>
      </c>
      <c r="D552" s="31" t="s">
        <v>2330</v>
      </c>
      <c r="E552" s="31" t="s">
        <v>2331</v>
      </c>
      <c r="F552" s="31" t="s">
        <v>31</v>
      </c>
      <c r="G552" s="35">
        <v>1730</v>
      </c>
      <c r="H552" s="31">
        <v>10</v>
      </c>
      <c r="I552" s="31">
        <v>6</v>
      </c>
      <c r="J552" s="31" t="s">
        <v>2332</v>
      </c>
      <c r="K552" s="31" t="s">
        <v>41</v>
      </c>
      <c r="L552" s="31" t="s">
        <v>34</v>
      </c>
      <c r="M552" s="31">
        <v>671</v>
      </c>
      <c r="N552" s="31">
        <v>2021</v>
      </c>
      <c r="O552" s="31">
        <v>556</v>
      </c>
      <c r="P552" s="31"/>
      <c r="Q552" s="31"/>
      <c r="R552" s="33"/>
      <c r="S552" s="34" t="str">
        <f>HYPERLINK("http://www.cnpol.ru/covers/19657.jpg","фото на сайте")</f>
        <v>фото на сайте</v>
      </c>
    </row>
    <row r="553" spans="1:19" ht="50.1" customHeight="1">
      <c r="A553" s="31" t="s">
        <v>35</v>
      </c>
      <c r="B553" s="32" t="s">
        <v>2333</v>
      </c>
      <c r="C553" s="31" t="s">
        <v>37</v>
      </c>
      <c r="D553" s="31" t="s">
        <v>2334</v>
      </c>
      <c r="E553" s="31" t="s">
        <v>2335</v>
      </c>
      <c r="F553" s="31" t="s">
        <v>31</v>
      </c>
      <c r="G553" s="31">
        <v>912</v>
      </c>
      <c r="H553" s="31">
        <v>10</v>
      </c>
      <c r="I553" s="31">
        <v>5</v>
      </c>
      <c r="J553" s="31" t="s">
        <v>2336</v>
      </c>
      <c r="K553" s="31" t="s">
        <v>33</v>
      </c>
      <c r="L553" s="31" t="s">
        <v>34</v>
      </c>
      <c r="M553" s="31">
        <v>287</v>
      </c>
      <c r="N553" s="31">
        <v>2025</v>
      </c>
      <c r="O553" s="31" t="s">
        <v>220</v>
      </c>
      <c r="P553" s="31"/>
      <c r="Q553" s="31"/>
      <c r="R553" s="33" t="s">
        <v>2337</v>
      </c>
      <c r="S553" s="34" t="str">
        <f>HYPERLINK("http://www.cnpol.ru/covers/21857.jpg","фото на сайте")</f>
        <v>фото на сайте</v>
      </c>
    </row>
    <row r="554" spans="1:19" ht="50.1" customHeight="1">
      <c r="A554" s="31"/>
      <c r="B554" s="32" t="s">
        <v>2338</v>
      </c>
      <c r="C554" s="31" t="s">
        <v>400</v>
      </c>
      <c r="D554" s="31" t="s">
        <v>2339</v>
      </c>
      <c r="E554" s="31" t="s">
        <v>2340</v>
      </c>
      <c r="F554" s="31" t="s">
        <v>31</v>
      </c>
      <c r="G554" s="31">
        <v>503</v>
      </c>
      <c r="H554" s="31">
        <v>10</v>
      </c>
      <c r="I554" s="31">
        <v>14</v>
      </c>
      <c r="J554" s="31" t="s">
        <v>2341</v>
      </c>
      <c r="K554" s="31" t="s">
        <v>33</v>
      </c>
      <c r="L554" s="31" t="s">
        <v>34</v>
      </c>
      <c r="M554" s="31">
        <v>319</v>
      </c>
      <c r="N554" s="31">
        <v>2022</v>
      </c>
      <c r="O554" s="31">
        <v>276</v>
      </c>
      <c r="P554" s="31"/>
      <c r="Q554" s="31"/>
      <c r="R554" s="33"/>
      <c r="S554" s="34" t="str">
        <f>HYPERLINK("http://www.cnpol.ru/covers/20269.jpg","фото на сайте")</f>
        <v>фото на сайте</v>
      </c>
    </row>
    <row r="555" spans="1:19" ht="50.1" customHeight="1">
      <c r="A555" s="31"/>
      <c r="B555" s="32" t="s">
        <v>2342</v>
      </c>
      <c r="C555" s="31" t="s">
        <v>418</v>
      </c>
      <c r="D555" s="31" t="s">
        <v>2343</v>
      </c>
      <c r="E555" s="31" t="s">
        <v>2344</v>
      </c>
      <c r="F555" s="31">
        <v>51</v>
      </c>
      <c r="G555" s="31">
        <v>153</v>
      </c>
      <c r="H555" s="31">
        <v>10</v>
      </c>
      <c r="I555" s="31">
        <v>30</v>
      </c>
      <c r="J555" s="31" t="s">
        <v>2345</v>
      </c>
      <c r="K555" s="31" t="s">
        <v>123</v>
      </c>
      <c r="L555" s="31" t="s">
        <v>56</v>
      </c>
      <c r="M555" s="31">
        <v>256</v>
      </c>
      <c r="N555" s="31">
        <v>2014</v>
      </c>
      <c r="O555" s="31">
        <v>120</v>
      </c>
      <c r="P555" s="31"/>
      <c r="Q555" s="31"/>
      <c r="R555" s="33"/>
      <c r="S555" s="34" t="str">
        <f>HYPERLINK("http://www.cnpol.ru/covers/15300.jpg","фото на сайте")</f>
        <v>фото на сайте</v>
      </c>
    </row>
    <row r="556" spans="1:19" ht="50.1" customHeight="1">
      <c r="A556" s="31"/>
      <c r="B556" s="32" t="s">
        <v>2346</v>
      </c>
      <c r="C556" s="31" t="s">
        <v>1323</v>
      </c>
      <c r="D556" s="31" t="s">
        <v>2347</v>
      </c>
      <c r="E556" s="31" t="s">
        <v>2348</v>
      </c>
      <c r="F556" s="31" t="s">
        <v>31</v>
      </c>
      <c r="G556" s="31">
        <v>169</v>
      </c>
      <c r="H556" s="31">
        <v>10</v>
      </c>
      <c r="I556" s="31">
        <v>32</v>
      </c>
      <c r="J556" s="31" t="s">
        <v>2349</v>
      </c>
      <c r="K556" s="31" t="s">
        <v>55</v>
      </c>
      <c r="L556" s="31" t="s">
        <v>56</v>
      </c>
      <c r="M556" s="31">
        <v>320</v>
      </c>
      <c r="N556" s="31">
        <v>2021</v>
      </c>
      <c r="O556" s="31">
        <v>136</v>
      </c>
      <c r="P556" s="31"/>
      <c r="Q556" s="31"/>
      <c r="R556" s="33"/>
      <c r="S556" s="34" t="str">
        <f>HYPERLINK("http://www.cnpol.ru/covers/19533.jpg","фото на сайте")</f>
        <v>фото на сайте</v>
      </c>
    </row>
    <row r="557" spans="1:19" ht="50.1" customHeight="1">
      <c r="A557" s="31"/>
      <c r="B557" s="32" t="s">
        <v>2350</v>
      </c>
      <c r="C557" s="31" t="s">
        <v>423</v>
      </c>
      <c r="D557" s="31" t="s">
        <v>2351</v>
      </c>
      <c r="E557" s="31" t="s">
        <v>2352</v>
      </c>
      <c r="F557" s="31" t="s">
        <v>31</v>
      </c>
      <c r="G557" s="31">
        <v>154</v>
      </c>
      <c r="H557" s="31">
        <v>10</v>
      </c>
      <c r="I557" s="31">
        <v>32</v>
      </c>
      <c r="J557" s="31" t="s">
        <v>2353</v>
      </c>
      <c r="K557" s="31" t="s">
        <v>55</v>
      </c>
      <c r="L557" s="31" t="s">
        <v>56</v>
      </c>
      <c r="M557" s="31">
        <v>286</v>
      </c>
      <c r="N557" s="31">
        <v>2011</v>
      </c>
      <c r="O557" s="31">
        <v>124</v>
      </c>
      <c r="P557" s="31"/>
      <c r="Q557" s="31"/>
      <c r="R557" s="33"/>
      <c r="S557" s="34" t="str">
        <f>HYPERLINK("http://www.cnpol.ru/covers/12710.jpg","фото на сайте")</f>
        <v>фото на сайте</v>
      </c>
    </row>
    <row r="558" spans="1:19" ht="50.1" customHeight="1">
      <c r="A558" s="31"/>
      <c r="B558" s="32" t="s">
        <v>2354</v>
      </c>
      <c r="C558" s="31" t="s">
        <v>546</v>
      </c>
      <c r="D558" s="31" t="s">
        <v>2355</v>
      </c>
      <c r="E558" s="31" t="s">
        <v>2356</v>
      </c>
      <c r="F558" s="31">
        <v>125</v>
      </c>
      <c r="G558" s="31">
        <v>93</v>
      </c>
      <c r="H558" s="31">
        <v>10</v>
      </c>
      <c r="I558" s="31">
        <v>30</v>
      </c>
      <c r="J558" s="31" t="s">
        <v>2357</v>
      </c>
      <c r="K558" s="31" t="s">
        <v>123</v>
      </c>
      <c r="L558" s="31" t="s">
        <v>56</v>
      </c>
      <c r="M558" s="31">
        <v>158</v>
      </c>
      <c r="N558" s="31">
        <v>2015</v>
      </c>
      <c r="O558" s="31">
        <v>76</v>
      </c>
      <c r="P558" s="31"/>
      <c r="Q558" s="31"/>
      <c r="R558" s="33"/>
      <c r="S558" s="34" t="str">
        <f>HYPERLINK("http://www.cnpol.ru/covers/16091.jpg","фото на сайте")</f>
        <v>фото на сайте</v>
      </c>
    </row>
    <row r="559" spans="1:19" ht="50.1" customHeight="1">
      <c r="A559" s="31"/>
      <c r="B559" s="32" t="s">
        <v>2358</v>
      </c>
      <c r="C559" s="31" t="s">
        <v>546</v>
      </c>
      <c r="D559" s="31" t="s">
        <v>2359</v>
      </c>
      <c r="E559" s="31" t="s">
        <v>2360</v>
      </c>
      <c r="F559" s="31">
        <v>180</v>
      </c>
      <c r="G559" s="31">
        <v>93</v>
      </c>
      <c r="H559" s="31">
        <v>10</v>
      </c>
      <c r="I559" s="31">
        <v>30</v>
      </c>
      <c r="J559" s="31" t="s">
        <v>2361</v>
      </c>
      <c r="K559" s="31" t="s">
        <v>123</v>
      </c>
      <c r="L559" s="31" t="s">
        <v>56</v>
      </c>
      <c r="M559" s="31">
        <v>160</v>
      </c>
      <c r="N559" s="31">
        <v>2016</v>
      </c>
      <c r="O559" s="31">
        <v>76</v>
      </c>
      <c r="P559" s="31"/>
      <c r="Q559" s="31"/>
      <c r="R559" s="33"/>
      <c r="S559" s="34" t="str">
        <f>HYPERLINK("http://www.cnpol.ru/covers/16920.jpg","фото на сайте")</f>
        <v>фото на сайте</v>
      </c>
    </row>
    <row r="560" spans="1:19" ht="50.1" customHeight="1">
      <c r="A560" s="31"/>
      <c r="B560" s="32" t="s">
        <v>2362</v>
      </c>
      <c r="C560" s="31" t="s">
        <v>413</v>
      </c>
      <c r="D560" s="31" t="s">
        <v>2094</v>
      </c>
      <c r="E560" s="31" t="s">
        <v>2363</v>
      </c>
      <c r="F560" s="31">
        <v>37</v>
      </c>
      <c r="G560" s="31">
        <v>117</v>
      </c>
      <c r="H560" s="31">
        <v>10</v>
      </c>
      <c r="I560" s="31">
        <v>36</v>
      </c>
      <c r="J560" s="31" t="s">
        <v>2364</v>
      </c>
      <c r="K560" s="31" t="s">
        <v>123</v>
      </c>
      <c r="L560" s="31" t="s">
        <v>56</v>
      </c>
      <c r="M560" s="31">
        <v>190</v>
      </c>
      <c r="N560" s="31">
        <v>2014</v>
      </c>
      <c r="O560" s="31">
        <v>92</v>
      </c>
      <c r="P560" s="31"/>
      <c r="Q560" s="31"/>
      <c r="R560" s="33"/>
      <c r="S560" s="34" t="str">
        <f>HYPERLINK("http://www.cnpol.ru/covers/15696.jpg","фото на сайте")</f>
        <v>фото на сайте</v>
      </c>
    </row>
    <row r="561" spans="1:19" ht="50.1" customHeight="1">
      <c r="A561" s="31"/>
      <c r="B561" s="32" t="s">
        <v>2365</v>
      </c>
      <c r="C561" s="31" t="s">
        <v>400</v>
      </c>
      <c r="D561" s="31" t="s">
        <v>2366</v>
      </c>
      <c r="E561" s="31" t="s">
        <v>2367</v>
      </c>
      <c r="F561" s="31" t="s">
        <v>31</v>
      </c>
      <c r="G561" s="31">
        <v>503</v>
      </c>
      <c r="H561" s="31">
        <v>10</v>
      </c>
      <c r="I561" s="31">
        <v>14</v>
      </c>
      <c r="J561" s="31" t="s">
        <v>2368</v>
      </c>
      <c r="K561" s="31" t="s">
        <v>33</v>
      </c>
      <c r="L561" s="31" t="s">
        <v>34</v>
      </c>
      <c r="M561" s="31">
        <v>288</v>
      </c>
      <c r="N561" s="31">
        <v>2017</v>
      </c>
      <c r="O561" s="31">
        <v>276</v>
      </c>
      <c r="P561" s="31"/>
      <c r="Q561" s="31"/>
      <c r="R561" s="33"/>
      <c r="S561" s="34" t="str">
        <f>HYPERLINK("http://www.cnpol.ru/covers/17720.jpg","фото на сайте")</f>
        <v>фото на сайте</v>
      </c>
    </row>
    <row r="562" spans="1:19" ht="50.1" customHeight="1">
      <c r="A562" s="31"/>
      <c r="B562" s="32" t="s">
        <v>2369</v>
      </c>
      <c r="C562" s="31" t="s">
        <v>37</v>
      </c>
      <c r="D562" s="31" t="s">
        <v>2370</v>
      </c>
      <c r="E562" s="31" t="s">
        <v>2371</v>
      </c>
      <c r="F562" s="31" t="s">
        <v>31</v>
      </c>
      <c r="G562" s="31">
        <v>461</v>
      </c>
      <c r="H562" s="31">
        <v>10</v>
      </c>
      <c r="I562" s="31">
        <v>18</v>
      </c>
      <c r="J562" s="31" t="s">
        <v>2372</v>
      </c>
      <c r="K562" s="31" t="s">
        <v>33</v>
      </c>
      <c r="L562" s="31" t="s">
        <v>34</v>
      </c>
      <c r="M562" s="31">
        <v>255</v>
      </c>
      <c r="N562" s="31">
        <v>2022</v>
      </c>
      <c r="O562" s="31">
        <v>290</v>
      </c>
      <c r="P562" s="31"/>
      <c r="Q562" s="31"/>
      <c r="R562" s="33" t="s">
        <v>2373</v>
      </c>
      <c r="S562" s="34" t="str">
        <f>HYPERLINK("http://www.cnpol.ru/covers/20475.jpg","фото на сайте")</f>
        <v>фото на сайте</v>
      </c>
    </row>
    <row r="563" spans="1:19" ht="50.1" customHeight="1">
      <c r="A563" s="31"/>
      <c r="B563" s="32" t="s">
        <v>2374</v>
      </c>
      <c r="C563" s="31" t="s">
        <v>1050</v>
      </c>
      <c r="D563" s="31" t="s">
        <v>2375</v>
      </c>
      <c r="E563" s="31" t="s">
        <v>2376</v>
      </c>
      <c r="F563" s="31" t="s">
        <v>31</v>
      </c>
      <c r="G563" s="31">
        <v>386</v>
      </c>
      <c r="H563" s="31">
        <v>10</v>
      </c>
      <c r="I563" s="31">
        <v>16</v>
      </c>
      <c r="J563" s="31" t="s">
        <v>2377</v>
      </c>
      <c r="K563" s="31" t="s">
        <v>33</v>
      </c>
      <c r="L563" s="31" t="s">
        <v>210</v>
      </c>
      <c r="M563" s="31">
        <v>349</v>
      </c>
      <c r="N563" s="31">
        <v>2023</v>
      </c>
      <c r="O563" s="31">
        <v>262</v>
      </c>
      <c r="P563" s="31"/>
      <c r="Q563" s="31"/>
      <c r="R563" s="33" t="s">
        <v>2378</v>
      </c>
      <c r="S563" s="34" t="str">
        <f>HYPERLINK("http://www.cnpol.ru/covers/20659.jpg","фото на сайте")</f>
        <v>фото на сайте</v>
      </c>
    </row>
    <row r="564" spans="1:19" ht="50.1" customHeight="1">
      <c r="A564" s="31"/>
      <c r="B564" s="32" t="s">
        <v>2379</v>
      </c>
      <c r="C564" s="31" t="s">
        <v>1016</v>
      </c>
      <c r="D564" s="31" t="s">
        <v>2375</v>
      </c>
      <c r="E564" s="31" t="s">
        <v>2380</v>
      </c>
      <c r="F564" s="31" t="s">
        <v>31</v>
      </c>
      <c r="G564" s="31">
        <v>917</v>
      </c>
      <c r="H564" s="31">
        <v>10</v>
      </c>
      <c r="I564" s="31">
        <v>12</v>
      </c>
      <c r="J564" s="31" t="s">
        <v>2381</v>
      </c>
      <c r="K564" s="31" t="s">
        <v>33</v>
      </c>
      <c r="L564" s="31" t="s">
        <v>34</v>
      </c>
      <c r="M564" s="31">
        <v>447</v>
      </c>
      <c r="N564" s="31">
        <v>2023</v>
      </c>
      <c r="O564" s="31">
        <v>487</v>
      </c>
      <c r="P564" s="31"/>
      <c r="Q564" s="31"/>
      <c r="R564" s="33" t="s">
        <v>2382</v>
      </c>
      <c r="S564" s="34" t="str">
        <f>HYPERLINK("http://www.cnpol.ru/covers/20844.jpg","фото на сайте")</f>
        <v>фото на сайте</v>
      </c>
    </row>
    <row r="565" spans="1:19" ht="50.1" customHeight="1">
      <c r="A565" s="31"/>
      <c r="B565" s="32" t="s">
        <v>2383</v>
      </c>
      <c r="C565" s="31" t="s">
        <v>2056</v>
      </c>
      <c r="D565" s="31" t="s">
        <v>2384</v>
      </c>
      <c r="E565" s="31" t="s">
        <v>2385</v>
      </c>
      <c r="F565" s="31" t="s">
        <v>31</v>
      </c>
      <c r="G565" s="35">
        <v>1125</v>
      </c>
      <c r="H565" s="31">
        <v>10</v>
      </c>
      <c r="I565" s="31">
        <v>10</v>
      </c>
      <c r="J565" s="31" t="s">
        <v>2386</v>
      </c>
      <c r="K565" s="31" t="s">
        <v>33</v>
      </c>
      <c r="L565" s="31" t="s">
        <v>34</v>
      </c>
      <c r="M565" s="31">
        <v>448</v>
      </c>
      <c r="N565" s="31">
        <v>2023</v>
      </c>
      <c r="O565" s="31">
        <v>346</v>
      </c>
      <c r="P565" s="31"/>
      <c r="Q565" s="31"/>
      <c r="R565" s="33" t="s">
        <v>2387</v>
      </c>
      <c r="S565" s="34" t="str">
        <f>HYPERLINK("http://www.cnpol.ru/covers/20585.jpg","фото на сайте")</f>
        <v>фото на сайте</v>
      </c>
    </row>
    <row r="566" spans="1:19" ht="50.1" customHeight="1">
      <c r="A566" s="31" t="s">
        <v>43</v>
      </c>
      <c r="B566" s="32" t="s">
        <v>2388</v>
      </c>
      <c r="C566" s="31" t="s">
        <v>1016</v>
      </c>
      <c r="D566" s="31" t="s">
        <v>2389</v>
      </c>
      <c r="E566" s="31" t="s">
        <v>2390</v>
      </c>
      <c r="F566" s="31" t="s">
        <v>31</v>
      </c>
      <c r="G566" s="31">
        <v>966</v>
      </c>
      <c r="H566" s="31">
        <v>10</v>
      </c>
      <c r="I566" s="31">
        <v>5</v>
      </c>
      <c r="J566" s="31" t="s">
        <v>2391</v>
      </c>
      <c r="K566" s="31" t="s">
        <v>33</v>
      </c>
      <c r="L566" s="31" t="s">
        <v>34</v>
      </c>
      <c r="M566" s="31">
        <v>351</v>
      </c>
      <c r="N566" s="31">
        <v>2025</v>
      </c>
      <c r="O566" s="31" t="s">
        <v>220</v>
      </c>
      <c r="P566" s="31"/>
      <c r="Q566" s="31"/>
      <c r="R566" s="33" t="s">
        <v>2392</v>
      </c>
      <c r="S566" s="34" t="str">
        <f>HYPERLINK("http://www.cnpol.ru/covers/21806.jpg","фото на сайте")</f>
        <v>фото на сайте</v>
      </c>
    </row>
    <row r="567" spans="1:19" ht="50.1" customHeight="1">
      <c r="A567" s="31" t="s">
        <v>35</v>
      </c>
      <c r="B567" s="32" t="s">
        <v>2393</v>
      </c>
      <c r="C567" s="31" t="s">
        <v>37</v>
      </c>
      <c r="D567" s="31" t="s">
        <v>2394</v>
      </c>
      <c r="E567" s="31" t="s">
        <v>2395</v>
      </c>
      <c r="F567" s="31" t="s">
        <v>31</v>
      </c>
      <c r="G567" s="31">
        <v>961</v>
      </c>
      <c r="H567" s="31">
        <v>10</v>
      </c>
      <c r="I567" s="31">
        <v>18</v>
      </c>
      <c r="J567" s="31" t="s">
        <v>2396</v>
      </c>
      <c r="K567" s="31" t="s">
        <v>33</v>
      </c>
      <c r="L567" s="31" t="s">
        <v>34</v>
      </c>
      <c r="M567" s="31">
        <v>350</v>
      </c>
      <c r="N567" s="31" t="s">
        <v>431</v>
      </c>
      <c r="O567" s="31">
        <v>306</v>
      </c>
      <c r="P567" s="31"/>
      <c r="Q567" s="31"/>
      <c r="R567" s="33" t="s">
        <v>2397</v>
      </c>
      <c r="S567" s="34" t="str">
        <f>HYPERLINK("http://www.cnpol.ru/covers/21404.jpg","фото на сайте")</f>
        <v>фото на сайте</v>
      </c>
    </row>
    <row r="568" spans="1:19" ht="50.1" customHeight="1">
      <c r="A568" s="31" t="s">
        <v>35</v>
      </c>
      <c r="B568" s="32" t="s">
        <v>2398</v>
      </c>
      <c r="C568" s="31" t="s">
        <v>37</v>
      </c>
      <c r="D568" s="31" t="s">
        <v>2399</v>
      </c>
      <c r="E568" s="31" t="s">
        <v>2400</v>
      </c>
      <c r="F568" s="31" t="s">
        <v>31</v>
      </c>
      <c r="G568" s="35">
        <v>1488</v>
      </c>
      <c r="H568" s="31">
        <v>10</v>
      </c>
      <c r="I568" s="31">
        <v>6</v>
      </c>
      <c r="J568" s="31" t="s">
        <v>2401</v>
      </c>
      <c r="K568" s="31" t="s">
        <v>33</v>
      </c>
      <c r="L568" s="31" t="s">
        <v>34</v>
      </c>
      <c r="M568" s="31">
        <v>540</v>
      </c>
      <c r="N568" s="31">
        <v>2025</v>
      </c>
      <c r="O568" s="31">
        <v>644</v>
      </c>
      <c r="P568" s="31"/>
      <c r="Q568" s="31"/>
      <c r="R568" s="33" t="s">
        <v>2402</v>
      </c>
      <c r="S568" s="34" t="str">
        <f>HYPERLINK("http://www.cnpol.ru/covers/21553.jpg","фото на сайте")</f>
        <v>фото на сайте</v>
      </c>
    </row>
    <row r="569" spans="1:19" ht="50.1" customHeight="1">
      <c r="A569" s="31"/>
      <c r="B569" s="32" t="s">
        <v>2403</v>
      </c>
      <c r="C569" s="31" t="s">
        <v>45</v>
      </c>
      <c r="D569" s="31" t="s">
        <v>2404</v>
      </c>
      <c r="E569" s="31" t="s">
        <v>2405</v>
      </c>
      <c r="F569" s="31" t="s">
        <v>31</v>
      </c>
      <c r="G569" s="35">
        <v>1058</v>
      </c>
      <c r="H569" s="31">
        <v>10</v>
      </c>
      <c r="I569" s="31">
        <v>7</v>
      </c>
      <c r="J569" s="31" t="s">
        <v>2406</v>
      </c>
      <c r="K569" s="31" t="s">
        <v>147</v>
      </c>
      <c r="L569" s="31" t="s">
        <v>34</v>
      </c>
      <c r="M569" s="31">
        <v>397</v>
      </c>
      <c r="N569" s="31">
        <v>2012</v>
      </c>
      <c r="O569" s="31">
        <v>712</v>
      </c>
      <c r="P569" s="31"/>
      <c r="Q569" s="31"/>
      <c r="R569" s="33"/>
      <c r="S569" s="34" t="str">
        <f>HYPERLINK("http://www.cnpol.ru/covers/13596.jpg","фото на сайте")</f>
        <v>фото на сайте</v>
      </c>
    </row>
    <row r="570" spans="1:19" ht="50.1" customHeight="1">
      <c r="A570" s="31"/>
      <c r="B570" s="32" t="s">
        <v>2407</v>
      </c>
      <c r="C570" s="31" t="s">
        <v>479</v>
      </c>
      <c r="D570" s="31" t="s">
        <v>2408</v>
      </c>
      <c r="E570" s="31" t="s">
        <v>2409</v>
      </c>
      <c r="F570" s="31" t="s">
        <v>31</v>
      </c>
      <c r="G570" s="31">
        <v>611</v>
      </c>
      <c r="H570" s="31">
        <v>10</v>
      </c>
      <c r="I570" s="31">
        <v>14</v>
      </c>
      <c r="J570" s="31" t="s">
        <v>2410</v>
      </c>
      <c r="K570" s="31" t="s">
        <v>33</v>
      </c>
      <c r="L570" s="31" t="s">
        <v>34</v>
      </c>
      <c r="M570" s="31">
        <v>320</v>
      </c>
      <c r="N570" s="31">
        <v>2018</v>
      </c>
      <c r="O570" s="31">
        <v>282</v>
      </c>
      <c r="P570" s="31"/>
      <c r="Q570" s="31"/>
      <c r="R570" s="33"/>
      <c r="S570" s="34" t="str">
        <f>HYPERLINK("http://www.cnpol.ru/covers/18364.jpg","фото на сайте")</f>
        <v>фото на сайте</v>
      </c>
    </row>
    <row r="571" spans="1:19" ht="50.1" customHeight="1">
      <c r="A571" s="31"/>
      <c r="B571" s="32" t="s">
        <v>2411</v>
      </c>
      <c r="C571" s="31" t="s">
        <v>400</v>
      </c>
      <c r="D571" s="31" t="s">
        <v>2412</v>
      </c>
      <c r="E571" s="31" t="s">
        <v>2413</v>
      </c>
      <c r="F571" s="31" t="s">
        <v>31</v>
      </c>
      <c r="G571" s="31">
        <v>503</v>
      </c>
      <c r="H571" s="31">
        <v>10</v>
      </c>
      <c r="I571" s="31">
        <v>14</v>
      </c>
      <c r="J571" s="31" t="s">
        <v>2414</v>
      </c>
      <c r="K571" s="31" t="s">
        <v>33</v>
      </c>
      <c r="L571" s="31" t="s">
        <v>34</v>
      </c>
      <c r="M571" s="31">
        <v>320</v>
      </c>
      <c r="N571" s="31">
        <v>2019</v>
      </c>
      <c r="O571" s="31">
        <v>278</v>
      </c>
      <c r="P571" s="31"/>
      <c r="Q571" s="31"/>
      <c r="R571" s="33"/>
      <c r="S571" s="34" t="str">
        <f>HYPERLINK("http://www.cnpol.ru/covers/18782.jpg","фото на сайте")</f>
        <v>фото на сайте</v>
      </c>
    </row>
    <row r="572" spans="1:19" ht="50.1" customHeight="1">
      <c r="A572" s="31"/>
      <c r="B572" s="32" t="s">
        <v>2415</v>
      </c>
      <c r="C572" s="31" t="s">
        <v>390</v>
      </c>
      <c r="D572" s="31" t="s">
        <v>2416</v>
      </c>
      <c r="E572" s="31" t="s">
        <v>2417</v>
      </c>
      <c r="F572" s="31">
        <v>471</v>
      </c>
      <c r="G572" s="31">
        <v>86</v>
      </c>
      <c r="H572" s="31">
        <v>10</v>
      </c>
      <c r="I572" s="31">
        <v>30</v>
      </c>
      <c r="J572" s="31" t="s">
        <v>2418</v>
      </c>
      <c r="K572" s="31" t="s">
        <v>123</v>
      </c>
      <c r="L572" s="31" t="s">
        <v>56</v>
      </c>
      <c r="M572" s="31">
        <v>158</v>
      </c>
      <c r="N572" s="31">
        <v>2014</v>
      </c>
      <c r="O572" s="31">
        <v>76</v>
      </c>
      <c r="P572" s="31"/>
      <c r="Q572" s="31"/>
      <c r="R572" s="33"/>
      <c r="S572" s="34" t="str">
        <f>HYPERLINK("http://www.cnpol.ru/covers/15640.jpg","фото на сайте")</f>
        <v>фото на сайте</v>
      </c>
    </row>
    <row r="573" spans="1:19" ht="50.1" customHeight="1">
      <c r="A573" s="31"/>
      <c r="B573" s="32" t="s">
        <v>2419</v>
      </c>
      <c r="C573" s="31" t="s">
        <v>2420</v>
      </c>
      <c r="D573" s="31" t="s">
        <v>2421</v>
      </c>
      <c r="E573" s="31" t="s">
        <v>2422</v>
      </c>
      <c r="F573" s="31" t="s">
        <v>31</v>
      </c>
      <c r="G573" s="31">
        <v>56</v>
      </c>
      <c r="H573" s="31">
        <v>10</v>
      </c>
      <c r="I573" s="31">
        <v>30</v>
      </c>
      <c r="J573" s="31" t="s">
        <v>2423</v>
      </c>
      <c r="K573" s="31" t="s">
        <v>123</v>
      </c>
      <c r="L573" s="31" t="s">
        <v>56</v>
      </c>
      <c r="M573" s="31">
        <v>221</v>
      </c>
      <c r="N573" s="31">
        <v>2004</v>
      </c>
      <c r="O573" s="31">
        <v>106</v>
      </c>
      <c r="P573" s="31"/>
      <c r="Q573" s="31"/>
      <c r="R573" s="33"/>
      <c r="S573" s="34" t="str">
        <f>HYPERLINK("http://www.cnpol.ru/covers/5220.jpg","фото на сайте")</f>
        <v>фото на сайте</v>
      </c>
    </row>
    <row r="574" spans="1:19" ht="50.1" customHeight="1">
      <c r="A574" s="31" t="s">
        <v>43</v>
      </c>
      <c r="B574" s="32" t="s">
        <v>2424</v>
      </c>
      <c r="C574" s="31" t="s">
        <v>28</v>
      </c>
      <c r="D574" s="31" t="s">
        <v>2425</v>
      </c>
      <c r="E574" s="31" t="s">
        <v>2426</v>
      </c>
      <c r="F574" s="31" t="s">
        <v>31</v>
      </c>
      <c r="G574" s="31">
        <v>794</v>
      </c>
      <c r="H574" s="31">
        <v>10</v>
      </c>
      <c r="I574" s="31">
        <v>12</v>
      </c>
      <c r="J574" s="31" t="s">
        <v>2427</v>
      </c>
      <c r="K574" s="31" t="s">
        <v>33</v>
      </c>
      <c r="L574" s="31" t="s">
        <v>34</v>
      </c>
      <c r="M574" s="31">
        <v>447</v>
      </c>
      <c r="N574" s="31">
        <v>2024</v>
      </c>
      <c r="O574" s="31">
        <v>475</v>
      </c>
      <c r="P574" s="31"/>
      <c r="Q574" s="31"/>
      <c r="R574" s="33" t="s">
        <v>2428</v>
      </c>
      <c r="S574" s="34" t="str">
        <f>HYPERLINK("http://www.cnpol.ru/covers/21168.jpg","фото на сайте")</f>
        <v>фото на сайте</v>
      </c>
    </row>
    <row r="575" spans="1:19" ht="50.1" customHeight="1">
      <c r="A575" s="31"/>
      <c r="B575" s="32" t="s">
        <v>2429</v>
      </c>
      <c r="C575" s="31" t="s">
        <v>1395</v>
      </c>
      <c r="D575" s="31" t="s">
        <v>2430</v>
      </c>
      <c r="E575" s="31" t="s">
        <v>2431</v>
      </c>
      <c r="F575" s="31" t="s">
        <v>31</v>
      </c>
      <c r="G575" s="31">
        <v>486</v>
      </c>
      <c r="H575" s="31">
        <v>10</v>
      </c>
      <c r="I575" s="31">
        <v>14</v>
      </c>
      <c r="J575" s="31" t="s">
        <v>2432</v>
      </c>
      <c r="K575" s="31" t="s">
        <v>33</v>
      </c>
      <c r="L575" s="31" t="s">
        <v>34</v>
      </c>
      <c r="M575" s="31">
        <v>319</v>
      </c>
      <c r="N575" s="31">
        <v>2014</v>
      </c>
      <c r="O575" s="31">
        <v>262</v>
      </c>
      <c r="P575" s="31"/>
      <c r="Q575" s="31"/>
      <c r="R575" s="33"/>
      <c r="S575" s="34" t="str">
        <f>HYPERLINK("http://www.cnpol.ru/covers/15632.jpg","фото на сайте")</f>
        <v>фото на сайте</v>
      </c>
    </row>
    <row r="576" spans="1:19" ht="50.1" customHeight="1">
      <c r="A576" s="31"/>
      <c r="B576" s="32" t="s">
        <v>2433</v>
      </c>
      <c r="C576" s="31" t="s">
        <v>2434</v>
      </c>
      <c r="D576" s="31" t="s">
        <v>2435</v>
      </c>
      <c r="E576" s="31" t="s">
        <v>2436</v>
      </c>
      <c r="F576" s="31" t="s">
        <v>31</v>
      </c>
      <c r="G576" s="35">
        <v>1015</v>
      </c>
      <c r="H576" s="31">
        <v>10</v>
      </c>
      <c r="I576" s="31">
        <v>10</v>
      </c>
      <c r="J576" s="31" t="s">
        <v>2437</v>
      </c>
      <c r="K576" s="31" t="s">
        <v>33</v>
      </c>
      <c r="L576" s="31" t="s">
        <v>34</v>
      </c>
      <c r="M576" s="31">
        <v>378</v>
      </c>
      <c r="N576" s="31">
        <v>2023</v>
      </c>
      <c r="O576" s="31">
        <v>422</v>
      </c>
      <c r="P576" s="31"/>
      <c r="Q576" s="31"/>
      <c r="R576" s="33" t="s">
        <v>2438</v>
      </c>
      <c r="S576" s="34" t="str">
        <f>HYPERLINK("http://www.cnpol.ru/covers/20827.jpg","фото на сайте")</f>
        <v>фото на сайте</v>
      </c>
    </row>
    <row r="577" spans="1:19" ht="50.1" customHeight="1">
      <c r="A577" s="31"/>
      <c r="B577" s="32" t="s">
        <v>2439</v>
      </c>
      <c r="C577" s="31" t="s">
        <v>390</v>
      </c>
      <c r="D577" s="31" t="s">
        <v>2440</v>
      </c>
      <c r="E577" s="31" t="s">
        <v>2441</v>
      </c>
      <c r="F577" s="31">
        <v>530</v>
      </c>
      <c r="G577" s="31">
        <v>86</v>
      </c>
      <c r="H577" s="31">
        <v>10</v>
      </c>
      <c r="I577" s="31">
        <v>30</v>
      </c>
      <c r="J577" s="31" t="s">
        <v>2442</v>
      </c>
      <c r="K577" s="31" t="s">
        <v>123</v>
      </c>
      <c r="L577" s="31" t="s">
        <v>56</v>
      </c>
      <c r="M577" s="31">
        <v>158</v>
      </c>
      <c r="N577" s="31">
        <v>2015</v>
      </c>
      <c r="O577" s="31">
        <v>76</v>
      </c>
      <c r="P577" s="31"/>
      <c r="Q577" s="31"/>
      <c r="R577" s="33"/>
      <c r="S577" s="34" t="str">
        <f>HYPERLINK("http://www.cnpol.ru/covers/16109.jpg","фото на сайте")</f>
        <v>фото на сайте</v>
      </c>
    </row>
    <row r="578" spans="1:19" ht="50.1" customHeight="1">
      <c r="A578" s="31"/>
      <c r="B578" s="32" t="s">
        <v>2443</v>
      </c>
      <c r="C578" s="31" t="s">
        <v>390</v>
      </c>
      <c r="D578" s="31" t="s">
        <v>1660</v>
      </c>
      <c r="E578" s="31" t="s">
        <v>2444</v>
      </c>
      <c r="F578" s="31">
        <v>755</v>
      </c>
      <c r="G578" s="31">
        <v>86</v>
      </c>
      <c r="H578" s="31">
        <v>10</v>
      </c>
      <c r="I578" s="31">
        <v>30</v>
      </c>
      <c r="J578" s="31" t="s">
        <v>2445</v>
      </c>
      <c r="K578" s="31" t="s">
        <v>123</v>
      </c>
      <c r="L578" s="31" t="s">
        <v>56</v>
      </c>
      <c r="M578" s="31">
        <v>160</v>
      </c>
      <c r="N578" s="31">
        <v>2017</v>
      </c>
      <c r="O578" s="31">
        <v>76</v>
      </c>
      <c r="P578" s="31"/>
      <c r="Q578" s="31"/>
      <c r="R578" s="33"/>
      <c r="S578" s="34" t="str">
        <f>HYPERLINK("http://www.cnpol.ru/covers/17711.jpg","фото на сайте")</f>
        <v>фото на сайте</v>
      </c>
    </row>
    <row r="579" spans="1:19" ht="50.1" customHeight="1">
      <c r="A579" s="31"/>
      <c r="B579" s="32" t="s">
        <v>2446</v>
      </c>
      <c r="C579" s="31" t="s">
        <v>390</v>
      </c>
      <c r="D579" s="31" t="s">
        <v>2447</v>
      </c>
      <c r="E579" s="31" t="s">
        <v>2448</v>
      </c>
      <c r="F579" s="31">
        <v>613</v>
      </c>
      <c r="G579" s="31">
        <v>86</v>
      </c>
      <c r="H579" s="31">
        <v>10</v>
      </c>
      <c r="I579" s="31">
        <v>30</v>
      </c>
      <c r="J579" s="31" t="s">
        <v>2449</v>
      </c>
      <c r="K579" s="31" t="s">
        <v>123</v>
      </c>
      <c r="L579" s="31" t="s">
        <v>56</v>
      </c>
      <c r="M579" s="31">
        <v>160</v>
      </c>
      <c r="N579" s="31">
        <v>2016</v>
      </c>
      <c r="O579" s="31">
        <v>76</v>
      </c>
      <c r="P579" s="31"/>
      <c r="Q579" s="31"/>
      <c r="R579" s="33"/>
      <c r="S579" s="34" t="str">
        <f>HYPERLINK("http://www.cnpol.ru/covers/16703.jpg","фото на сайте")</f>
        <v>фото на сайте</v>
      </c>
    </row>
    <row r="580" spans="1:19" ht="50.1" customHeight="1">
      <c r="A580" s="31"/>
      <c r="B580" s="32" t="s">
        <v>2450</v>
      </c>
      <c r="C580" s="31" t="s">
        <v>37</v>
      </c>
      <c r="D580" s="31" t="s">
        <v>2451</v>
      </c>
      <c r="E580" s="31" t="s">
        <v>2452</v>
      </c>
      <c r="F580" s="31" t="s">
        <v>31</v>
      </c>
      <c r="G580" s="35">
        <v>1271</v>
      </c>
      <c r="H580" s="31">
        <v>10</v>
      </c>
      <c r="I580" s="31">
        <v>8</v>
      </c>
      <c r="J580" s="31" t="s">
        <v>2453</v>
      </c>
      <c r="K580" s="31" t="s">
        <v>33</v>
      </c>
      <c r="L580" s="31" t="s">
        <v>34</v>
      </c>
      <c r="M580" s="31">
        <v>512</v>
      </c>
      <c r="N580" s="31">
        <v>2023</v>
      </c>
      <c r="O580" s="31">
        <v>472</v>
      </c>
      <c r="P580" s="31"/>
      <c r="Q580" s="31"/>
      <c r="R580" s="33" t="s">
        <v>2454</v>
      </c>
      <c r="S580" s="34" t="str">
        <f>HYPERLINK("http://www.cnpol.ru/covers/20907.jpg","фото на сайте")</f>
        <v>фото на сайте</v>
      </c>
    </row>
    <row r="581" spans="1:19" ht="50.1" customHeight="1">
      <c r="A581" s="31"/>
      <c r="B581" s="32" t="s">
        <v>2455</v>
      </c>
      <c r="C581" s="31" t="s">
        <v>440</v>
      </c>
      <c r="D581" s="31" t="s">
        <v>2456</v>
      </c>
      <c r="E581" s="31" t="s">
        <v>2457</v>
      </c>
      <c r="F581" s="31" t="s">
        <v>31</v>
      </c>
      <c r="G581" s="31">
        <v>503</v>
      </c>
      <c r="H581" s="31">
        <v>10</v>
      </c>
      <c r="I581" s="31">
        <v>16</v>
      </c>
      <c r="J581" s="31" t="s">
        <v>2458</v>
      </c>
      <c r="K581" s="31" t="s">
        <v>33</v>
      </c>
      <c r="L581" s="31" t="s">
        <v>34</v>
      </c>
      <c r="M581" s="31">
        <v>256</v>
      </c>
      <c r="N581" s="31">
        <v>2017</v>
      </c>
      <c r="O581" s="31">
        <v>254</v>
      </c>
      <c r="P581" s="31"/>
      <c r="Q581" s="31"/>
      <c r="R581" s="33"/>
      <c r="S581" s="34" t="str">
        <f>HYPERLINK("http://www.cnpol.ru/covers/17285.jpg","фото на сайте")</f>
        <v>фото на сайте</v>
      </c>
    </row>
    <row r="582" spans="1:19" ht="50.1" customHeight="1">
      <c r="A582" s="31"/>
      <c r="B582" s="32" t="s">
        <v>2459</v>
      </c>
      <c r="C582" s="31" t="s">
        <v>440</v>
      </c>
      <c r="D582" s="31" t="s">
        <v>2460</v>
      </c>
      <c r="E582" s="31" t="s">
        <v>2461</v>
      </c>
      <c r="F582" s="31" t="s">
        <v>31</v>
      </c>
      <c r="G582" s="31">
        <v>575</v>
      </c>
      <c r="H582" s="31">
        <v>10</v>
      </c>
      <c r="I582" s="31">
        <v>12</v>
      </c>
      <c r="J582" s="31" t="s">
        <v>2462</v>
      </c>
      <c r="K582" s="31" t="s">
        <v>33</v>
      </c>
      <c r="L582" s="31" t="s">
        <v>34</v>
      </c>
      <c r="M582" s="31">
        <v>543</v>
      </c>
      <c r="N582" s="31">
        <v>2022</v>
      </c>
      <c r="O582" s="31">
        <v>585</v>
      </c>
      <c r="P582" s="31"/>
      <c r="Q582" s="31"/>
      <c r="R582" s="33"/>
      <c r="S582" s="34" t="str">
        <f>HYPERLINK("http://www.cnpol.ru/covers/20157.jpg","фото на сайте")</f>
        <v>фото на сайте</v>
      </c>
    </row>
    <row r="583" spans="1:19" ht="50.1" customHeight="1">
      <c r="A583" s="31"/>
      <c r="B583" s="32" t="s">
        <v>2463</v>
      </c>
      <c r="C583" s="31" t="s">
        <v>440</v>
      </c>
      <c r="D583" s="31" t="s">
        <v>2464</v>
      </c>
      <c r="E583" s="31" t="s">
        <v>2465</v>
      </c>
      <c r="F583" s="31" t="s">
        <v>31</v>
      </c>
      <c r="G583" s="31">
        <v>503</v>
      </c>
      <c r="H583" s="31">
        <v>10</v>
      </c>
      <c r="I583" s="31">
        <v>16</v>
      </c>
      <c r="J583" s="31" t="s">
        <v>2466</v>
      </c>
      <c r="K583" s="31" t="s">
        <v>33</v>
      </c>
      <c r="L583" s="31" t="s">
        <v>34</v>
      </c>
      <c r="M583" s="31">
        <v>351</v>
      </c>
      <c r="N583" s="31">
        <v>2023</v>
      </c>
      <c r="O583" s="31">
        <v>312</v>
      </c>
      <c r="P583" s="31"/>
      <c r="Q583" s="31"/>
      <c r="R583" s="33" t="s">
        <v>2467</v>
      </c>
      <c r="S583" s="34" t="str">
        <f>HYPERLINK("http://www.cnpol.ru/covers/20685.jpg","фото на сайте")</f>
        <v>фото на сайте</v>
      </c>
    </row>
    <row r="584" spans="1:19" ht="50.1" customHeight="1">
      <c r="A584" s="31"/>
      <c r="B584" s="32" t="s">
        <v>2468</v>
      </c>
      <c r="C584" s="31" t="s">
        <v>440</v>
      </c>
      <c r="D584" s="31" t="s">
        <v>2469</v>
      </c>
      <c r="E584" s="31" t="s">
        <v>2470</v>
      </c>
      <c r="F584" s="31" t="s">
        <v>31</v>
      </c>
      <c r="G584" s="31">
        <v>503</v>
      </c>
      <c r="H584" s="31">
        <v>10</v>
      </c>
      <c r="I584" s="31">
        <v>18</v>
      </c>
      <c r="J584" s="31" t="s">
        <v>2471</v>
      </c>
      <c r="K584" s="31" t="s">
        <v>33</v>
      </c>
      <c r="L584" s="31" t="s">
        <v>34</v>
      </c>
      <c r="M584" s="31">
        <v>256</v>
      </c>
      <c r="N584" s="31">
        <v>2018</v>
      </c>
      <c r="O584" s="31">
        <v>256</v>
      </c>
      <c r="P584" s="31"/>
      <c r="Q584" s="31"/>
      <c r="R584" s="33"/>
      <c r="S584" s="34" t="str">
        <f>HYPERLINK("http://www.cnpol.ru/covers/18389.jpg","фото на сайте")</f>
        <v>фото на сайте</v>
      </c>
    </row>
    <row r="585" spans="1:19" ht="50.1" customHeight="1">
      <c r="A585" s="31"/>
      <c r="B585" s="32" t="s">
        <v>2472</v>
      </c>
      <c r="C585" s="31" t="s">
        <v>440</v>
      </c>
      <c r="D585" s="31" t="s">
        <v>2464</v>
      </c>
      <c r="E585" s="31" t="s">
        <v>2473</v>
      </c>
      <c r="F585" s="31" t="s">
        <v>31</v>
      </c>
      <c r="G585" s="31">
        <v>575</v>
      </c>
      <c r="H585" s="31">
        <v>10</v>
      </c>
      <c r="I585" s="31">
        <v>12</v>
      </c>
      <c r="J585" s="31" t="s">
        <v>2474</v>
      </c>
      <c r="K585" s="31" t="s">
        <v>33</v>
      </c>
      <c r="L585" s="31" t="s">
        <v>34</v>
      </c>
      <c r="M585" s="31">
        <v>448</v>
      </c>
      <c r="N585" s="31">
        <v>2023</v>
      </c>
      <c r="O585" s="31">
        <v>366</v>
      </c>
      <c r="P585" s="31"/>
      <c r="Q585" s="31"/>
      <c r="R585" s="33" t="s">
        <v>2475</v>
      </c>
      <c r="S585" s="34" t="str">
        <f>HYPERLINK("http://www.cnpol.ru/covers/20595.jpg","фото на сайте")</f>
        <v>фото на сайте</v>
      </c>
    </row>
    <row r="586" spans="1:19" ht="50.1" customHeight="1">
      <c r="A586" s="31"/>
      <c r="B586" s="32" t="s">
        <v>2476</v>
      </c>
      <c r="C586" s="31" t="s">
        <v>1050</v>
      </c>
      <c r="D586" s="31" t="s">
        <v>2477</v>
      </c>
      <c r="E586" s="31" t="s">
        <v>2478</v>
      </c>
      <c r="F586" s="31" t="s">
        <v>31</v>
      </c>
      <c r="G586" s="31">
        <v>386</v>
      </c>
      <c r="H586" s="31">
        <v>10</v>
      </c>
      <c r="I586" s="31">
        <v>20</v>
      </c>
      <c r="J586" s="31" t="s">
        <v>2479</v>
      </c>
      <c r="K586" s="31" t="s">
        <v>130</v>
      </c>
      <c r="L586" s="31" t="s">
        <v>210</v>
      </c>
      <c r="M586" s="31">
        <v>253</v>
      </c>
      <c r="N586" s="31">
        <v>2022</v>
      </c>
      <c r="O586" s="31">
        <v>208</v>
      </c>
      <c r="P586" s="31"/>
      <c r="Q586" s="31"/>
      <c r="R586" s="33"/>
      <c r="S586" s="34" t="str">
        <f>HYPERLINK("http://www.cnpol.ru/covers/20261.jpg","фото на сайте")</f>
        <v>фото на сайте</v>
      </c>
    </row>
    <row r="587" spans="1:19" ht="50.1" customHeight="1">
      <c r="A587" s="31"/>
      <c r="B587" s="32" t="s">
        <v>2480</v>
      </c>
      <c r="C587" s="31" t="s">
        <v>1818</v>
      </c>
      <c r="D587" s="31" t="s">
        <v>1814</v>
      </c>
      <c r="E587" s="31" t="s">
        <v>2481</v>
      </c>
      <c r="F587" s="31" t="s">
        <v>31</v>
      </c>
      <c r="G587" s="31">
        <v>300</v>
      </c>
      <c r="H587" s="31">
        <v>10</v>
      </c>
      <c r="I587" s="31">
        <v>14</v>
      </c>
      <c r="J587" s="31" t="s">
        <v>2482</v>
      </c>
      <c r="K587" s="31" t="s">
        <v>130</v>
      </c>
      <c r="L587" s="31" t="s">
        <v>56</v>
      </c>
      <c r="M587" s="31">
        <v>416</v>
      </c>
      <c r="N587" s="31">
        <v>2021</v>
      </c>
      <c r="O587" s="31">
        <v>276</v>
      </c>
      <c r="P587" s="31"/>
      <c r="Q587" s="31"/>
      <c r="R587" s="33"/>
      <c r="S587" s="34" t="str">
        <f>HYPERLINK("http://www.cnpol.ru/covers/19940.jpg","фото на сайте")</f>
        <v>фото на сайте</v>
      </c>
    </row>
    <row r="588" spans="1:19" ht="50.1" customHeight="1">
      <c r="A588" s="31"/>
      <c r="B588" s="32" t="s">
        <v>2483</v>
      </c>
      <c r="C588" s="31" t="s">
        <v>1822</v>
      </c>
      <c r="D588" s="31" t="s">
        <v>1814</v>
      </c>
      <c r="E588" s="31" t="s">
        <v>2481</v>
      </c>
      <c r="F588" s="31" t="s">
        <v>31</v>
      </c>
      <c r="G588" s="31">
        <v>675</v>
      </c>
      <c r="H588" s="31">
        <v>10</v>
      </c>
      <c r="I588" s="31">
        <v>10</v>
      </c>
      <c r="J588" s="31" t="s">
        <v>2484</v>
      </c>
      <c r="K588" s="31" t="s">
        <v>33</v>
      </c>
      <c r="L588" s="31" t="s">
        <v>34</v>
      </c>
      <c r="M588" s="31">
        <v>416</v>
      </c>
      <c r="N588" s="31">
        <v>2021</v>
      </c>
      <c r="O588" s="31">
        <v>345</v>
      </c>
      <c r="P588" s="31"/>
      <c r="Q588" s="31"/>
      <c r="R588" s="33"/>
      <c r="S588" s="34" t="str">
        <f>HYPERLINK("http://www.cnpol.ru/covers/19941.jpg","фото на сайте")</f>
        <v>фото на сайте</v>
      </c>
    </row>
    <row r="589" spans="1:19" ht="50.1" customHeight="1">
      <c r="A589" s="31"/>
      <c r="B589" s="32" t="s">
        <v>2485</v>
      </c>
      <c r="C589" s="31" t="s">
        <v>1813</v>
      </c>
      <c r="D589" s="31" t="s">
        <v>1814</v>
      </c>
      <c r="E589" s="31" t="s">
        <v>2486</v>
      </c>
      <c r="F589" s="31" t="s">
        <v>31</v>
      </c>
      <c r="G589" s="31">
        <v>376</v>
      </c>
      <c r="H589" s="31">
        <v>10</v>
      </c>
      <c r="I589" s="31">
        <v>14</v>
      </c>
      <c r="J589" s="31" t="s">
        <v>2487</v>
      </c>
      <c r="K589" s="31" t="s">
        <v>33</v>
      </c>
      <c r="L589" s="31" t="s">
        <v>210</v>
      </c>
      <c r="M589" s="31">
        <v>416</v>
      </c>
      <c r="N589" s="31">
        <v>2021</v>
      </c>
      <c r="O589" s="31">
        <v>246</v>
      </c>
      <c r="P589" s="31"/>
      <c r="Q589" s="31"/>
      <c r="R589" s="33"/>
      <c r="S589" s="34" t="str">
        <f>HYPERLINK("http://www.cnpol.ru/covers/19792.jpg","фото на сайте")</f>
        <v>фото на сайте</v>
      </c>
    </row>
    <row r="590" spans="1:19" ht="50.1" customHeight="1">
      <c r="A590" s="31"/>
      <c r="B590" s="32" t="s">
        <v>2488</v>
      </c>
      <c r="C590" s="31" t="s">
        <v>2489</v>
      </c>
      <c r="D590" s="31" t="s">
        <v>1814</v>
      </c>
      <c r="E590" s="31" t="s">
        <v>2490</v>
      </c>
      <c r="F590" s="31" t="s">
        <v>31</v>
      </c>
      <c r="G590" s="31">
        <v>936</v>
      </c>
      <c r="H590" s="31">
        <v>10</v>
      </c>
      <c r="I590" s="31">
        <v>8</v>
      </c>
      <c r="J590" s="31" t="s">
        <v>2491</v>
      </c>
      <c r="K590" s="31" t="s">
        <v>2004</v>
      </c>
      <c r="L590" s="31" t="s">
        <v>34</v>
      </c>
      <c r="M590" s="31">
        <v>414</v>
      </c>
      <c r="N590" s="31">
        <v>2021</v>
      </c>
      <c r="O590" s="31">
        <v>654</v>
      </c>
      <c r="P590" s="31"/>
      <c r="Q590" s="31"/>
      <c r="R590" s="33"/>
      <c r="S590" s="34" t="str">
        <f>HYPERLINK("http://www.cnpol.ru/covers/19810.jpg","фото на сайте")</f>
        <v>фото на сайте</v>
      </c>
    </row>
    <row r="591" spans="1:19" ht="50.1" customHeight="1">
      <c r="A591" s="31"/>
      <c r="B591" s="32" t="s">
        <v>2492</v>
      </c>
      <c r="C591" s="31" t="s">
        <v>2489</v>
      </c>
      <c r="D591" s="31" t="s">
        <v>1814</v>
      </c>
      <c r="E591" s="31" t="s">
        <v>2493</v>
      </c>
      <c r="F591" s="31" t="s">
        <v>31</v>
      </c>
      <c r="G591" s="31">
        <v>807</v>
      </c>
      <c r="H591" s="31">
        <v>10</v>
      </c>
      <c r="I591" s="31">
        <v>6</v>
      </c>
      <c r="J591" s="31" t="s">
        <v>2494</v>
      </c>
      <c r="K591" s="31" t="s">
        <v>2495</v>
      </c>
      <c r="L591" s="31" t="s">
        <v>210</v>
      </c>
      <c r="M591" s="31">
        <v>414</v>
      </c>
      <c r="N591" s="31">
        <v>2021</v>
      </c>
      <c r="O591" s="31">
        <v>220</v>
      </c>
      <c r="P591" s="31"/>
      <c r="Q591" s="31"/>
      <c r="R591" s="33"/>
      <c r="S591" s="34" t="str">
        <f>HYPERLINK("http://www.cnpol.ru/covers/19770.jpg","фото на сайте")</f>
        <v>фото на сайте</v>
      </c>
    </row>
    <row r="592" spans="1:19" ht="50.1" customHeight="1">
      <c r="A592" s="31"/>
      <c r="B592" s="32" t="s">
        <v>2496</v>
      </c>
      <c r="C592" s="31" t="s">
        <v>2497</v>
      </c>
      <c r="D592" s="31" t="s">
        <v>1814</v>
      </c>
      <c r="E592" s="31" t="s">
        <v>2498</v>
      </c>
      <c r="F592" s="31" t="s">
        <v>31</v>
      </c>
      <c r="G592" s="31">
        <v>290</v>
      </c>
      <c r="H592" s="31">
        <v>10</v>
      </c>
      <c r="I592" s="31">
        <v>14</v>
      </c>
      <c r="J592" s="31" t="s">
        <v>2499</v>
      </c>
      <c r="K592" s="31" t="s">
        <v>123</v>
      </c>
      <c r="L592" s="31" t="s">
        <v>56</v>
      </c>
      <c r="M592" s="31">
        <v>448</v>
      </c>
      <c r="N592" s="31">
        <v>2021</v>
      </c>
      <c r="O592" s="31">
        <v>200</v>
      </c>
      <c r="P592" s="31"/>
      <c r="Q592" s="31"/>
      <c r="R592" s="33"/>
      <c r="S592" s="34" t="str">
        <f>HYPERLINK("http://www.cnpol.ru/covers/20087.jpg","фото на сайте")</f>
        <v>фото на сайте</v>
      </c>
    </row>
    <row r="593" spans="1:19" ht="50.1" customHeight="1">
      <c r="A593" s="31"/>
      <c r="B593" s="32" t="s">
        <v>2500</v>
      </c>
      <c r="C593" s="31" t="s">
        <v>418</v>
      </c>
      <c r="D593" s="31" t="s">
        <v>2501</v>
      </c>
      <c r="E593" s="31" t="s">
        <v>2502</v>
      </c>
      <c r="F593" s="31">
        <v>44</v>
      </c>
      <c r="G593" s="31">
        <v>153</v>
      </c>
      <c r="H593" s="31">
        <v>10</v>
      </c>
      <c r="I593" s="31">
        <v>24</v>
      </c>
      <c r="J593" s="31" t="s">
        <v>2503</v>
      </c>
      <c r="K593" s="31" t="s">
        <v>123</v>
      </c>
      <c r="L593" s="31" t="s">
        <v>56</v>
      </c>
      <c r="M593" s="31">
        <v>254</v>
      </c>
      <c r="N593" s="31">
        <v>2014</v>
      </c>
      <c r="O593" s="31">
        <v>118</v>
      </c>
      <c r="P593" s="31"/>
      <c r="Q593" s="31"/>
      <c r="R593" s="33"/>
      <c r="S593" s="34" t="str">
        <f>HYPERLINK("http://www.cnpol.ru/covers/15088.jpg","фото на сайте")</f>
        <v>фото на сайте</v>
      </c>
    </row>
    <row r="594" spans="1:19" ht="50.1" customHeight="1">
      <c r="A594" s="31"/>
      <c r="B594" s="32" t="s">
        <v>2504</v>
      </c>
      <c r="C594" s="31" t="s">
        <v>390</v>
      </c>
      <c r="D594" s="31" t="s">
        <v>1520</v>
      </c>
      <c r="E594" s="31" t="s">
        <v>2505</v>
      </c>
      <c r="F594" s="31">
        <v>336</v>
      </c>
      <c r="G594" s="31">
        <v>86</v>
      </c>
      <c r="H594" s="31">
        <v>10</v>
      </c>
      <c r="I594" s="31">
        <v>30</v>
      </c>
      <c r="J594" s="31" t="s">
        <v>2506</v>
      </c>
      <c r="K594" s="31" t="s">
        <v>123</v>
      </c>
      <c r="L594" s="31" t="s">
        <v>56</v>
      </c>
      <c r="M594" s="31">
        <v>158</v>
      </c>
      <c r="N594" s="31">
        <v>2013</v>
      </c>
      <c r="O594" s="31">
        <v>76</v>
      </c>
      <c r="P594" s="31"/>
      <c r="Q594" s="31"/>
      <c r="R594" s="33"/>
      <c r="S594" s="34" t="str">
        <f>HYPERLINK("http://www.cnpol.ru/covers/14456.jpg","фото на сайте")</f>
        <v>фото на сайте</v>
      </c>
    </row>
    <row r="595" spans="1:19" ht="50.1" customHeight="1">
      <c r="A595" s="31"/>
      <c r="B595" s="32" t="s">
        <v>2507</v>
      </c>
      <c r="C595" s="31" t="s">
        <v>132</v>
      </c>
      <c r="D595" s="31" t="s">
        <v>2102</v>
      </c>
      <c r="E595" s="31" t="s">
        <v>2508</v>
      </c>
      <c r="F595" s="31" t="s">
        <v>31</v>
      </c>
      <c r="G595" s="31">
        <v>370</v>
      </c>
      <c r="H595" s="31">
        <v>10</v>
      </c>
      <c r="I595" s="31">
        <v>20</v>
      </c>
      <c r="J595" s="31" t="s">
        <v>2509</v>
      </c>
      <c r="K595" s="31" t="s">
        <v>194</v>
      </c>
      <c r="L595" s="31" t="s">
        <v>34</v>
      </c>
      <c r="M595" s="31">
        <v>48</v>
      </c>
      <c r="N595" s="31">
        <v>2008</v>
      </c>
      <c r="O595" s="31">
        <v>162</v>
      </c>
      <c r="P595" s="31"/>
      <c r="Q595" s="31"/>
      <c r="R595" s="33"/>
      <c r="S595" s="34" t="str">
        <f>HYPERLINK("http://www.cnpol.ru/covers/7630.jpg","фото на сайте")</f>
        <v>фото на сайте</v>
      </c>
    </row>
    <row r="596" spans="1:19" ht="50.1" customHeight="1">
      <c r="A596" s="31"/>
      <c r="B596" s="32" t="s">
        <v>2510</v>
      </c>
      <c r="C596" s="31" t="s">
        <v>413</v>
      </c>
      <c r="D596" s="31" t="s">
        <v>2511</v>
      </c>
      <c r="E596" s="31" t="s">
        <v>2512</v>
      </c>
      <c r="F596" s="31">
        <v>168</v>
      </c>
      <c r="G596" s="31">
        <v>117</v>
      </c>
      <c r="H596" s="31">
        <v>10</v>
      </c>
      <c r="I596" s="31">
        <v>30</v>
      </c>
      <c r="J596" s="31" t="s">
        <v>2513</v>
      </c>
      <c r="K596" s="31" t="s">
        <v>123</v>
      </c>
      <c r="L596" s="31" t="s">
        <v>56</v>
      </c>
      <c r="M596" s="31">
        <v>192</v>
      </c>
      <c r="N596" s="31">
        <v>2019</v>
      </c>
      <c r="O596" s="31">
        <v>96</v>
      </c>
      <c r="P596" s="31"/>
      <c r="Q596" s="31"/>
      <c r="R596" s="33"/>
      <c r="S596" s="34" t="str">
        <f>HYPERLINK("http://www.cnpol.ru/covers/18835.jpg","фото на сайте")</f>
        <v>фото на сайте</v>
      </c>
    </row>
    <row r="597" spans="1:19" ht="50.1" customHeight="1">
      <c r="A597" s="31"/>
      <c r="B597" s="32" t="s">
        <v>2514</v>
      </c>
      <c r="C597" s="31" t="s">
        <v>418</v>
      </c>
      <c r="D597" s="31" t="s">
        <v>419</v>
      </c>
      <c r="E597" s="31" t="s">
        <v>2515</v>
      </c>
      <c r="F597" s="31">
        <v>91</v>
      </c>
      <c r="G597" s="31">
        <v>153</v>
      </c>
      <c r="H597" s="31">
        <v>10</v>
      </c>
      <c r="I597" s="31">
        <v>24</v>
      </c>
      <c r="J597" s="31" t="s">
        <v>2516</v>
      </c>
      <c r="K597" s="31" t="s">
        <v>123</v>
      </c>
      <c r="L597" s="31" t="s">
        <v>56</v>
      </c>
      <c r="M597" s="31">
        <v>256</v>
      </c>
      <c r="N597" s="31">
        <v>2018</v>
      </c>
      <c r="O597" s="31">
        <v>118</v>
      </c>
      <c r="P597" s="31"/>
      <c r="Q597" s="31"/>
      <c r="R597" s="33"/>
      <c r="S597" s="34" t="str">
        <f>HYPERLINK("http://www.cnpol.ru/covers/18289.jpg","фото на сайте")</f>
        <v>фото на сайте</v>
      </c>
    </row>
    <row r="598" spans="1:19" ht="50.1" customHeight="1">
      <c r="A598" s="31"/>
      <c r="B598" s="32" t="s">
        <v>2517</v>
      </c>
      <c r="C598" s="31" t="s">
        <v>390</v>
      </c>
      <c r="D598" s="31" t="s">
        <v>2518</v>
      </c>
      <c r="E598" s="31" t="s">
        <v>2519</v>
      </c>
      <c r="F598" s="31">
        <v>878</v>
      </c>
      <c r="G598" s="31">
        <v>86</v>
      </c>
      <c r="H598" s="31">
        <v>10</v>
      </c>
      <c r="I598" s="31">
        <v>30</v>
      </c>
      <c r="J598" s="31" t="s">
        <v>2520</v>
      </c>
      <c r="K598" s="31" t="s">
        <v>123</v>
      </c>
      <c r="L598" s="31" t="s">
        <v>56</v>
      </c>
      <c r="M598" s="31">
        <v>160</v>
      </c>
      <c r="N598" s="31">
        <v>2019</v>
      </c>
      <c r="O598" s="31">
        <v>78</v>
      </c>
      <c r="P598" s="31"/>
      <c r="Q598" s="31"/>
      <c r="R598" s="33"/>
      <c r="S598" s="34" t="str">
        <f>HYPERLINK("http://www.cnpol.ru/covers/18564.jpg","фото на сайте")</f>
        <v>фото на сайте</v>
      </c>
    </row>
    <row r="599" spans="1:19" ht="50.1" customHeight="1">
      <c r="A599" s="31"/>
      <c r="B599" s="32" t="s">
        <v>2521</v>
      </c>
      <c r="C599" s="31" t="s">
        <v>37</v>
      </c>
      <c r="D599" s="31" t="s">
        <v>2522</v>
      </c>
      <c r="E599" s="31" t="s">
        <v>2523</v>
      </c>
      <c r="F599" s="31" t="s">
        <v>31</v>
      </c>
      <c r="G599" s="31">
        <v>998</v>
      </c>
      <c r="H599" s="31">
        <v>10</v>
      </c>
      <c r="I599" s="31">
        <v>10</v>
      </c>
      <c r="J599" s="31" t="s">
        <v>2524</v>
      </c>
      <c r="K599" s="31" t="s">
        <v>33</v>
      </c>
      <c r="L599" s="31" t="s">
        <v>34</v>
      </c>
      <c r="M599" s="31">
        <v>576</v>
      </c>
      <c r="N599" s="31">
        <v>2019</v>
      </c>
      <c r="O599" s="31">
        <v>548</v>
      </c>
      <c r="P599" s="31"/>
      <c r="Q599" s="31"/>
      <c r="R599" s="33"/>
      <c r="S599" s="34" t="str">
        <f>HYPERLINK("http://www.cnpol.ru/covers/18545.jpg","фото на сайте")</f>
        <v>фото на сайте</v>
      </c>
    </row>
    <row r="600" spans="1:19" ht="50.1" customHeight="1">
      <c r="A600" s="31"/>
      <c r="B600" s="32" t="s">
        <v>2525</v>
      </c>
      <c r="C600" s="31" t="s">
        <v>546</v>
      </c>
      <c r="D600" s="31" t="s">
        <v>989</v>
      </c>
      <c r="E600" s="31" t="s">
        <v>2526</v>
      </c>
      <c r="F600" s="31">
        <v>427</v>
      </c>
      <c r="G600" s="31">
        <v>93</v>
      </c>
      <c r="H600" s="31">
        <v>10</v>
      </c>
      <c r="I600" s="31">
        <v>30</v>
      </c>
      <c r="J600" s="31" t="s">
        <v>2527</v>
      </c>
      <c r="K600" s="31" t="s">
        <v>123</v>
      </c>
      <c r="L600" s="31" t="s">
        <v>56</v>
      </c>
      <c r="M600" s="31">
        <v>159</v>
      </c>
      <c r="N600" s="31">
        <v>2023</v>
      </c>
      <c r="O600" s="31">
        <v>76</v>
      </c>
      <c r="P600" s="31"/>
      <c r="Q600" s="31"/>
      <c r="R600" s="33" t="s">
        <v>2528</v>
      </c>
      <c r="S600" s="34" t="str">
        <f>HYPERLINK("http://www.cnpol.ru/covers/20640.jpg","фото на сайте")</f>
        <v>фото на сайте</v>
      </c>
    </row>
    <row r="601" spans="1:19" ht="50.1" customHeight="1">
      <c r="A601" s="31"/>
      <c r="B601" s="32" t="s">
        <v>2529</v>
      </c>
      <c r="C601" s="31" t="s">
        <v>171</v>
      </c>
      <c r="D601" s="31" t="s">
        <v>172</v>
      </c>
      <c r="E601" s="31" t="s">
        <v>2530</v>
      </c>
      <c r="F601" s="31" t="s">
        <v>31</v>
      </c>
      <c r="G601" s="35">
        <v>1588</v>
      </c>
      <c r="H601" s="31">
        <v>10</v>
      </c>
      <c r="I601" s="31">
        <v>5</v>
      </c>
      <c r="J601" s="31" t="s">
        <v>2531</v>
      </c>
      <c r="K601" s="31" t="s">
        <v>41</v>
      </c>
      <c r="L601" s="31" t="s">
        <v>34</v>
      </c>
      <c r="M601" s="31">
        <v>575</v>
      </c>
      <c r="N601" s="31">
        <v>2023</v>
      </c>
      <c r="O601" s="31">
        <v>680</v>
      </c>
      <c r="P601" s="31"/>
      <c r="Q601" s="31"/>
      <c r="R601" s="33" t="s">
        <v>2532</v>
      </c>
      <c r="S601" s="34" t="str">
        <f>HYPERLINK("http://www.cnpol.ru/covers/20766.jpg","фото на сайте")</f>
        <v>фото на сайте</v>
      </c>
    </row>
    <row r="602" spans="1:19" ht="50.1" customHeight="1">
      <c r="A602" s="31"/>
      <c r="B602" s="32" t="s">
        <v>2533</v>
      </c>
      <c r="C602" s="31" t="s">
        <v>400</v>
      </c>
      <c r="D602" s="31" t="s">
        <v>1369</v>
      </c>
      <c r="E602" s="31" t="s">
        <v>2534</v>
      </c>
      <c r="F602" s="31" t="s">
        <v>31</v>
      </c>
      <c r="G602" s="31">
        <v>503</v>
      </c>
      <c r="H602" s="31">
        <v>10</v>
      </c>
      <c r="I602" s="31">
        <v>14</v>
      </c>
      <c r="J602" s="31" t="s">
        <v>2535</v>
      </c>
      <c r="K602" s="31" t="s">
        <v>33</v>
      </c>
      <c r="L602" s="31" t="s">
        <v>34</v>
      </c>
      <c r="M602" s="31">
        <v>320</v>
      </c>
      <c r="N602" s="31">
        <v>2016</v>
      </c>
      <c r="O602" s="31">
        <v>274</v>
      </c>
      <c r="P602" s="31"/>
      <c r="Q602" s="31"/>
      <c r="R602" s="33"/>
      <c r="S602" s="34" t="str">
        <f>HYPERLINK("http://www.cnpol.ru/covers/16561.jpg","фото на сайте")</f>
        <v>фото на сайте</v>
      </c>
    </row>
    <row r="603" spans="1:19" ht="50.1" customHeight="1">
      <c r="A603" s="31"/>
      <c r="B603" s="32" t="s">
        <v>2536</v>
      </c>
      <c r="C603" s="31" t="s">
        <v>2537</v>
      </c>
      <c r="D603" s="31" t="s">
        <v>2538</v>
      </c>
      <c r="E603" s="31" t="s">
        <v>2539</v>
      </c>
      <c r="F603" s="31" t="s">
        <v>31</v>
      </c>
      <c r="G603" s="31">
        <v>226</v>
      </c>
      <c r="H603" s="31">
        <v>10</v>
      </c>
      <c r="I603" s="31">
        <v>30</v>
      </c>
      <c r="J603" s="31" t="s">
        <v>2540</v>
      </c>
      <c r="K603" s="31" t="s">
        <v>130</v>
      </c>
      <c r="L603" s="31" t="s">
        <v>56</v>
      </c>
      <c r="M603" s="31">
        <v>144</v>
      </c>
      <c r="N603" s="31">
        <v>2018</v>
      </c>
      <c r="O603" s="31">
        <v>88</v>
      </c>
      <c r="P603" s="31"/>
      <c r="Q603" s="31"/>
      <c r="R603" s="33"/>
      <c r="S603" s="34" t="str">
        <f>HYPERLINK("http://www.cnpol.ru/covers/18008.jpg","фото на сайте")</f>
        <v>фото на сайте</v>
      </c>
    </row>
    <row r="604" spans="1:19" ht="50.1" customHeight="1">
      <c r="A604" s="31"/>
      <c r="B604" s="32" t="s">
        <v>2541</v>
      </c>
      <c r="C604" s="31" t="s">
        <v>1781</v>
      </c>
      <c r="D604" s="31" t="s">
        <v>2542</v>
      </c>
      <c r="E604" s="31" t="s">
        <v>2543</v>
      </c>
      <c r="F604" s="31" t="s">
        <v>31</v>
      </c>
      <c r="G604" s="31">
        <v>588</v>
      </c>
      <c r="H604" s="31">
        <v>10</v>
      </c>
      <c r="I604" s="31">
        <v>10</v>
      </c>
      <c r="J604" s="31" t="s">
        <v>2544</v>
      </c>
      <c r="K604" s="31" t="s">
        <v>33</v>
      </c>
      <c r="L604" s="31" t="s">
        <v>34</v>
      </c>
      <c r="M604" s="31">
        <v>511</v>
      </c>
      <c r="N604" s="31">
        <v>2021</v>
      </c>
      <c r="O604" s="31">
        <v>384</v>
      </c>
      <c r="P604" s="31"/>
      <c r="Q604" s="31"/>
      <c r="R604" s="33"/>
      <c r="S604" s="34" t="str">
        <f>HYPERLINK("http://www.cnpol.ru/covers/19771.jpg","фото на сайте")</f>
        <v>фото на сайте</v>
      </c>
    </row>
    <row r="605" spans="1:19" ht="50.1" customHeight="1">
      <c r="A605" s="31"/>
      <c r="B605" s="32" t="s">
        <v>2545</v>
      </c>
      <c r="C605" s="31" t="s">
        <v>479</v>
      </c>
      <c r="D605" s="31" t="s">
        <v>2546</v>
      </c>
      <c r="E605" s="31" t="s">
        <v>2547</v>
      </c>
      <c r="F605" s="31" t="s">
        <v>31</v>
      </c>
      <c r="G605" s="35">
        <v>1165</v>
      </c>
      <c r="H605" s="31">
        <v>10</v>
      </c>
      <c r="I605" s="31">
        <v>10</v>
      </c>
      <c r="J605" s="31" t="s">
        <v>2548</v>
      </c>
      <c r="K605" s="31" t="s">
        <v>41</v>
      </c>
      <c r="L605" s="31" t="s">
        <v>34</v>
      </c>
      <c r="M605" s="31">
        <v>384</v>
      </c>
      <c r="N605" s="31">
        <v>2021</v>
      </c>
      <c r="O605" s="31">
        <v>532</v>
      </c>
      <c r="P605" s="31"/>
      <c r="Q605" s="31"/>
      <c r="R605" s="33"/>
      <c r="S605" s="34" t="str">
        <f>HYPERLINK("http://www.cnpol.ru/covers/19515.jpg","фото на сайте")</f>
        <v>фото на сайте</v>
      </c>
    </row>
    <row r="606" spans="1:19" ht="50.1" customHeight="1">
      <c r="A606" s="31" t="s">
        <v>43</v>
      </c>
      <c r="B606" s="32" t="s">
        <v>2549</v>
      </c>
      <c r="C606" s="31" t="s">
        <v>143</v>
      </c>
      <c r="D606" s="31" t="s">
        <v>2550</v>
      </c>
      <c r="E606" s="31" t="s">
        <v>2551</v>
      </c>
      <c r="F606" s="31" t="s">
        <v>31</v>
      </c>
      <c r="G606" s="35">
        <v>1110</v>
      </c>
      <c r="H606" s="31">
        <v>10</v>
      </c>
      <c r="I606" s="31">
        <v>10</v>
      </c>
      <c r="J606" s="31" t="s">
        <v>2552</v>
      </c>
      <c r="K606" s="31" t="s">
        <v>33</v>
      </c>
      <c r="L606" s="31" t="s">
        <v>34</v>
      </c>
      <c r="M606" s="31">
        <v>399</v>
      </c>
      <c r="N606" s="31">
        <v>2025</v>
      </c>
      <c r="O606" s="31">
        <v>610</v>
      </c>
      <c r="P606" s="31"/>
      <c r="Q606" s="31"/>
      <c r="R606" s="33" t="s">
        <v>2553</v>
      </c>
      <c r="S606" s="34" t="str">
        <f>HYPERLINK("http://www.cnpol.ru/covers/21547.jpg","фото на сайте")</f>
        <v>фото на сайте</v>
      </c>
    </row>
    <row r="607" spans="1:19" ht="50.1" customHeight="1">
      <c r="A607" s="31" t="s">
        <v>43</v>
      </c>
      <c r="B607" s="32" t="s">
        <v>2554</v>
      </c>
      <c r="C607" s="31" t="s">
        <v>37</v>
      </c>
      <c r="D607" s="31" t="s">
        <v>2555</v>
      </c>
      <c r="E607" s="31" t="s">
        <v>2556</v>
      </c>
      <c r="F607" s="31" t="s">
        <v>31</v>
      </c>
      <c r="G607" s="31">
        <v>611</v>
      </c>
      <c r="H607" s="31">
        <v>10</v>
      </c>
      <c r="I607" s="31">
        <v>8</v>
      </c>
      <c r="J607" s="31" t="s">
        <v>2557</v>
      </c>
      <c r="K607" s="31" t="s">
        <v>33</v>
      </c>
      <c r="L607" s="31" t="s">
        <v>34</v>
      </c>
      <c r="M607" s="31">
        <v>575</v>
      </c>
      <c r="N607" s="31">
        <v>2024</v>
      </c>
      <c r="O607" s="31">
        <v>345</v>
      </c>
      <c r="P607" s="31"/>
      <c r="Q607" s="31"/>
      <c r="R607" s="33" t="s">
        <v>2558</v>
      </c>
      <c r="S607" s="34" t="str">
        <f>HYPERLINK("http://www.cnpol.ru/covers/21287.jpg","фото на сайте")</f>
        <v>фото на сайте</v>
      </c>
    </row>
    <row r="608" spans="1:19" ht="50.1" customHeight="1">
      <c r="A608" s="31" t="s">
        <v>43</v>
      </c>
      <c r="B608" s="32" t="s">
        <v>2559</v>
      </c>
      <c r="C608" s="31" t="s">
        <v>454</v>
      </c>
      <c r="D608" s="31" t="s">
        <v>2560</v>
      </c>
      <c r="E608" s="31" t="s">
        <v>2561</v>
      </c>
      <c r="F608" s="31" t="s">
        <v>31</v>
      </c>
      <c r="G608" s="31">
        <v>898</v>
      </c>
      <c r="H608" s="31">
        <v>10</v>
      </c>
      <c r="I608" s="31">
        <v>5</v>
      </c>
      <c r="J608" s="31" t="s">
        <v>2562</v>
      </c>
      <c r="K608" s="31" t="s">
        <v>33</v>
      </c>
      <c r="L608" s="31" t="s">
        <v>34</v>
      </c>
      <c r="M608" s="31">
        <v>319</v>
      </c>
      <c r="N608" s="31">
        <v>2025</v>
      </c>
      <c r="O608" s="31">
        <v>302</v>
      </c>
      <c r="P608" s="31"/>
      <c r="Q608" s="31"/>
      <c r="R608" s="33" t="s">
        <v>2563</v>
      </c>
      <c r="S608" s="34" t="str">
        <f>HYPERLINK("http://www.cnpol.ru/covers/21583.jpg","фото на сайте")</f>
        <v>фото на сайте</v>
      </c>
    </row>
    <row r="609" spans="1:19" ht="50.1" customHeight="1">
      <c r="A609" s="31" t="s">
        <v>43</v>
      </c>
      <c r="B609" s="32" t="s">
        <v>2564</v>
      </c>
      <c r="C609" s="31" t="s">
        <v>37</v>
      </c>
      <c r="D609" s="31" t="s">
        <v>2565</v>
      </c>
      <c r="E609" s="31" t="s">
        <v>2566</v>
      </c>
      <c r="F609" s="31" t="s">
        <v>31</v>
      </c>
      <c r="G609" s="31">
        <v>575</v>
      </c>
      <c r="H609" s="31">
        <v>10</v>
      </c>
      <c r="I609" s="31">
        <v>10</v>
      </c>
      <c r="J609" s="31" t="s">
        <v>2567</v>
      </c>
      <c r="K609" s="31" t="s">
        <v>33</v>
      </c>
      <c r="L609" s="31" t="s">
        <v>34</v>
      </c>
      <c r="M609" s="31">
        <v>447</v>
      </c>
      <c r="N609" s="31">
        <v>2024</v>
      </c>
      <c r="O609" s="31">
        <v>343</v>
      </c>
      <c r="P609" s="31"/>
      <c r="Q609" s="31"/>
      <c r="R609" s="33" t="s">
        <v>2568</v>
      </c>
      <c r="S609" s="34" t="str">
        <f>HYPERLINK("http://www.cnpol.ru/covers/21057.jpg","фото на сайте")</f>
        <v>фото на сайте</v>
      </c>
    </row>
    <row r="610" spans="1:19" ht="50.1" customHeight="1">
      <c r="A610" s="31"/>
      <c r="B610" s="32" t="s">
        <v>2569</v>
      </c>
      <c r="C610" s="31" t="s">
        <v>37</v>
      </c>
      <c r="D610" s="31" t="s">
        <v>2570</v>
      </c>
      <c r="E610" s="31" t="s">
        <v>2571</v>
      </c>
      <c r="F610" s="31" t="s">
        <v>31</v>
      </c>
      <c r="G610" s="31">
        <v>539</v>
      </c>
      <c r="H610" s="31">
        <v>10</v>
      </c>
      <c r="I610" s="31">
        <v>14</v>
      </c>
      <c r="J610" s="31" t="s">
        <v>2572</v>
      </c>
      <c r="K610" s="31" t="s">
        <v>33</v>
      </c>
      <c r="L610" s="31" t="s">
        <v>34</v>
      </c>
      <c r="M610" s="31">
        <v>319</v>
      </c>
      <c r="N610" s="31">
        <v>2022</v>
      </c>
      <c r="O610" s="31">
        <v>276</v>
      </c>
      <c r="P610" s="31"/>
      <c r="Q610" s="31"/>
      <c r="R610" s="33" t="s">
        <v>2573</v>
      </c>
      <c r="S610" s="34" t="str">
        <f>HYPERLINK("http://www.cnpol.ru/covers/20383.jpg","фото на сайте")</f>
        <v>фото на сайте</v>
      </c>
    </row>
    <row r="611" spans="1:19" ht="50.1" customHeight="1">
      <c r="A611" s="31" t="s">
        <v>35</v>
      </c>
      <c r="B611" s="32" t="s">
        <v>2574</v>
      </c>
      <c r="C611" s="31" t="s">
        <v>1540</v>
      </c>
      <c r="D611" s="31" t="s">
        <v>2575</v>
      </c>
      <c r="E611" s="31" t="s">
        <v>2576</v>
      </c>
      <c r="F611" s="31" t="s">
        <v>31</v>
      </c>
      <c r="G611" s="31">
        <v>611</v>
      </c>
      <c r="H611" s="31">
        <v>10</v>
      </c>
      <c r="I611" s="31">
        <v>10</v>
      </c>
      <c r="J611" s="31" t="s">
        <v>2577</v>
      </c>
      <c r="K611" s="31" t="s">
        <v>33</v>
      </c>
      <c r="L611" s="31" t="s">
        <v>34</v>
      </c>
      <c r="M611" s="31">
        <v>429</v>
      </c>
      <c r="N611" s="31">
        <v>2025</v>
      </c>
      <c r="O611" s="31">
        <v>358</v>
      </c>
      <c r="P611" s="31"/>
      <c r="Q611" s="31"/>
      <c r="R611" s="33" t="s">
        <v>2578</v>
      </c>
      <c r="S611" s="34" t="str">
        <f>HYPERLINK("http://www.cnpol.ru/covers/21636.jpg","фото на сайте")</f>
        <v>фото на сайте</v>
      </c>
    </row>
    <row r="612" spans="1:19" ht="50.1" customHeight="1">
      <c r="A612" s="31"/>
      <c r="B612" s="32" t="s">
        <v>2579</v>
      </c>
      <c r="C612" s="31" t="s">
        <v>400</v>
      </c>
      <c r="D612" s="31" t="s">
        <v>2580</v>
      </c>
      <c r="E612" s="31" t="s">
        <v>2581</v>
      </c>
      <c r="F612" s="31" t="s">
        <v>31</v>
      </c>
      <c r="G612" s="31">
        <v>503</v>
      </c>
      <c r="H612" s="31">
        <v>10</v>
      </c>
      <c r="I612" s="31">
        <v>16</v>
      </c>
      <c r="J612" s="31" t="s">
        <v>2582</v>
      </c>
      <c r="K612" s="31" t="s">
        <v>33</v>
      </c>
      <c r="L612" s="31" t="s">
        <v>34</v>
      </c>
      <c r="M612" s="31">
        <v>285</v>
      </c>
      <c r="N612" s="31">
        <v>2014</v>
      </c>
      <c r="O612" s="31">
        <v>232</v>
      </c>
      <c r="P612" s="31"/>
      <c r="Q612" s="31"/>
      <c r="R612" s="33"/>
      <c r="S612" s="34" t="str">
        <f>HYPERLINK("http://www.cnpol.ru/covers/15587.jpg","фото на сайте")</f>
        <v>фото на сайте</v>
      </c>
    </row>
    <row r="613" spans="1:19" ht="50.1" customHeight="1">
      <c r="A613" s="31"/>
      <c r="B613" s="32" t="s">
        <v>2583</v>
      </c>
      <c r="C613" s="31" t="s">
        <v>479</v>
      </c>
      <c r="D613" s="31" t="s">
        <v>2584</v>
      </c>
      <c r="E613" s="31" t="s">
        <v>2585</v>
      </c>
      <c r="F613" s="31" t="s">
        <v>31</v>
      </c>
      <c r="G613" s="35">
        <v>1327</v>
      </c>
      <c r="H613" s="31">
        <v>10</v>
      </c>
      <c r="I613" s="31">
        <v>8</v>
      </c>
      <c r="J613" s="31" t="s">
        <v>2586</v>
      </c>
      <c r="K613" s="31" t="s">
        <v>41</v>
      </c>
      <c r="L613" s="31" t="s">
        <v>34</v>
      </c>
      <c r="M613" s="31">
        <v>720</v>
      </c>
      <c r="N613" s="31">
        <v>2016</v>
      </c>
      <c r="O613" s="31">
        <v>684</v>
      </c>
      <c r="P613" s="31"/>
      <c r="Q613" s="31"/>
      <c r="R613" s="33"/>
      <c r="S613" s="34" t="str">
        <f>HYPERLINK("http://www.cnpol.ru/covers/16771.jpg","фото на сайте")</f>
        <v>фото на сайте</v>
      </c>
    </row>
    <row r="614" spans="1:19" ht="50.1" customHeight="1">
      <c r="A614" s="31"/>
      <c r="B614" s="32" t="s">
        <v>2587</v>
      </c>
      <c r="C614" s="31" t="s">
        <v>37</v>
      </c>
      <c r="D614" s="31" t="s">
        <v>2588</v>
      </c>
      <c r="E614" s="31" t="s">
        <v>2589</v>
      </c>
      <c r="F614" s="31" t="s">
        <v>31</v>
      </c>
      <c r="G614" s="35">
        <v>4884</v>
      </c>
      <c r="H614" s="31">
        <v>10</v>
      </c>
      <c r="I614" s="31">
        <v>2</v>
      </c>
      <c r="J614" s="31" t="s">
        <v>2590</v>
      </c>
      <c r="K614" s="31" t="s">
        <v>319</v>
      </c>
      <c r="L614" s="31" t="s">
        <v>34</v>
      </c>
      <c r="M614" s="31">
        <v>1184</v>
      </c>
      <c r="N614" s="31">
        <v>2023</v>
      </c>
      <c r="O614" s="31">
        <v>2216</v>
      </c>
      <c r="P614" s="31"/>
      <c r="Q614" s="31"/>
      <c r="R614" s="33" t="s">
        <v>2591</v>
      </c>
      <c r="S614" s="34" t="str">
        <f>HYPERLINK("http://www.cnpol.ru/covers/20849.jpg","фото на сайте")</f>
        <v>фото на сайте</v>
      </c>
    </row>
    <row r="615" spans="1:19" ht="50.1" customHeight="1">
      <c r="A615" s="31" t="s">
        <v>43</v>
      </c>
      <c r="B615" s="32" t="s">
        <v>2592</v>
      </c>
      <c r="C615" s="31" t="s">
        <v>45</v>
      </c>
      <c r="D615" s="31" t="s">
        <v>2593</v>
      </c>
      <c r="E615" s="31" t="s">
        <v>2594</v>
      </c>
      <c r="F615" s="31" t="s">
        <v>31</v>
      </c>
      <c r="G615" s="31">
        <v>966</v>
      </c>
      <c r="H615" s="31">
        <v>10</v>
      </c>
      <c r="I615" s="31">
        <v>12</v>
      </c>
      <c r="J615" s="31" t="s">
        <v>2595</v>
      </c>
      <c r="K615" s="31" t="s">
        <v>33</v>
      </c>
      <c r="L615" s="31" t="s">
        <v>34</v>
      </c>
      <c r="M615" s="31">
        <v>351</v>
      </c>
      <c r="N615" s="31">
        <v>2024</v>
      </c>
      <c r="O615" s="31">
        <v>400</v>
      </c>
      <c r="P615" s="31"/>
      <c r="Q615" s="31"/>
      <c r="R615" s="33" t="s">
        <v>2596</v>
      </c>
      <c r="S615" s="34" t="str">
        <f>HYPERLINK("http://www.cnpol.ru/covers/21146.jpg","фото на сайте")</f>
        <v>фото на сайте</v>
      </c>
    </row>
    <row r="616" spans="1:19" ht="50.1" customHeight="1">
      <c r="A616" s="31"/>
      <c r="B616" s="32" t="s">
        <v>2597</v>
      </c>
      <c r="C616" s="31" t="s">
        <v>2598</v>
      </c>
      <c r="D616" s="31" t="s">
        <v>2599</v>
      </c>
      <c r="E616" s="31" t="s">
        <v>2600</v>
      </c>
      <c r="F616" s="31" t="s">
        <v>31</v>
      </c>
      <c r="G616" s="31">
        <v>942</v>
      </c>
      <c r="H616" s="31">
        <v>10</v>
      </c>
      <c r="I616" s="31">
        <v>8</v>
      </c>
      <c r="J616" s="31" t="s">
        <v>2601</v>
      </c>
      <c r="K616" s="31" t="s">
        <v>33</v>
      </c>
      <c r="L616" s="31" t="s">
        <v>34</v>
      </c>
      <c r="M616" s="31">
        <v>480</v>
      </c>
      <c r="N616" s="31">
        <v>2016</v>
      </c>
      <c r="O616" s="31">
        <v>480</v>
      </c>
      <c r="P616" s="31"/>
      <c r="Q616" s="31"/>
      <c r="R616" s="33"/>
      <c r="S616" s="34" t="str">
        <f>HYPERLINK("http://www.cnpol.ru/covers/17197.jpg","фото на сайте")</f>
        <v>фото на сайте</v>
      </c>
    </row>
    <row r="617" spans="1:19" ht="50.1" customHeight="1">
      <c r="A617" s="31"/>
      <c r="B617" s="32" t="s">
        <v>2602</v>
      </c>
      <c r="C617" s="31" t="s">
        <v>45</v>
      </c>
      <c r="D617" s="31" t="s">
        <v>2603</v>
      </c>
      <c r="E617" s="31" t="s">
        <v>2604</v>
      </c>
      <c r="F617" s="31" t="s">
        <v>31</v>
      </c>
      <c r="G617" s="31">
        <v>843</v>
      </c>
      <c r="H617" s="31">
        <v>10</v>
      </c>
      <c r="I617" s="31">
        <v>12</v>
      </c>
      <c r="J617" s="31" t="s">
        <v>2605</v>
      </c>
      <c r="K617" s="31" t="s">
        <v>33</v>
      </c>
      <c r="L617" s="31" t="s">
        <v>34</v>
      </c>
      <c r="M617" s="31">
        <v>540</v>
      </c>
      <c r="N617" s="31">
        <v>2013</v>
      </c>
      <c r="O617" s="31">
        <v>542</v>
      </c>
      <c r="P617" s="31"/>
      <c r="Q617" s="31"/>
      <c r="R617" s="33"/>
      <c r="S617" s="34" t="str">
        <f>HYPERLINK("http://www.cnpol.ru/covers/14736.jpg","фото на сайте")</f>
        <v>фото на сайте</v>
      </c>
    </row>
    <row r="618" spans="1:19" ht="50.1" customHeight="1">
      <c r="A618" s="31"/>
      <c r="B618" s="32" t="s">
        <v>2606</v>
      </c>
      <c r="C618" s="31" t="s">
        <v>464</v>
      </c>
      <c r="D618" s="31" t="s">
        <v>2607</v>
      </c>
      <c r="E618" s="31" t="s">
        <v>2608</v>
      </c>
      <c r="F618" s="31" t="s">
        <v>31</v>
      </c>
      <c r="G618" s="31">
        <v>155</v>
      </c>
      <c r="H618" s="31">
        <v>10</v>
      </c>
      <c r="I618" s="31">
        <v>56</v>
      </c>
      <c r="J618" s="31" t="s">
        <v>2609</v>
      </c>
      <c r="K618" s="31" t="s">
        <v>1725</v>
      </c>
      <c r="L618" s="31" t="s">
        <v>1726</v>
      </c>
      <c r="M618" s="31">
        <v>14</v>
      </c>
      <c r="N618" s="31">
        <v>2007</v>
      </c>
      <c r="O618" s="31">
        <v>120</v>
      </c>
      <c r="P618" s="31"/>
      <c r="Q618" s="31"/>
      <c r="R618" s="33"/>
      <c r="S618" s="34" t="str">
        <f>HYPERLINK("http://www.cnpol.ru/covers/6994.jpg","фото на сайте")</f>
        <v>фото на сайте</v>
      </c>
    </row>
    <row r="619" spans="1:19" ht="50.1" customHeight="1">
      <c r="A619" s="31" t="s">
        <v>43</v>
      </c>
      <c r="B619" s="32" t="s">
        <v>2610</v>
      </c>
      <c r="C619" s="31" t="s">
        <v>688</v>
      </c>
      <c r="D619" s="31" t="s">
        <v>2611</v>
      </c>
      <c r="E619" s="31" t="s">
        <v>2612</v>
      </c>
      <c r="F619" s="31" t="s">
        <v>31</v>
      </c>
      <c r="G619" s="31">
        <v>759</v>
      </c>
      <c r="H619" s="31">
        <v>10</v>
      </c>
      <c r="I619" s="31">
        <v>10</v>
      </c>
      <c r="J619" s="31" t="s">
        <v>2613</v>
      </c>
      <c r="K619" s="31" t="s">
        <v>33</v>
      </c>
      <c r="L619" s="31" t="s">
        <v>34</v>
      </c>
      <c r="M619" s="31">
        <v>223</v>
      </c>
      <c r="N619" s="31">
        <v>2025</v>
      </c>
      <c r="O619" s="31" t="s">
        <v>220</v>
      </c>
      <c r="P619" s="31"/>
      <c r="Q619" s="31"/>
      <c r="R619" s="33" t="s">
        <v>2614</v>
      </c>
      <c r="S619" s="34" t="str">
        <f>HYPERLINK("http://www.cnpol.ru/covers/21838.jpg","фото на сайте")</f>
        <v>фото на сайте</v>
      </c>
    </row>
    <row r="620" spans="1:19" ht="50.1" customHeight="1">
      <c r="A620" s="31"/>
      <c r="B620" s="32" t="s">
        <v>2615</v>
      </c>
      <c r="C620" s="31" t="s">
        <v>400</v>
      </c>
      <c r="D620" s="31" t="s">
        <v>2366</v>
      </c>
      <c r="E620" s="31" t="s">
        <v>2616</v>
      </c>
      <c r="F620" s="31" t="s">
        <v>31</v>
      </c>
      <c r="G620" s="31">
        <v>503</v>
      </c>
      <c r="H620" s="31">
        <v>10</v>
      </c>
      <c r="I620" s="31">
        <v>12</v>
      </c>
      <c r="J620" s="31" t="s">
        <v>2617</v>
      </c>
      <c r="K620" s="31" t="s">
        <v>33</v>
      </c>
      <c r="L620" s="31" t="s">
        <v>34</v>
      </c>
      <c r="M620" s="31">
        <v>352</v>
      </c>
      <c r="N620" s="31">
        <v>2016</v>
      </c>
      <c r="O620" s="31">
        <v>286</v>
      </c>
      <c r="P620" s="31"/>
      <c r="Q620" s="31"/>
      <c r="R620" s="33"/>
      <c r="S620" s="34" t="str">
        <f>HYPERLINK("http://www.cnpol.ru/covers/16446.jpg","фото на сайте")</f>
        <v>фото на сайте</v>
      </c>
    </row>
    <row r="621" spans="1:19" ht="50.1" customHeight="1">
      <c r="A621" s="31"/>
      <c r="B621" s="32" t="s">
        <v>2618</v>
      </c>
      <c r="C621" s="31" t="s">
        <v>400</v>
      </c>
      <c r="D621" s="31" t="s">
        <v>2366</v>
      </c>
      <c r="E621" s="31" t="s">
        <v>2619</v>
      </c>
      <c r="F621" s="31" t="s">
        <v>31</v>
      </c>
      <c r="G621" s="31">
        <v>503</v>
      </c>
      <c r="H621" s="31">
        <v>10</v>
      </c>
      <c r="I621" s="31">
        <v>12</v>
      </c>
      <c r="J621" s="31" t="s">
        <v>2620</v>
      </c>
      <c r="K621" s="31" t="s">
        <v>33</v>
      </c>
      <c r="L621" s="31" t="s">
        <v>34</v>
      </c>
      <c r="M621" s="31">
        <v>288</v>
      </c>
      <c r="N621" s="31">
        <v>2016</v>
      </c>
      <c r="O621" s="31">
        <v>238</v>
      </c>
      <c r="P621" s="31"/>
      <c r="Q621" s="31"/>
      <c r="R621" s="33"/>
      <c r="S621" s="34" t="str">
        <f>HYPERLINK("http://www.cnpol.ru/covers/16929.jpg","фото на сайте")</f>
        <v>фото на сайте</v>
      </c>
    </row>
    <row r="622" spans="1:19" ht="50.1" customHeight="1">
      <c r="A622" s="31"/>
      <c r="B622" s="32" t="s">
        <v>2621</v>
      </c>
      <c r="C622" s="31" t="s">
        <v>400</v>
      </c>
      <c r="D622" s="31" t="s">
        <v>2366</v>
      </c>
      <c r="E622" s="31" t="s">
        <v>2622</v>
      </c>
      <c r="F622" s="31" t="s">
        <v>31</v>
      </c>
      <c r="G622" s="31">
        <v>503</v>
      </c>
      <c r="H622" s="31">
        <v>10</v>
      </c>
      <c r="I622" s="31">
        <v>14</v>
      </c>
      <c r="J622" s="31" t="s">
        <v>2623</v>
      </c>
      <c r="K622" s="31" t="s">
        <v>33</v>
      </c>
      <c r="L622" s="31" t="s">
        <v>34</v>
      </c>
      <c r="M622" s="31">
        <v>320</v>
      </c>
      <c r="N622" s="31">
        <v>2015</v>
      </c>
      <c r="O622" s="31">
        <v>262</v>
      </c>
      <c r="P622" s="31"/>
      <c r="Q622" s="31"/>
      <c r="R622" s="33"/>
      <c r="S622" s="34" t="str">
        <f>HYPERLINK("http://www.cnpol.ru/covers/15901.jpg","фото на сайте")</f>
        <v>фото на сайте</v>
      </c>
    </row>
    <row r="623" spans="1:19" ht="50.1" customHeight="1">
      <c r="A623" s="31"/>
      <c r="B623" s="32" t="s">
        <v>2624</v>
      </c>
      <c r="C623" s="31" t="s">
        <v>400</v>
      </c>
      <c r="D623" s="31" t="s">
        <v>2366</v>
      </c>
      <c r="E623" s="31" t="s">
        <v>2625</v>
      </c>
      <c r="F623" s="31" t="s">
        <v>31</v>
      </c>
      <c r="G623" s="31">
        <v>503</v>
      </c>
      <c r="H623" s="31">
        <v>10</v>
      </c>
      <c r="I623" s="31">
        <v>10</v>
      </c>
      <c r="J623" s="31" t="s">
        <v>2626</v>
      </c>
      <c r="K623" s="31" t="s">
        <v>33</v>
      </c>
      <c r="L623" s="31" t="s">
        <v>34</v>
      </c>
      <c r="M623" s="31">
        <v>320</v>
      </c>
      <c r="N623" s="31">
        <v>2016</v>
      </c>
      <c r="O623" s="31">
        <v>272</v>
      </c>
      <c r="P623" s="31"/>
      <c r="Q623" s="31"/>
      <c r="R623" s="33"/>
      <c r="S623" s="34" t="str">
        <f>HYPERLINK("http://www.cnpol.ru/covers/16659.jpg","фото на сайте")</f>
        <v>фото на сайте</v>
      </c>
    </row>
    <row r="624" spans="1:19" ht="50.1" customHeight="1">
      <c r="A624" s="31"/>
      <c r="B624" s="32" t="s">
        <v>2627</v>
      </c>
      <c r="C624" s="31" t="s">
        <v>400</v>
      </c>
      <c r="D624" s="31" t="s">
        <v>2366</v>
      </c>
      <c r="E624" s="31" t="s">
        <v>2628</v>
      </c>
      <c r="F624" s="31" t="s">
        <v>31</v>
      </c>
      <c r="G624" s="31">
        <v>503</v>
      </c>
      <c r="H624" s="31">
        <v>10</v>
      </c>
      <c r="I624" s="31">
        <v>12</v>
      </c>
      <c r="J624" s="31" t="s">
        <v>2629</v>
      </c>
      <c r="K624" s="31" t="s">
        <v>1159</v>
      </c>
      <c r="L624" s="31" t="s">
        <v>34</v>
      </c>
      <c r="M624" s="31">
        <v>350</v>
      </c>
      <c r="N624" s="31">
        <v>2014</v>
      </c>
      <c r="O624" s="31">
        <v>302</v>
      </c>
      <c r="P624" s="31"/>
      <c r="Q624" s="31"/>
      <c r="R624" s="33"/>
      <c r="S624" s="34" t="str">
        <f>HYPERLINK("http://www.cnpol.ru/covers/15511.jpg","фото на сайте")</f>
        <v>фото на сайте</v>
      </c>
    </row>
    <row r="625" spans="1:19" ht="50.1" customHeight="1">
      <c r="A625" s="31"/>
      <c r="B625" s="32" t="s">
        <v>2630</v>
      </c>
      <c r="C625" s="31" t="s">
        <v>2631</v>
      </c>
      <c r="D625" s="31" t="s">
        <v>1786</v>
      </c>
      <c r="E625" s="31" t="s">
        <v>2632</v>
      </c>
      <c r="F625" s="31" t="s">
        <v>31</v>
      </c>
      <c r="G625" s="31">
        <v>675</v>
      </c>
      <c r="H625" s="31">
        <v>10</v>
      </c>
      <c r="I625" s="31">
        <v>16</v>
      </c>
      <c r="J625" s="31" t="s">
        <v>2633</v>
      </c>
      <c r="K625" s="31" t="s">
        <v>33</v>
      </c>
      <c r="L625" s="31" t="s">
        <v>34</v>
      </c>
      <c r="M625" s="31">
        <v>384</v>
      </c>
      <c r="N625" s="31">
        <v>2015</v>
      </c>
      <c r="O625" s="31">
        <v>406</v>
      </c>
      <c r="P625" s="31"/>
      <c r="Q625" s="31"/>
      <c r="R625" s="33"/>
      <c r="S625" s="34" t="str">
        <f>HYPERLINK("http://www.cnpol.ru/covers/16005.jpg","фото на сайте")</f>
        <v>фото на сайте</v>
      </c>
    </row>
    <row r="626" spans="1:19" ht="50.1" customHeight="1">
      <c r="A626" s="31"/>
      <c r="B626" s="32" t="s">
        <v>2634</v>
      </c>
      <c r="C626" s="31" t="s">
        <v>546</v>
      </c>
      <c r="D626" s="31" t="s">
        <v>1698</v>
      </c>
      <c r="E626" s="31" t="s">
        <v>2635</v>
      </c>
      <c r="F626" s="31">
        <v>143</v>
      </c>
      <c r="G626" s="31">
        <v>93</v>
      </c>
      <c r="H626" s="31">
        <v>10</v>
      </c>
      <c r="I626" s="31">
        <v>30</v>
      </c>
      <c r="J626" s="31" t="s">
        <v>2636</v>
      </c>
      <c r="K626" s="31" t="s">
        <v>123</v>
      </c>
      <c r="L626" s="31" t="s">
        <v>56</v>
      </c>
      <c r="M626" s="31">
        <v>158</v>
      </c>
      <c r="N626" s="31">
        <v>2015</v>
      </c>
      <c r="O626" s="31">
        <v>76</v>
      </c>
      <c r="P626" s="31"/>
      <c r="Q626" s="31"/>
      <c r="R626" s="33"/>
      <c r="S626" s="34" t="str">
        <f>HYPERLINK("http://www.cnpol.ru/covers/16349.jpg","фото на сайте")</f>
        <v>фото на сайте</v>
      </c>
    </row>
    <row r="627" spans="1:19" ht="50.1" customHeight="1">
      <c r="A627" s="31"/>
      <c r="B627" s="32" t="s">
        <v>2637</v>
      </c>
      <c r="C627" s="31" t="s">
        <v>413</v>
      </c>
      <c r="D627" s="31" t="s">
        <v>2638</v>
      </c>
      <c r="E627" s="31" t="s">
        <v>2639</v>
      </c>
      <c r="F627" s="31">
        <v>124</v>
      </c>
      <c r="G627" s="31">
        <v>117</v>
      </c>
      <c r="H627" s="31">
        <v>10</v>
      </c>
      <c r="I627" s="31">
        <v>36</v>
      </c>
      <c r="J627" s="31" t="s">
        <v>2640</v>
      </c>
      <c r="K627" s="31" t="s">
        <v>123</v>
      </c>
      <c r="L627" s="31" t="s">
        <v>56</v>
      </c>
      <c r="M627" s="31">
        <v>192</v>
      </c>
      <c r="N627" s="31">
        <v>2016</v>
      </c>
      <c r="O627" s="31">
        <v>90</v>
      </c>
      <c r="P627" s="31"/>
      <c r="Q627" s="31"/>
      <c r="R627" s="33"/>
      <c r="S627" s="34" t="str">
        <f>HYPERLINK("http://www.cnpol.ru/covers/17025.jpg","фото на сайте")</f>
        <v>фото на сайте</v>
      </c>
    </row>
    <row r="628" spans="1:19" ht="50.1" customHeight="1">
      <c r="A628" s="31"/>
      <c r="B628" s="32" t="s">
        <v>2641</v>
      </c>
      <c r="C628" s="31" t="s">
        <v>546</v>
      </c>
      <c r="D628" s="31" t="s">
        <v>2294</v>
      </c>
      <c r="E628" s="31" t="s">
        <v>2642</v>
      </c>
      <c r="F628" s="31">
        <v>212</v>
      </c>
      <c r="G628" s="31">
        <v>93</v>
      </c>
      <c r="H628" s="31">
        <v>10</v>
      </c>
      <c r="I628" s="31">
        <v>30</v>
      </c>
      <c r="J628" s="31" t="s">
        <v>2643</v>
      </c>
      <c r="K628" s="31" t="s">
        <v>123</v>
      </c>
      <c r="L628" s="31" t="s">
        <v>56</v>
      </c>
      <c r="M628" s="31">
        <v>160</v>
      </c>
      <c r="N628" s="31">
        <v>2017</v>
      </c>
      <c r="O628" s="31">
        <v>76</v>
      </c>
      <c r="P628" s="31"/>
      <c r="Q628" s="31"/>
      <c r="R628" s="33"/>
      <c r="S628" s="34" t="str">
        <f>HYPERLINK("http://www.cnpol.ru/covers/17380.jpg","фото на сайте")</f>
        <v>фото на сайте</v>
      </c>
    </row>
    <row r="629" spans="1:19" ht="50.1" customHeight="1">
      <c r="A629" s="31"/>
      <c r="B629" s="32" t="s">
        <v>2644</v>
      </c>
      <c r="C629" s="31" t="s">
        <v>546</v>
      </c>
      <c r="D629" s="31" t="s">
        <v>2645</v>
      </c>
      <c r="E629" s="31" t="s">
        <v>2646</v>
      </c>
      <c r="F629" s="31">
        <v>214</v>
      </c>
      <c r="G629" s="31">
        <v>93</v>
      </c>
      <c r="H629" s="31">
        <v>10</v>
      </c>
      <c r="I629" s="31">
        <v>30</v>
      </c>
      <c r="J629" s="31" t="s">
        <v>2647</v>
      </c>
      <c r="K629" s="31" t="s">
        <v>123</v>
      </c>
      <c r="L629" s="31" t="s">
        <v>56</v>
      </c>
      <c r="M629" s="31">
        <v>160</v>
      </c>
      <c r="N629" s="31">
        <v>2017</v>
      </c>
      <c r="O629" s="31">
        <v>76</v>
      </c>
      <c r="P629" s="31"/>
      <c r="Q629" s="31"/>
      <c r="R629" s="33"/>
      <c r="S629" s="34" t="str">
        <f>HYPERLINK("http://www.cnpol.ru/covers/17412.jpg","фото на сайте")</f>
        <v>фото на сайте</v>
      </c>
    </row>
    <row r="630" spans="1:19" ht="50.1" customHeight="1">
      <c r="A630" s="31"/>
      <c r="B630" s="32" t="s">
        <v>2648</v>
      </c>
      <c r="C630" s="31" t="s">
        <v>390</v>
      </c>
      <c r="D630" s="31" t="s">
        <v>1599</v>
      </c>
      <c r="E630" s="31" t="s">
        <v>2649</v>
      </c>
      <c r="F630" s="31">
        <v>964</v>
      </c>
      <c r="G630" s="31">
        <v>86</v>
      </c>
      <c r="H630" s="31">
        <v>10</v>
      </c>
      <c r="I630" s="31">
        <v>30</v>
      </c>
      <c r="J630" s="31" t="s">
        <v>2650</v>
      </c>
      <c r="K630" s="31" t="s">
        <v>123</v>
      </c>
      <c r="L630" s="31" t="s">
        <v>56</v>
      </c>
      <c r="M630" s="31">
        <v>160</v>
      </c>
      <c r="N630" s="31">
        <v>2020</v>
      </c>
      <c r="O630" s="31">
        <v>76</v>
      </c>
      <c r="P630" s="31"/>
      <c r="Q630" s="31"/>
      <c r="R630" s="33"/>
      <c r="S630" s="34" t="str">
        <f>HYPERLINK("http://www.cnpol.ru/covers/19088.jpg","фото на сайте")</f>
        <v>фото на сайте</v>
      </c>
    </row>
    <row r="631" spans="1:19" ht="50.1" customHeight="1">
      <c r="A631" s="31"/>
      <c r="B631" s="32" t="s">
        <v>2651</v>
      </c>
      <c r="C631" s="31" t="s">
        <v>315</v>
      </c>
      <c r="D631" s="31" t="s">
        <v>316</v>
      </c>
      <c r="E631" s="31" t="s">
        <v>2652</v>
      </c>
      <c r="F631" s="31" t="s">
        <v>31</v>
      </c>
      <c r="G631" s="31">
        <v>251</v>
      </c>
      <c r="H631" s="31">
        <v>10</v>
      </c>
      <c r="I631" s="31">
        <v>40</v>
      </c>
      <c r="J631" s="31" t="s">
        <v>2653</v>
      </c>
      <c r="K631" s="31" t="s">
        <v>319</v>
      </c>
      <c r="L631" s="31" t="s">
        <v>210</v>
      </c>
      <c r="M631" s="31">
        <v>36</v>
      </c>
      <c r="N631" s="31">
        <v>2022</v>
      </c>
      <c r="O631" s="31">
        <v>138</v>
      </c>
      <c r="P631" s="31"/>
      <c r="Q631" s="31"/>
      <c r="R631" s="33"/>
      <c r="S631" s="34" t="str">
        <f>HYPERLINK("http://www.cnpol.ru/covers/20011.jpg","фото на сайте")</f>
        <v>фото на сайте</v>
      </c>
    </row>
    <row r="632" spans="1:19" ht="50.1" customHeight="1">
      <c r="A632" s="31"/>
      <c r="B632" s="32" t="s">
        <v>2654</v>
      </c>
      <c r="C632" s="31" t="s">
        <v>546</v>
      </c>
      <c r="D632" s="31" t="s">
        <v>765</v>
      </c>
      <c r="E632" s="31" t="s">
        <v>2655</v>
      </c>
      <c r="F632" s="31">
        <v>321</v>
      </c>
      <c r="G632" s="31">
        <v>93</v>
      </c>
      <c r="H632" s="31">
        <v>10</v>
      </c>
      <c r="I632" s="31">
        <v>30</v>
      </c>
      <c r="J632" s="31" t="s">
        <v>2656</v>
      </c>
      <c r="K632" s="31" t="s">
        <v>123</v>
      </c>
      <c r="L632" s="31" t="s">
        <v>56</v>
      </c>
      <c r="M632" s="31">
        <v>160</v>
      </c>
      <c r="N632" s="31">
        <v>2019</v>
      </c>
      <c r="O632" s="31">
        <v>76</v>
      </c>
      <c r="P632" s="31"/>
      <c r="Q632" s="31"/>
      <c r="R632" s="33"/>
      <c r="S632" s="34" t="str">
        <f>HYPERLINK("http://www.cnpol.ru/covers/18834.jpg","фото на сайте")</f>
        <v>фото на сайте</v>
      </c>
    </row>
    <row r="633" spans="1:19" ht="50.1" customHeight="1">
      <c r="A633" s="31"/>
      <c r="B633" s="32" t="s">
        <v>2657</v>
      </c>
      <c r="C633" s="31" t="s">
        <v>171</v>
      </c>
      <c r="D633" s="31" t="s">
        <v>172</v>
      </c>
      <c r="E633" s="31" t="s">
        <v>2658</v>
      </c>
      <c r="F633" s="31" t="s">
        <v>31</v>
      </c>
      <c r="G633" s="35">
        <v>1772</v>
      </c>
      <c r="H633" s="31">
        <v>10</v>
      </c>
      <c r="I633" s="31">
        <v>4</v>
      </c>
      <c r="J633" s="31" t="s">
        <v>2659</v>
      </c>
      <c r="K633" s="31" t="s">
        <v>41</v>
      </c>
      <c r="L633" s="31" t="s">
        <v>34</v>
      </c>
      <c r="M633" s="31">
        <v>671</v>
      </c>
      <c r="N633" s="31">
        <v>2024</v>
      </c>
      <c r="O633" s="31">
        <v>761</v>
      </c>
      <c r="P633" s="31"/>
      <c r="Q633" s="31"/>
      <c r="R633" s="33" t="s">
        <v>2660</v>
      </c>
      <c r="S633" s="34" t="str">
        <f>HYPERLINK("http://www.cnpol.ru/covers/20949.jpg","фото на сайте")</f>
        <v>фото на сайте</v>
      </c>
    </row>
    <row r="634" spans="1:19" ht="50.1" customHeight="1">
      <c r="A634" s="31"/>
      <c r="B634" s="32" t="s">
        <v>2661</v>
      </c>
      <c r="C634" s="31" t="s">
        <v>546</v>
      </c>
      <c r="D634" s="31" t="s">
        <v>2662</v>
      </c>
      <c r="E634" s="31" t="s">
        <v>2663</v>
      </c>
      <c r="F634" s="31">
        <v>171</v>
      </c>
      <c r="G634" s="31">
        <v>93</v>
      </c>
      <c r="H634" s="31">
        <v>10</v>
      </c>
      <c r="I634" s="31">
        <v>30</v>
      </c>
      <c r="J634" s="31" t="s">
        <v>2664</v>
      </c>
      <c r="K634" s="31" t="s">
        <v>123</v>
      </c>
      <c r="L634" s="31" t="s">
        <v>56</v>
      </c>
      <c r="M634" s="31">
        <v>160</v>
      </c>
      <c r="N634" s="31">
        <v>2016</v>
      </c>
      <c r="O634" s="31">
        <v>76</v>
      </c>
      <c r="P634" s="31"/>
      <c r="Q634" s="31"/>
      <c r="R634" s="33"/>
      <c r="S634" s="34" t="str">
        <f>HYPERLINK("http://www.cnpol.ru/covers/16775.jpg","фото на сайте")</f>
        <v>фото на сайте</v>
      </c>
    </row>
    <row r="635" spans="1:19" ht="50.1" customHeight="1">
      <c r="A635" s="31"/>
      <c r="B635" s="32" t="s">
        <v>2665</v>
      </c>
      <c r="C635" s="31" t="s">
        <v>390</v>
      </c>
      <c r="D635" s="31" t="s">
        <v>2666</v>
      </c>
      <c r="E635" s="31" t="s">
        <v>2667</v>
      </c>
      <c r="F635" s="31">
        <v>588</v>
      </c>
      <c r="G635" s="31">
        <v>86</v>
      </c>
      <c r="H635" s="31">
        <v>10</v>
      </c>
      <c r="I635" s="31">
        <v>30</v>
      </c>
      <c r="J635" s="31" t="s">
        <v>2668</v>
      </c>
      <c r="K635" s="31" t="s">
        <v>123</v>
      </c>
      <c r="L635" s="31" t="s">
        <v>56</v>
      </c>
      <c r="M635" s="31">
        <v>158</v>
      </c>
      <c r="N635" s="31">
        <v>2016</v>
      </c>
      <c r="O635" s="31">
        <v>76</v>
      </c>
      <c r="P635" s="31"/>
      <c r="Q635" s="31"/>
      <c r="R635" s="33"/>
      <c r="S635" s="34" t="str">
        <f>HYPERLINK("http://www.cnpol.ru/covers/16523.jpg","фото на сайте")</f>
        <v>фото на сайте</v>
      </c>
    </row>
    <row r="636" spans="1:19" ht="50.1" customHeight="1">
      <c r="A636" s="31"/>
      <c r="B636" s="32" t="s">
        <v>2669</v>
      </c>
      <c r="C636" s="31" t="s">
        <v>400</v>
      </c>
      <c r="D636" s="31" t="s">
        <v>2670</v>
      </c>
      <c r="E636" s="31" t="s">
        <v>2671</v>
      </c>
      <c r="F636" s="31" t="s">
        <v>31</v>
      </c>
      <c r="G636" s="31">
        <v>503</v>
      </c>
      <c r="H636" s="31">
        <v>10</v>
      </c>
      <c r="I636" s="31">
        <v>14</v>
      </c>
      <c r="J636" s="31" t="s">
        <v>2672</v>
      </c>
      <c r="K636" s="31" t="s">
        <v>33</v>
      </c>
      <c r="L636" s="31" t="s">
        <v>34</v>
      </c>
      <c r="M636" s="31">
        <v>288</v>
      </c>
      <c r="N636" s="31">
        <v>2019</v>
      </c>
      <c r="O636" s="31">
        <v>254</v>
      </c>
      <c r="P636" s="31"/>
      <c r="Q636" s="31"/>
      <c r="R636" s="33"/>
      <c r="S636" s="34" t="str">
        <f>HYPERLINK("http://www.cnpol.ru/covers/18592.jpg","фото на сайте")</f>
        <v>фото на сайте</v>
      </c>
    </row>
    <row r="637" spans="1:19" ht="50.1" customHeight="1">
      <c r="A637" s="31"/>
      <c r="B637" s="32" t="s">
        <v>2673</v>
      </c>
      <c r="C637" s="31" t="s">
        <v>390</v>
      </c>
      <c r="D637" s="31" t="s">
        <v>2674</v>
      </c>
      <c r="E637" s="31" t="s">
        <v>2675</v>
      </c>
      <c r="F637" s="31">
        <v>688</v>
      </c>
      <c r="G637" s="31">
        <v>86</v>
      </c>
      <c r="H637" s="31">
        <v>10</v>
      </c>
      <c r="I637" s="31">
        <v>30</v>
      </c>
      <c r="J637" s="31" t="s">
        <v>2676</v>
      </c>
      <c r="K637" s="31" t="s">
        <v>123</v>
      </c>
      <c r="L637" s="31" t="s">
        <v>56</v>
      </c>
      <c r="M637" s="31">
        <v>160</v>
      </c>
      <c r="N637" s="31">
        <v>2017</v>
      </c>
      <c r="O637" s="31">
        <v>76</v>
      </c>
      <c r="P637" s="31"/>
      <c r="Q637" s="31"/>
      <c r="R637" s="33"/>
      <c r="S637" s="34" t="str">
        <f>HYPERLINK("http://www.cnpol.ru/covers/17293.jpg","фото на сайте")</f>
        <v>фото на сайте</v>
      </c>
    </row>
    <row r="638" spans="1:19" ht="50.1" customHeight="1">
      <c r="A638" s="31"/>
      <c r="B638" s="32" t="s">
        <v>2677</v>
      </c>
      <c r="C638" s="31" t="s">
        <v>390</v>
      </c>
      <c r="D638" s="31" t="s">
        <v>1801</v>
      </c>
      <c r="E638" s="31" t="s">
        <v>2678</v>
      </c>
      <c r="F638" s="31">
        <v>597</v>
      </c>
      <c r="G638" s="31">
        <v>86</v>
      </c>
      <c r="H638" s="31">
        <v>10</v>
      </c>
      <c r="I638" s="31">
        <v>30</v>
      </c>
      <c r="J638" s="31" t="s">
        <v>2679</v>
      </c>
      <c r="K638" s="31" t="s">
        <v>123</v>
      </c>
      <c r="L638" s="31" t="s">
        <v>56</v>
      </c>
      <c r="M638" s="31">
        <v>160</v>
      </c>
      <c r="N638" s="31">
        <v>2016</v>
      </c>
      <c r="O638" s="31">
        <v>76</v>
      </c>
      <c r="P638" s="31"/>
      <c r="Q638" s="31"/>
      <c r="R638" s="33"/>
      <c r="S638" s="34" t="str">
        <f>HYPERLINK("http://www.cnpol.ru/covers/16586.jpg","фото на сайте")</f>
        <v>фото на сайте</v>
      </c>
    </row>
    <row r="639" spans="1:19" ht="50.1" customHeight="1">
      <c r="A639" s="31"/>
      <c r="B639" s="32" t="s">
        <v>2680</v>
      </c>
      <c r="C639" s="31" t="s">
        <v>993</v>
      </c>
      <c r="D639" s="31" t="s">
        <v>2681</v>
      </c>
      <c r="E639" s="31" t="s">
        <v>2682</v>
      </c>
      <c r="F639" s="31" t="s">
        <v>31</v>
      </c>
      <c r="G639" s="31">
        <v>88</v>
      </c>
      <c r="H639" s="31">
        <v>10</v>
      </c>
      <c r="I639" s="31">
        <v>40</v>
      </c>
      <c r="J639" s="31" t="s">
        <v>2683</v>
      </c>
      <c r="K639" s="31" t="s">
        <v>123</v>
      </c>
      <c r="L639" s="31" t="s">
        <v>56</v>
      </c>
      <c r="M639" s="31">
        <v>125</v>
      </c>
      <c r="N639" s="31">
        <v>2008</v>
      </c>
      <c r="O639" s="31">
        <v>62</v>
      </c>
      <c r="P639" s="31"/>
      <c r="Q639" s="31"/>
      <c r="R639" s="33"/>
      <c r="S639" s="34" t="str">
        <f>HYPERLINK("http://www.cnpol.ru/covers/8815.jpg","фото на сайте")</f>
        <v>фото на сайте</v>
      </c>
    </row>
    <row r="640" spans="1:19" ht="50.1" customHeight="1">
      <c r="A640" s="31" t="s">
        <v>35</v>
      </c>
      <c r="B640" s="32" t="s">
        <v>2684</v>
      </c>
      <c r="C640" s="31" t="s">
        <v>1668</v>
      </c>
      <c r="D640" s="31" t="s">
        <v>1669</v>
      </c>
      <c r="E640" s="31" t="s">
        <v>2685</v>
      </c>
      <c r="F640" s="31" t="s">
        <v>31</v>
      </c>
      <c r="G640" s="35">
        <v>1119</v>
      </c>
      <c r="H640" s="31">
        <v>10</v>
      </c>
      <c r="I640" s="31">
        <v>7</v>
      </c>
      <c r="J640" s="31" t="s">
        <v>2686</v>
      </c>
      <c r="K640" s="31" t="s">
        <v>33</v>
      </c>
      <c r="L640" s="31" t="s">
        <v>34</v>
      </c>
      <c r="M640" s="31">
        <v>479</v>
      </c>
      <c r="N640" s="31">
        <v>2026</v>
      </c>
      <c r="O640" s="31" t="s">
        <v>220</v>
      </c>
      <c r="P640" s="31"/>
      <c r="Q640" s="31"/>
      <c r="R640" s="33" t="s">
        <v>2687</v>
      </c>
      <c r="S640" s="34" t="str">
        <f>HYPERLINK("http://www.cnpol.ru/covers/21897.jpg","фото на сайте")</f>
        <v>фото на сайте</v>
      </c>
    </row>
    <row r="641" spans="1:19" ht="50.1" customHeight="1">
      <c r="A641" s="31"/>
      <c r="B641" s="32" t="s">
        <v>2688</v>
      </c>
      <c r="C641" s="31" t="s">
        <v>1668</v>
      </c>
      <c r="D641" s="31" t="s">
        <v>1669</v>
      </c>
      <c r="E641" s="31" t="s">
        <v>2689</v>
      </c>
      <c r="F641" s="31" t="s">
        <v>31</v>
      </c>
      <c r="G641" s="31">
        <v>575</v>
      </c>
      <c r="H641" s="31">
        <v>10</v>
      </c>
      <c r="I641" s="31">
        <v>10</v>
      </c>
      <c r="J641" s="31" t="s">
        <v>2690</v>
      </c>
      <c r="K641" s="31" t="s">
        <v>33</v>
      </c>
      <c r="L641" s="31" t="s">
        <v>34</v>
      </c>
      <c r="M641" s="31">
        <v>446</v>
      </c>
      <c r="N641" s="31">
        <v>2021</v>
      </c>
      <c r="O641" s="31">
        <v>432</v>
      </c>
      <c r="P641" s="31"/>
      <c r="Q641" s="31"/>
      <c r="R641" s="33"/>
      <c r="S641" s="34" t="str">
        <f>HYPERLINK("http://www.cnpol.ru/covers/19978.jpg","фото на сайте")</f>
        <v>фото на сайте</v>
      </c>
    </row>
    <row r="642" spans="1:19" ht="50.1" customHeight="1">
      <c r="A642" s="31"/>
      <c r="B642" s="32" t="s">
        <v>2691</v>
      </c>
      <c r="C642" s="31" t="s">
        <v>390</v>
      </c>
      <c r="D642" s="31" t="s">
        <v>391</v>
      </c>
      <c r="E642" s="31" t="s">
        <v>2692</v>
      </c>
      <c r="F642" s="31">
        <v>1154</v>
      </c>
      <c r="G642" s="31">
        <v>86</v>
      </c>
      <c r="H642" s="31">
        <v>10</v>
      </c>
      <c r="I642" s="31">
        <v>30</v>
      </c>
      <c r="J642" s="31" t="s">
        <v>2693</v>
      </c>
      <c r="K642" s="31" t="s">
        <v>123</v>
      </c>
      <c r="L642" s="31" t="s">
        <v>56</v>
      </c>
      <c r="M642" s="31">
        <v>159</v>
      </c>
      <c r="N642" s="31">
        <v>2023</v>
      </c>
      <c r="O642" s="31">
        <v>76</v>
      </c>
      <c r="P642" s="31"/>
      <c r="Q642" s="31"/>
      <c r="R642" s="33" t="s">
        <v>2694</v>
      </c>
      <c r="S642" s="34" t="str">
        <f>HYPERLINK("http://www.cnpol.ru/covers/20850.jpg","фото на сайте")</f>
        <v>фото на сайте</v>
      </c>
    </row>
    <row r="643" spans="1:19" ht="50.1" customHeight="1">
      <c r="A643" s="31"/>
      <c r="B643" s="32" t="s">
        <v>2695</v>
      </c>
      <c r="C643" s="31" t="s">
        <v>546</v>
      </c>
      <c r="D643" s="31" t="s">
        <v>1628</v>
      </c>
      <c r="E643" s="31" t="s">
        <v>2696</v>
      </c>
      <c r="F643" s="31">
        <v>220</v>
      </c>
      <c r="G643" s="31">
        <v>93</v>
      </c>
      <c r="H643" s="31">
        <v>10</v>
      </c>
      <c r="I643" s="31">
        <v>30</v>
      </c>
      <c r="J643" s="31" t="s">
        <v>2697</v>
      </c>
      <c r="K643" s="31" t="s">
        <v>123</v>
      </c>
      <c r="L643" s="31" t="s">
        <v>56</v>
      </c>
      <c r="M643" s="31">
        <v>160</v>
      </c>
      <c r="N643" s="31">
        <v>2017</v>
      </c>
      <c r="O643" s="31">
        <v>76</v>
      </c>
      <c r="P643" s="31"/>
      <c r="Q643" s="31"/>
      <c r="R643" s="33"/>
      <c r="S643" s="34" t="str">
        <f>HYPERLINK("http://www.cnpol.ru/covers/17477.jpg","фото на сайте")</f>
        <v>фото на сайте</v>
      </c>
    </row>
    <row r="644" spans="1:19" ht="50.1" customHeight="1">
      <c r="A644" s="31" t="s">
        <v>35</v>
      </c>
      <c r="B644" s="32" t="s">
        <v>2698</v>
      </c>
      <c r="C644" s="31" t="s">
        <v>143</v>
      </c>
      <c r="D644" s="31" t="s">
        <v>2699</v>
      </c>
      <c r="E644" s="31" t="s">
        <v>2700</v>
      </c>
      <c r="F644" s="31" t="s">
        <v>31</v>
      </c>
      <c r="G644" s="31">
        <v>999</v>
      </c>
      <c r="H644" s="31">
        <v>10</v>
      </c>
      <c r="I644" s="31">
        <v>10</v>
      </c>
      <c r="J644" s="31" t="s">
        <v>2701</v>
      </c>
      <c r="K644" s="31" t="s">
        <v>33</v>
      </c>
      <c r="L644" s="31" t="s">
        <v>34</v>
      </c>
      <c r="M644" s="31">
        <v>511</v>
      </c>
      <c r="N644" s="31">
        <v>2025</v>
      </c>
      <c r="O644" s="31" t="s">
        <v>220</v>
      </c>
      <c r="P644" s="31"/>
      <c r="Q644" s="31"/>
      <c r="R644" s="33" t="s">
        <v>2702</v>
      </c>
      <c r="S644" s="34" t="str">
        <f>HYPERLINK("http://www.cnpol.ru/covers/21820.jpg","фото на сайте")</f>
        <v>фото на сайте</v>
      </c>
    </row>
    <row r="645" spans="1:19" ht="50.1" customHeight="1">
      <c r="A645" s="31"/>
      <c r="B645" s="32" t="s">
        <v>2703</v>
      </c>
      <c r="C645" s="31" t="s">
        <v>479</v>
      </c>
      <c r="D645" s="31" t="s">
        <v>2704</v>
      </c>
      <c r="E645" s="31" t="s">
        <v>2700</v>
      </c>
      <c r="F645" s="31" t="s">
        <v>31</v>
      </c>
      <c r="G645" s="31">
        <v>746</v>
      </c>
      <c r="H645" s="31">
        <v>10</v>
      </c>
      <c r="I645" s="31">
        <v>8</v>
      </c>
      <c r="J645" s="31" t="s">
        <v>2705</v>
      </c>
      <c r="K645" s="31" t="s">
        <v>33</v>
      </c>
      <c r="L645" s="31" t="s">
        <v>34</v>
      </c>
      <c r="M645" s="31">
        <v>416</v>
      </c>
      <c r="N645" s="31">
        <v>2018</v>
      </c>
      <c r="O645" s="31">
        <v>360</v>
      </c>
      <c r="P645" s="31"/>
      <c r="Q645" s="31"/>
      <c r="R645" s="33"/>
      <c r="S645" s="34" t="str">
        <f>HYPERLINK("http://www.cnpol.ru/covers/17980.jpg","фото на сайте")</f>
        <v>фото на сайте</v>
      </c>
    </row>
    <row r="646" spans="1:19" ht="50.1" customHeight="1">
      <c r="A646" s="31"/>
      <c r="B646" s="32" t="s">
        <v>2706</v>
      </c>
      <c r="C646" s="31" t="s">
        <v>37</v>
      </c>
      <c r="D646" s="31" t="s">
        <v>2707</v>
      </c>
      <c r="E646" s="31" t="s">
        <v>2708</v>
      </c>
      <c r="F646" s="31" t="s">
        <v>31</v>
      </c>
      <c r="G646" s="31">
        <v>467</v>
      </c>
      <c r="H646" s="31">
        <v>10</v>
      </c>
      <c r="I646" s="31">
        <v>14</v>
      </c>
      <c r="J646" s="31" t="s">
        <v>2709</v>
      </c>
      <c r="K646" s="31" t="s">
        <v>33</v>
      </c>
      <c r="L646" s="31" t="s">
        <v>34</v>
      </c>
      <c r="M646" s="31">
        <v>287</v>
      </c>
      <c r="N646" s="31">
        <v>2022</v>
      </c>
      <c r="O646" s="31">
        <v>258</v>
      </c>
      <c r="P646" s="31"/>
      <c r="Q646" s="31"/>
      <c r="R646" s="33" t="s">
        <v>2710</v>
      </c>
      <c r="S646" s="34" t="str">
        <f>HYPERLINK("http://www.cnpol.ru/covers/20382.jpg","фото на сайте")</f>
        <v>фото на сайте</v>
      </c>
    </row>
    <row r="647" spans="1:19" ht="50.1" customHeight="1">
      <c r="A647" s="31" t="s">
        <v>35</v>
      </c>
      <c r="B647" s="32" t="s">
        <v>2711</v>
      </c>
      <c r="C647" s="31" t="s">
        <v>37</v>
      </c>
      <c r="D647" s="31" t="s">
        <v>2712</v>
      </c>
      <c r="E647" s="31" t="s">
        <v>2713</v>
      </c>
      <c r="F647" s="31" t="s">
        <v>31</v>
      </c>
      <c r="G647" s="35">
        <v>1174</v>
      </c>
      <c r="H647" s="31">
        <v>10</v>
      </c>
      <c r="I647" s="31">
        <v>5</v>
      </c>
      <c r="J647" s="31" t="s">
        <v>2714</v>
      </c>
      <c r="K647" s="31" t="s">
        <v>33</v>
      </c>
      <c r="L647" s="31" t="s">
        <v>34</v>
      </c>
      <c r="M647" s="31">
        <v>479</v>
      </c>
      <c r="N647" s="31">
        <v>2025</v>
      </c>
      <c r="O647" s="31">
        <v>508</v>
      </c>
      <c r="P647" s="31"/>
      <c r="Q647" s="31"/>
      <c r="R647" s="33" t="s">
        <v>2715</v>
      </c>
      <c r="S647" s="34" t="str">
        <f>HYPERLINK("http://www.cnpol.ru/covers/21738.jpg","фото на сайте")</f>
        <v>фото на сайте</v>
      </c>
    </row>
    <row r="648" spans="1:19" ht="50.1" customHeight="1">
      <c r="A648" s="31" t="s">
        <v>43</v>
      </c>
      <c r="B648" s="32" t="s">
        <v>2716</v>
      </c>
      <c r="C648" s="31" t="s">
        <v>1540</v>
      </c>
      <c r="D648" s="31" t="s">
        <v>2717</v>
      </c>
      <c r="E648" s="31" t="s">
        <v>2718</v>
      </c>
      <c r="F648" s="31" t="s">
        <v>31</v>
      </c>
      <c r="G648" s="31">
        <v>961</v>
      </c>
      <c r="H648" s="31">
        <v>10</v>
      </c>
      <c r="I648" s="31">
        <v>10</v>
      </c>
      <c r="J648" s="31" t="s">
        <v>2719</v>
      </c>
      <c r="K648" s="31" t="s">
        <v>33</v>
      </c>
      <c r="L648" s="31" t="s">
        <v>34</v>
      </c>
      <c r="M648" s="31">
        <v>350</v>
      </c>
      <c r="N648" s="31">
        <v>2026</v>
      </c>
      <c r="O648" s="31" t="s">
        <v>220</v>
      </c>
      <c r="P648" s="31"/>
      <c r="Q648" s="31"/>
      <c r="R648" s="33" t="s">
        <v>2720</v>
      </c>
      <c r="S648" s="34" t="str">
        <f>HYPERLINK("http://www.cnpol.ru/covers/21886.jpg","фото на сайте")</f>
        <v>фото на сайте</v>
      </c>
    </row>
    <row r="649" spans="1:19" ht="50.1" customHeight="1">
      <c r="A649" s="31" t="s">
        <v>35</v>
      </c>
      <c r="B649" s="32" t="s">
        <v>2721</v>
      </c>
      <c r="C649" s="31" t="s">
        <v>143</v>
      </c>
      <c r="D649" s="31" t="s">
        <v>2722</v>
      </c>
      <c r="E649" s="31" t="s">
        <v>2723</v>
      </c>
      <c r="F649" s="31" t="s">
        <v>31</v>
      </c>
      <c r="G649" s="31">
        <v>917</v>
      </c>
      <c r="H649" s="31">
        <v>10</v>
      </c>
      <c r="I649" s="31">
        <v>6</v>
      </c>
      <c r="J649" s="31" t="s">
        <v>2724</v>
      </c>
      <c r="K649" s="31" t="s">
        <v>33</v>
      </c>
      <c r="L649" s="31" t="s">
        <v>34</v>
      </c>
      <c r="M649" s="31">
        <v>318</v>
      </c>
      <c r="N649" s="31">
        <v>2025</v>
      </c>
      <c r="O649" s="31">
        <v>370</v>
      </c>
      <c r="P649" s="31"/>
      <c r="Q649" s="31"/>
      <c r="R649" s="33" t="s">
        <v>2725</v>
      </c>
      <c r="S649" s="34" t="str">
        <f>HYPERLINK("http://www.cnpol.ru/covers/21599.jpg","фото на сайте")</f>
        <v>фото на сайте</v>
      </c>
    </row>
    <row r="650" spans="1:19" ht="50.1" customHeight="1">
      <c r="A650" s="31"/>
      <c r="B650" s="32" t="s">
        <v>2726</v>
      </c>
      <c r="C650" s="31" t="s">
        <v>143</v>
      </c>
      <c r="D650" s="31" t="s">
        <v>2727</v>
      </c>
      <c r="E650" s="31" t="s">
        <v>2728</v>
      </c>
      <c r="F650" s="31" t="s">
        <v>31</v>
      </c>
      <c r="G650" s="31">
        <v>942</v>
      </c>
      <c r="H650" s="31">
        <v>10</v>
      </c>
      <c r="I650" s="31">
        <v>10</v>
      </c>
      <c r="J650" s="31" t="s">
        <v>2729</v>
      </c>
      <c r="K650" s="31" t="s">
        <v>33</v>
      </c>
      <c r="L650" s="31" t="s">
        <v>34</v>
      </c>
      <c r="M650" s="31">
        <v>383</v>
      </c>
      <c r="N650" s="31">
        <v>2023</v>
      </c>
      <c r="O650" s="31">
        <v>442</v>
      </c>
      <c r="P650" s="31"/>
      <c r="Q650" s="31"/>
      <c r="R650" s="33" t="s">
        <v>2730</v>
      </c>
      <c r="S650" s="34" t="str">
        <f>HYPERLINK("http://www.cnpol.ru/covers/20780.jpg","фото на сайте")</f>
        <v>фото на сайте</v>
      </c>
    </row>
    <row r="651" spans="1:19" ht="50.1" customHeight="1">
      <c r="A651" s="31"/>
      <c r="B651" s="32" t="s">
        <v>2731</v>
      </c>
      <c r="C651" s="31" t="s">
        <v>143</v>
      </c>
      <c r="D651" s="31" t="s">
        <v>2732</v>
      </c>
      <c r="E651" s="31" t="s">
        <v>2733</v>
      </c>
      <c r="F651" s="31" t="s">
        <v>31</v>
      </c>
      <c r="G651" s="31">
        <v>771</v>
      </c>
      <c r="H651" s="31">
        <v>10</v>
      </c>
      <c r="I651" s="31">
        <v>14</v>
      </c>
      <c r="J651" s="31" t="s">
        <v>2734</v>
      </c>
      <c r="K651" s="31" t="s">
        <v>33</v>
      </c>
      <c r="L651" s="31" t="s">
        <v>34</v>
      </c>
      <c r="M651" s="31">
        <v>255</v>
      </c>
      <c r="N651" s="31">
        <v>2024</v>
      </c>
      <c r="O651" s="31">
        <v>326</v>
      </c>
      <c r="P651" s="31"/>
      <c r="Q651" s="31"/>
      <c r="R651" s="33" t="s">
        <v>2735</v>
      </c>
      <c r="S651" s="34" t="str">
        <f>HYPERLINK("http://www.cnpol.ru/covers/20962.jpg","фото на сайте")</f>
        <v>фото на сайте</v>
      </c>
    </row>
    <row r="652" spans="1:19" ht="50.1" customHeight="1">
      <c r="A652" s="31"/>
      <c r="B652" s="32" t="s">
        <v>2736</v>
      </c>
      <c r="C652" s="31" t="s">
        <v>143</v>
      </c>
      <c r="D652" s="31" t="s">
        <v>2737</v>
      </c>
      <c r="E652" s="31" t="s">
        <v>2738</v>
      </c>
      <c r="F652" s="31" t="s">
        <v>31</v>
      </c>
      <c r="G652" s="31">
        <v>661</v>
      </c>
      <c r="H652" s="31">
        <v>10</v>
      </c>
      <c r="I652" s="31">
        <v>6</v>
      </c>
      <c r="J652" s="31" t="s">
        <v>2739</v>
      </c>
      <c r="K652" s="31" t="s">
        <v>33</v>
      </c>
      <c r="L652" s="31" t="s">
        <v>34</v>
      </c>
      <c r="M652" s="31">
        <v>287</v>
      </c>
      <c r="N652" s="31">
        <v>2023</v>
      </c>
      <c r="O652" s="31">
        <v>427</v>
      </c>
      <c r="P652" s="31"/>
      <c r="Q652" s="31"/>
      <c r="R652" s="33" t="s">
        <v>2740</v>
      </c>
      <c r="S652" s="34" t="str">
        <f>HYPERLINK("http://www.cnpol.ru/covers/20750.jpg","фото на сайте")</f>
        <v>фото на сайте</v>
      </c>
    </row>
    <row r="653" spans="1:19" ht="50.1" customHeight="1">
      <c r="A653" s="31" t="s">
        <v>35</v>
      </c>
      <c r="B653" s="32" t="s">
        <v>2741</v>
      </c>
      <c r="C653" s="31" t="s">
        <v>2742</v>
      </c>
      <c r="D653" s="31" t="s">
        <v>2334</v>
      </c>
      <c r="E653" s="31" t="s">
        <v>2743</v>
      </c>
      <c r="F653" s="31" t="s">
        <v>31</v>
      </c>
      <c r="G653" s="31">
        <v>675</v>
      </c>
      <c r="H653" s="31">
        <v>10</v>
      </c>
      <c r="I653" s="31">
        <v>10</v>
      </c>
      <c r="J653" s="31" t="s">
        <v>2744</v>
      </c>
      <c r="K653" s="31" t="s">
        <v>33</v>
      </c>
      <c r="L653" s="31" t="s">
        <v>34</v>
      </c>
      <c r="M653" s="31">
        <v>574</v>
      </c>
      <c r="N653" s="31">
        <v>2024</v>
      </c>
      <c r="O653" s="31">
        <v>436</v>
      </c>
      <c r="P653" s="31"/>
      <c r="Q653" s="31"/>
      <c r="R653" s="33" t="s">
        <v>2745</v>
      </c>
      <c r="S653" s="34" t="str">
        <f>HYPERLINK("http://www.cnpol.ru/covers/21382.jpg","фото на сайте")</f>
        <v>фото на сайте</v>
      </c>
    </row>
    <row r="654" spans="1:19" ht="50.1" customHeight="1">
      <c r="A654" s="31"/>
      <c r="B654" s="32" t="s">
        <v>2746</v>
      </c>
      <c r="C654" s="31" t="s">
        <v>143</v>
      </c>
      <c r="D654" s="31" t="s">
        <v>2747</v>
      </c>
      <c r="E654" s="31" t="s">
        <v>2748</v>
      </c>
      <c r="F654" s="31" t="s">
        <v>31</v>
      </c>
      <c r="G654" s="35">
        <v>1174</v>
      </c>
      <c r="H654" s="31">
        <v>10</v>
      </c>
      <c r="I654" s="31">
        <v>10</v>
      </c>
      <c r="J654" s="31" t="s">
        <v>2749</v>
      </c>
      <c r="K654" s="31" t="s">
        <v>33</v>
      </c>
      <c r="L654" s="31" t="s">
        <v>34</v>
      </c>
      <c r="M654" s="31">
        <v>479</v>
      </c>
      <c r="N654" s="31">
        <v>2022</v>
      </c>
      <c r="O654" s="31">
        <v>470</v>
      </c>
      <c r="P654" s="31"/>
      <c r="Q654" s="31"/>
      <c r="R654" s="33"/>
      <c r="S654" s="34" t="str">
        <f>HYPERLINK("http://www.cnpol.ru/covers/19988.jpg","фото на сайте")</f>
        <v>фото на сайте</v>
      </c>
    </row>
    <row r="655" spans="1:19" ht="50.1" customHeight="1">
      <c r="A655" s="31" t="s">
        <v>35</v>
      </c>
      <c r="B655" s="32" t="s">
        <v>2750</v>
      </c>
      <c r="C655" s="31" t="s">
        <v>143</v>
      </c>
      <c r="D655" s="31" t="s">
        <v>2751</v>
      </c>
      <c r="E655" s="31" t="s">
        <v>2752</v>
      </c>
      <c r="F655" s="31" t="s">
        <v>31</v>
      </c>
      <c r="G655" s="31">
        <v>640</v>
      </c>
      <c r="H655" s="31">
        <v>10</v>
      </c>
      <c r="I655" s="31">
        <v>20</v>
      </c>
      <c r="J655" s="31" t="s">
        <v>2753</v>
      </c>
      <c r="K655" s="31" t="s">
        <v>33</v>
      </c>
      <c r="L655" s="31" t="s">
        <v>34</v>
      </c>
      <c r="M655" s="31">
        <v>223</v>
      </c>
      <c r="N655" s="31">
        <v>2025</v>
      </c>
      <c r="O655" s="31">
        <v>188</v>
      </c>
      <c r="P655" s="31"/>
      <c r="Q655" s="31"/>
      <c r="R655" s="33" t="s">
        <v>2754</v>
      </c>
      <c r="S655" s="34" t="str">
        <f>HYPERLINK("http://www.cnpol.ru/covers/21641.jpg","фото на сайте")</f>
        <v>фото на сайте</v>
      </c>
    </row>
    <row r="656" spans="1:19" ht="50.1" customHeight="1">
      <c r="A656" s="31" t="s">
        <v>43</v>
      </c>
      <c r="B656" s="32" t="s">
        <v>2755</v>
      </c>
      <c r="C656" s="31" t="s">
        <v>143</v>
      </c>
      <c r="D656" s="31" t="s">
        <v>2756</v>
      </c>
      <c r="E656" s="31" t="s">
        <v>2757</v>
      </c>
      <c r="F656" s="31" t="s">
        <v>31</v>
      </c>
      <c r="G656" s="31">
        <v>850</v>
      </c>
      <c r="H656" s="31">
        <v>10</v>
      </c>
      <c r="I656" s="31">
        <v>8</v>
      </c>
      <c r="J656" s="31" t="s">
        <v>2758</v>
      </c>
      <c r="K656" s="31" t="s">
        <v>33</v>
      </c>
      <c r="L656" s="31" t="s">
        <v>34</v>
      </c>
      <c r="M656" s="31">
        <v>255</v>
      </c>
      <c r="N656" s="31">
        <v>2025</v>
      </c>
      <c r="O656" s="31">
        <v>188</v>
      </c>
      <c r="P656" s="31"/>
      <c r="Q656" s="31"/>
      <c r="R656" s="33" t="s">
        <v>2759</v>
      </c>
      <c r="S656" s="34" t="str">
        <f>HYPERLINK("http://www.cnpol.ru/covers/21577.jpg","фото на сайте")</f>
        <v>фото на сайте</v>
      </c>
    </row>
    <row r="657" spans="1:19" ht="50.1" customHeight="1">
      <c r="A657" s="31"/>
      <c r="B657" s="32" t="s">
        <v>2760</v>
      </c>
      <c r="C657" s="31" t="s">
        <v>143</v>
      </c>
      <c r="D657" s="31" t="s">
        <v>2761</v>
      </c>
      <c r="E657" s="31" t="s">
        <v>2762</v>
      </c>
      <c r="F657" s="31" t="s">
        <v>31</v>
      </c>
      <c r="G657" s="35">
        <v>1919</v>
      </c>
      <c r="H657" s="31">
        <v>10</v>
      </c>
      <c r="I657" s="31">
        <v>6</v>
      </c>
      <c r="J657" s="31" t="s">
        <v>2763</v>
      </c>
      <c r="K657" s="31" t="s">
        <v>41</v>
      </c>
      <c r="L657" s="31" t="s">
        <v>34</v>
      </c>
      <c r="M657" s="31">
        <v>769</v>
      </c>
      <c r="N657" s="31">
        <v>2022</v>
      </c>
      <c r="O657" s="31">
        <v>870</v>
      </c>
      <c r="P657" s="31"/>
      <c r="Q657" s="31"/>
      <c r="R657" s="33" t="s">
        <v>2764</v>
      </c>
      <c r="S657" s="34" t="str">
        <f>HYPERLINK("http://www.cnpol.ru/covers/20319.jpg","фото на сайте")</f>
        <v>фото на сайте</v>
      </c>
    </row>
    <row r="658" spans="1:19" ht="50.1" customHeight="1">
      <c r="A658" s="31" t="s">
        <v>35</v>
      </c>
      <c r="B658" s="32" t="s">
        <v>2765</v>
      </c>
      <c r="C658" s="31" t="s">
        <v>143</v>
      </c>
      <c r="D658" s="31" t="s">
        <v>2766</v>
      </c>
      <c r="E658" s="31" t="s">
        <v>2767</v>
      </c>
      <c r="F658" s="31" t="s">
        <v>31</v>
      </c>
      <c r="G658" s="31">
        <v>916</v>
      </c>
      <c r="H658" s="31">
        <v>10</v>
      </c>
      <c r="I658" s="31">
        <v>8</v>
      </c>
      <c r="J658" s="31" t="s">
        <v>2768</v>
      </c>
      <c r="K658" s="31" t="s">
        <v>33</v>
      </c>
      <c r="L658" s="31" t="s">
        <v>34</v>
      </c>
      <c r="M658" s="31">
        <v>511</v>
      </c>
      <c r="N658" s="31">
        <v>2025</v>
      </c>
      <c r="O658" s="31" t="s">
        <v>220</v>
      </c>
      <c r="P658" s="31"/>
      <c r="Q658" s="31"/>
      <c r="R658" s="33" t="s">
        <v>2769</v>
      </c>
      <c r="S658" s="34" t="str">
        <f>HYPERLINK("http://www.cnpol.ru/covers/21817.jpg","фото на сайте")</f>
        <v>фото на сайте</v>
      </c>
    </row>
    <row r="659" spans="1:19" ht="50.1" customHeight="1">
      <c r="A659" s="31"/>
      <c r="B659" s="32" t="s">
        <v>2770</v>
      </c>
      <c r="C659" s="31" t="s">
        <v>143</v>
      </c>
      <c r="D659" s="31" t="s">
        <v>2771</v>
      </c>
      <c r="E659" s="31" t="s">
        <v>2772</v>
      </c>
      <c r="F659" s="31" t="s">
        <v>31</v>
      </c>
      <c r="G659" s="31">
        <v>961</v>
      </c>
      <c r="H659" s="31">
        <v>10</v>
      </c>
      <c r="I659" s="31">
        <v>12</v>
      </c>
      <c r="J659" s="31" t="s">
        <v>2773</v>
      </c>
      <c r="K659" s="31" t="s">
        <v>33</v>
      </c>
      <c r="L659" s="31" t="s">
        <v>34</v>
      </c>
      <c r="M659" s="31">
        <v>351</v>
      </c>
      <c r="N659" s="31">
        <v>2022</v>
      </c>
      <c r="O659" s="31">
        <v>310</v>
      </c>
      <c r="P659" s="31"/>
      <c r="Q659" s="31"/>
      <c r="R659" s="33" t="s">
        <v>2774</v>
      </c>
      <c r="S659" s="34" t="str">
        <f>HYPERLINK("http://www.cnpol.ru/covers/20326.jpg","фото на сайте")</f>
        <v>фото на сайте</v>
      </c>
    </row>
    <row r="660" spans="1:19" ht="50.1" customHeight="1">
      <c r="A660" s="31"/>
      <c r="B660" s="32" t="s">
        <v>2775</v>
      </c>
      <c r="C660" s="31" t="s">
        <v>143</v>
      </c>
      <c r="D660" s="31" t="s">
        <v>2776</v>
      </c>
      <c r="E660" s="31" t="s">
        <v>2777</v>
      </c>
      <c r="F660" s="31" t="s">
        <v>31</v>
      </c>
      <c r="G660" s="31">
        <v>759</v>
      </c>
      <c r="H660" s="31">
        <v>10</v>
      </c>
      <c r="I660" s="31">
        <v>12</v>
      </c>
      <c r="J660" s="31" t="s">
        <v>2778</v>
      </c>
      <c r="K660" s="31" t="s">
        <v>33</v>
      </c>
      <c r="L660" s="31" t="s">
        <v>34</v>
      </c>
      <c r="M660" s="31">
        <v>223</v>
      </c>
      <c r="N660" s="31">
        <v>2022</v>
      </c>
      <c r="O660" s="31">
        <v>220</v>
      </c>
      <c r="P660" s="31"/>
      <c r="Q660" s="31"/>
      <c r="R660" s="33" t="s">
        <v>2779</v>
      </c>
      <c r="S660" s="34" t="str">
        <f>HYPERLINK("http://www.cnpol.ru/covers/20458.jpg","фото на сайте")</f>
        <v>фото на сайте</v>
      </c>
    </row>
    <row r="661" spans="1:19" ht="50.1" customHeight="1">
      <c r="A661" s="31" t="s">
        <v>43</v>
      </c>
      <c r="B661" s="32" t="s">
        <v>2780</v>
      </c>
      <c r="C661" s="31" t="s">
        <v>37</v>
      </c>
      <c r="D661" s="31" t="s">
        <v>2781</v>
      </c>
      <c r="E661" s="31" t="s">
        <v>2782</v>
      </c>
      <c r="F661" s="31" t="s">
        <v>31</v>
      </c>
      <c r="G661" s="31">
        <v>916</v>
      </c>
      <c r="H661" s="31">
        <v>10</v>
      </c>
      <c r="I661" s="31">
        <v>10</v>
      </c>
      <c r="J661" s="31" t="s">
        <v>2783</v>
      </c>
      <c r="K661" s="31" t="s">
        <v>33</v>
      </c>
      <c r="L661" s="31" t="s">
        <v>34</v>
      </c>
      <c r="M661" s="31">
        <v>511</v>
      </c>
      <c r="N661" s="31">
        <v>2025</v>
      </c>
      <c r="O661" s="31">
        <v>420</v>
      </c>
      <c r="P661" s="31"/>
      <c r="Q661" s="31"/>
      <c r="R661" s="33" t="s">
        <v>2784</v>
      </c>
      <c r="S661" s="34" t="str">
        <f>HYPERLINK("http://www.cnpol.ru/covers/21575.jpg","фото на сайте")</f>
        <v>фото на сайте</v>
      </c>
    </row>
    <row r="662" spans="1:19" ht="50.1" customHeight="1">
      <c r="A662" s="31" t="s">
        <v>43</v>
      </c>
      <c r="B662" s="32" t="s">
        <v>2785</v>
      </c>
      <c r="C662" s="31" t="s">
        <v>37</v>
      </c>
      <c r="D662" s="31" t="s">
        <v>2786</v>
      </c>
      <c r="E662" s="31" t="s">
        <v>2787</v>
      </c>
      <c r="F662" s="31" t="s">
        <v>31</v>
      </c>
      <c r="G662" s="31">
        <v>622</v>
      </c>
      <c r="H662" s="31">
        <v>10</v>
      </c>
      <c r="I662" s="31">
        <v>12</v>
      </c>
      <c r="J662" s="31" t="s">
        <v>2788</v>
      </c>
      <c r="K662" s="31" t="s">
        <v>33</v>
      </c>
      <c r="L662" s="31" t="s">
        <v>34</v>
      </c>
      <c r="M662" s="31">
        <v>479</v>
      </c>
      <c r="N662" s="31">
        <v>2025</v>
      </c>
      <c r="O662" s="31">
        <v>266</v>
      </c>
      <c r="P662" s="31"/>
      <c r="Q662" s="31"/>
      <c r="R662" s="33" t="s">
        <v>2789</v>
      </c>
      <c r="S662" s="34" t="str">
        <f>HYPERLINK("http://www.cnpol.ru/covers/21468.jpg","фото на сайте")</f>
        <v>фото на сайте</v>
      </c>
    </row>
    <row r="663" spans="1:19" ht="50.1" customHeight="1">
      <c r="A663" s="31"/>
      <c r="B663" s="32" t="s">
        <v>2790</v>
      </c>
      <c r="C663" s="31" t="s">
        <v>143</v>
      </c>
      <c r="D663" s="31" t="s">
        <v>2791</v>
      </c>
      <c r="E663" s="31" t="s">
        <v>2792</v>
      </c>
      <c r="F663" s="31" t="s">
        <v>31</v>
      </c>
      <c r="G663" s="31">
        <v>685</v>
      </c>
      <c r="H663" s="31">
        <v>10</v>
      </c>
      <c r="I663" s="31">
        <v>20</v>
      </c>
      <c r="J663" s="31" t="s">
        <v>2793</v>
      </c>
      <c r="K663" s="31" t="s">
        <v>33</v>
      </c>
      <c r="L663" s="31" t="s">
        <v>34</v>
      </c>
      <c r="M663" s="31">
        <v>191</v>
      </c>
      <c r="N663" s="31">
        <v>2022</v>
      </c>
      <c r="O663" s="31">
        <v>280</v>
      </c>
      <c r="P663" s="31"/>
      <c r="Q663" s="31"/>
      <c r="R663" s="33"/>
      <c r="S663" s="34" t="str">
        <f>HYPERLINK("http://www.cnpol.ru/covers/20201.jpg","фото на сайте")</f>
        <v>фото на сайте</v>
      </c>
    </row>
    <row r="664" spans="1:19" ht="50.1" customHeight="1">
      <c r="A664" s="31"/>
      <c r="B664" s="32" t="s">
        <v>2794</v>
      </c>
      <c r="C664" s="31" t="s">
        <v>126</v>
      </c>
      <c r="D664" s="31" t="s">
        <v>236</v>
      </c>
      <c r="E664" s="31" t="s">
        <v>2795</v>
      </c>
      <c r="F664" s="31" t="s">
        <v>31</v>
      </c>
      <c r="G664" s="31">
        <v>162</v>
      </c>
      <c r="H664" s="31">
        <v>10</v>
      </c>
      <c r="I664" s="31">
        <v>50</v>
      </c>
      <c r="J664" s="31" t="s">
        <v>2796</v>
      </c>
      <c r="K664" s="31" t="s">
        <v>130</v>
      </c>
      <c r="L664" s="31" t="s">
        <v>56</v>
      </c>
      <c r="M664" s="31">
        <v>126</v>
      </c>
      <c r="N664" s="31">
        <v>2014</v>
      </c>
      <c r="O664" s="31">
        <v>84</v>
      </c>
      <c r="P664" s="31"/>
      <c r="Q664" s="31"/>
      <c r="R664" s="33"/>
      <c r="S664" s="34" t="str">
        <f>HYPERLINK("http://www.cnpol.ru/covers/15266.jpg","фото на сайте")</f>
        <v>фото на сайте</v>
      </c>
    </row>
    <row r="665" spans="1:19" ht="50.1" customHeight="1">
      <c r="A665" s="31"/>
      <c r="B665" s="32" t="s">
        <v>2797</v>
      </c>
      <c r="C665" s="31" t="s">
        <v>528</v>
      </c>
      <c r="D665" s="31" t="s">
        <v>529</v>
      </c>
      <c r="E665" s="31" t="s">
        <v>2798</v>
      </c>
      <c r="F665" s="31" t="s">
        <v>31</v>
      </c>
      <c r="G665" s="31">
        <v>137</v>
      </c>
      <c r="H665" s="31">
        <v>10</v>
      </c>
      <c r="I665" s="31">
        <v>30</v>
      </c>
      <c r="J665" s="31" t="s">
        <v>2799</v>
      </c>
      <c r="K665" s="31" t="s">
        <v>55</v>
      </c>
      <c r="L665" s="31" t="s">
        <v>56</v>
      </c>
      <c r="M665" s="31">
        <v>159</v>
      </c>
      <c r="N665" s="31">
        <v>2021</v>
      </c>
      <c r="O665" s="31">
        <v>70</v>
      </c>
      <c r="P665" s="31"/>
      <c r="Q665" s="31"/>
      <c r="R665" s="33"/>
      <c r="S665" s="34" t="str">
        <f>HYPERLINK("http://www.cnpol.ru/covers/19898.jpg","фото на сайте")</f>
        <v>фото на сайте</v>
      </c>
    </row>
    <row r="666" spans="1:19" ht="50.1" customHeight="1">
      <c r="A666" s="31"/>
      <c r="B666" s="32" t="s">
        <v>2800</v>
      </c>
      <c r="C666" s="31" t="s">
        <v>528</v>
      </c>
      <c r="D666" s="31" t="s">
        <v>529</v>
      </c>
      <c r="E666" s="31" t="s">
        <v>2801</v>
      </c>
      <c r="F666" s="31" t="s">
        <v>31</v>
      </c>
      <c r="G666" s="31">
        <v>137</v>
      </c>
      <c r="H666" s="31">
        <v>10</v>
      </c>
      <c r="I666" s="31">
        <v>80</v>
      </c>
      <c r="J666" s="31" t="s">
        <v>2802</v>
      </c>
      <c r="K666" s="31" t="s">
        <v>55</v>
      </c>
      <c r="L666" s="31" t="s">
        <v>56</v>
      </c>
      <c r="M666" s="31">
        <v>157</v>
      </c>
      <c r="N666" s="31">
        <v>2014</v>
      </c>
      <c r="O666" s="31">
        <v>72</v>
      </c>
      <c r="P666" s="31"/>
      <c r="Q666" s="31"/>
      <c r="R666" s="33"/>
      <c r="S666" s="34" t="str">
        <f>HYPERLINK("http://www.cnpol.ru/covers/14906.jpg","фото на сайте")</f>
        <v>фото на сайте</v>
      </c>
    </row>
    <row r="667" spans="1:19" ht="50.1" customHeight="1">
      <c r="A667" s="31"/>
      <c r="B667" s="32" t="s">
        <v>2803</v>
      </c>
      <c r="C667" s="31" t="s">
        <v>528</v>
      </c>
      <c r="D667" s="31" t="s">
        <v>529</v>
      </c>
      <c r="E667" s="31" t="s">
        <v>2801</v>
      </c>
      <c r="F667" s="31" t="s">
        <v>31</v>
      </c>
      <c r="G667" s="31">
        <v>137</v>
      </c>
      <c r="H667" s="31">
        <v>10</v>
      </c>
      <c r="I667" s="31">
        <v>40</v>
      </c>
      <c r="J667" s="31" t="s">
        <v>2802</v>
      </c>
      <c r="K667" s="31" t="s">
        <v>55</v>
      </c>
      <c r="L667" s="31" t="s">
        <v>56</v>
      </c>
      <c r="M667" s="31">
        <v>159</v>
      </c>
      <c r="N667" s="31">
        <v>2014</v>
      </c>
      <c r="O667" s="31">
        <v>70</v>
      </c>
      <c r="P667" s="31"/>
      <c r="Q667" s="31"/>
      <c r="R667" s="33"/>
      <c r="S667" s="34" t="str">
        <f>HYPERLINK("http://www.cnpol.ru/covers/15613.jpg","фото на сайте")</f>
        <v>фото на сайте</v>
      </c>
    </row>
    <row r="668" spans="1:19" ht="50.1" customHeight="1">
      <c r="A668" s="31"/>
      <c r="B668" s="32" t="s">
        <v>2804</v>
      </c>
      <c r="C668" s="31" t="s">
        <v>1390</v>
      </c>
      <c r="D668" s="31" t="s">
        <v>236</v>
      </c>
      <c r="E668" s="31" t="s">
        <v>2805</v>
      </c>
      <c r="F668" s="31" t="s">
        <v>31</v>
      </c>
      <c r="G668" s="31">
        <v>209</v>
      </c>
      <c r="H668" s="31">
        <v>10</v>
      </c>
      <c r="I668" s="31">
        <v>18</v>
      </c>
      <c r="J668" s="31" t="s">
        <v>2806</v>
      </c>
      <c r="K668" s="31" t="s">
        <v>130</v>
      </c>
      <c r="L668" s="31" t="s">
        <v>56</v>
      </c>
      <c r="M668" s="31">
        <v>256</v>
      </c>
      <c r="N668" s="31">
        <v>2021</v>
      </c>
      <c r="O668" s="31">
        <v>158</v>
      </c>
      <c r="P668" s="31"/>
      <c r="Q668" s="31"/>
      <c r="R668" s="33"/>
      <c r="S668" s="34" t="str">
        <f>HYPERLINK("http://www.cnpol.ru/covers/19690.jpg","фото на сайте")</f>
        <v>фото на сайте</v>
      </c>
    </row>
    <row r="669" spans="1:19" ht="50.1" customHeight="1">
      <c r="A669" s="31" t="s">
        <v>43</v>
      </c>
      <c r="B669" s="32" t="s">
        <v>2807</v>
      </c>
      <c r="C669" s="31" t="s">
        <v>143</v>
      </c>
      <c r="D669" s="31" t="s">
        <v>2808</v>
      </c>
      <c r="E669" s="31" t="s">
        <v>2809</v>
      </c>
      <c r="F669" s="31" t="s">
        <v>31</v>
      </c>
      <c r="G669" s="31">
        <v>822</v>
      </c>
      <c r="H669" s="31">
        <v>10</v>
      </c>
      <c r="I669" s="31">
        <v>16</v>
      </c>
      <c r="J669" s="31" t="s">
        <v>2810</v>
      </c>
      <c r="K669" s="31" t="s">
        <v>33</v>
      </c>
      <c r="L669" s="31" t="s">
        <v>34</v>
      </c>
      <c r="M669" s="31">
        <v>239</v>
      </c>
      <c r="N669" s="31">
        <v>2025</v>
      </c>
      <c r="O669" s="31">
        <v>299</v>
      </c>
      <c r="P669" s="31"/>
      <c r="Q669" s="31"/>
      <c r="R669" s="33" t="s">
        <v>2811</v>
      </c>
      <c r="S669" s="34" t="str">
        <f>HYPERLINK("http://www.cnpol.ru/covers/21544.jpg","фото на сайте")</f>
        <v>фото на сайте</v>
      </c>
    </row>
    <row r="670" spans="1:19" ht="50.1" customHeight="1">
      <c r="A670" s="31"/>
      <c r="B670" s="32" t="s">
        <v>2812</v>
      </c>
      <c r="C670" s="31" t="s">
        <v>818</v>
      </c>
      <c r="D670" s="31" t="s">
        <v>2813</v>
      </c>
      <c r="E670" s="31" t="s">
        <v>2814</v>
      </c>
      <c r="F670" s="31" t="s">
        <v>31</v>
      </c>
      <c r="G670" s="31">
        <v>88</v>
      </c>
      <c r="H670" s="31">
        <v>10</v>
      </c>
      <c r="I670" s="31">
        <v>22</v>
      </c>
      <c r="J670" s="31" t="s">
        <v>2815</v>
      </c>
      <c r="K670" s="31" t="s">
        <v>260</v>
      </c>
      <c r="L670" s="31" t="s">
        <v>56</v>
      </c>
      <c r="M670" s="31">
        <v>223</v>
      </c>
      <c r="N670" s="31">
        <v>2004</v>
      </c>
      <c r="O670" s="31">
        <v>140</v>
      </c>
      <c r="P670" s="31"/>
      <c r="Q670" s="31"/>
      <c r="R670" s="33"/>
      <c r="S670" s="34" t="str">
        <f>HYPERLINK("http://www.cnpol.ru/covers/4850.jpg","фото на сайте")</f>
        <v>фото на сайте</v>
      </c>
    </row>
    <row r="671" spans="1:19" ht="50.1" customHeight="1">
      <c r="A671" s="31"/>
      <c r="B671" s="32" t="s">
        <v>2816</v>
      </c>
      <c r="C671" s="31" t="s">
        <v>2817</v>
      </c>
      <c r="D671" s="31" t="s">
        <v>2818</v>
      </c>
      <c r="E671" s="31" t="s">
        <v>2819</v>
      </c>
      <c r="F671" s="31" t="s">
        <v>31</v>
      </c>
      <c r="G671" s="31">
        <v>162</v>
      </c>
      <c r="H671" s="31">
        <v>10</v>
      </c>
      <c r="I671" s="31">
        <v>32</v>
      </c>
      <c r="J671" s="31" t="s">
        <v>2820</v>
      </c>
      <c r="K671" s="31" t="s">
        <v>130</v>
      </c>
      <c r="L671" s="31" t="s">
        <v>56</v>
      </c>
      <c r="M671" s="31">
        <v>192</v>
      </c>
      <c r="N671" s="31">
        <v>2015</v>
      </c>
      <c r="O671" s="31">
        <v>118</v>
      </c>
      <c r="P671" s="31"/>
      <c r="Q671" s="31"/>
      <c r="R671" s="33"/>
      <c r="S671" s="34" t="str">
        <f>HYPERLINK("http://www.cnpol.ru/covers/16104.jpg","фото на сайте")</f>
        <v>фото на сайте</v>
      </c>
    </row>
    <row r="672" spans="1:19" ht="50.1" customHeight="1">
      <c r="A672" s="31"/>
      <c r="B672" s="32" t="s">
        <v>2821</v>
      </c>
      <c r="C672" s="31" t="s">
        <v>28</v>
      </c>
      <c r="D672" s="31" t="s">
        <v>2822</v>
      </c>
      <c r="E672" s="31" t="s">
        <v>2823</v>
      </c>
      <c r="F672" s="31" t="s">
        <v>31</v>
      </c>
      <c r="G672" s="31">
        <v>773</v>
      </c>
      <c r="H672" s="31">
        <v>10</v>
      </c>
      <c r="I672" s="31">
        <v>20</v>
      </c>
      <c r="J672" s="31" t="s">
        <v>2824</v>
      </c>
      <c r="K672" s="31" t="s">
        <v>33</v>
      </c>
      <c r="L672" s="31" t="s">
        <v>34</v>
      </c>
      <c r="M672" s="31">
        <v>288</v>
      </c>
      <c r="N672" s="31">
        <v>2016</v>
      </c>
      <c r="O672" s="31">
        <v>324</v>
      </c>
      <c r="P672" s="31"/>
      <c r="Q672" s="31"/>
      <c r="R672" s="33"/>
      <c r="S672" s="34" t="str">
        <f>HYPERLINK("http://www.cnpol.ru/covers/17000.jpg","фото на сайте")</f>
        <v>фото на сайте</v>
      </c>
    </row>
    <row r="673" spans="1:19" ht="50.1" customHeight="1">
      <c r="A673" s="31" t="s">
        <v>43</v>
      </c>
      <c r="B673" s="32" t="s">
        <v>2825</v>
      </c>
      <c r="C673" s="31" t="s">
        <v>37</v>
      </c>
      <c r="D673" s="31" t="s">
        <v>2826</v>
      </c>
      <c r="E673" s="31" t="s">
        <v>2827</v>
      </c>
      <c r="F673" s="31" t="s">
        <v>31</v>
      </c>
      <c r="G673" s="31">
        <v>611</v>
      </c>
      <c r="H673" s="31">
        <v>10</v>
      </c>
      <c r="I673" s="31">
        <v>8</v>
      </c>
      <c r="J673" s="31" t="s">
        <v>2828</v>
      </c>
      <c r="K673" s="31" t="s">
        <v>33</v>
      </c>
      <c r="L673" s="31" t="s">
        <v>34</v>
      </c>
      <c r="M673" s="31">
        <v>575</v>
      </c>
      <c r="N673" s="31">
        <v>2024</v>
      </c>
      <c r="O673" s="31">
        <v>420</v>
      </c>
      <c r="P673" s="31"/>
      <c r="Q673" s="31"/>
      <c r="R673" s="33" t="s">
        <v>2829</v>
      </c>
      <c r="S673" s="34" t="str">
        <f>HYPERLINK("http://www.cnpol.ru/covers/21250.jpg","фото на сайте")</f>
        <v>фото на сайте</v>
      </c>
    </row>
    <row r="674" spans="1:19" ht="50.1" customHeight="1">
      <c r="A674" s="31"/>
      <c r="B674" s="32" t="s">
        <v>2830</v>
      </c>
      <c r="C674" s="31" t="s">
        <v>400</v>
      </c>
      <c r="D674" s="31" t="s">
        <v>1369</v>
      </c>
      <c r="E674" s="31" t="s">
        <v>2831</v>
      </c>
      <c r="F674" s="31" t="s">
        <v>31</v>
      </c>
      <c r="G674" s="31">
        <v>503</v>
      </c>
      <c r="H674" s="31">
        <v>10</v>
      </c>
      <c r="I674" s="31">
        <v>12</v>
      </c>
      <c r="J674" s="31" t="s">
        <v>2832</v>
      </c>
      <c r="K674" s="31" t="s">
        <v>33</v>
      </c>
      <c r="L674" s="31" t="s">
        <v>34</v>
      </c>
      <c r="M674" s="31">
        <v>352</v>
      </c>
      <c r="N674" s="31">
        <v>2015</v>
      </c>
      <c r="O674" s="31">
        <v>278</v>
      </c>
      <c r="P674" s="31"/>
      <c r="Q674" s="31"/>
      <c r="R674" s="33"/>
      <c r="S674" s="34" t="str">
        <f>HYPERLINK("http://www.cnpol.ru/covers/15817.jpg","фото на сайте")</f>
        <v>фото на сайте</v>
      </c>
    </row>
    <row r="675" spans="1:19" ht="50.1" customHeight="1">
      <c r="A675" s="31" t="s">
        <v>43</v>
      </c>
      <c r="B675" s="32" t="s">
        <v>2833</v>
      </c>
      <c r="C675" s="31" t="s">
        <v>171</v>
      </c>
      <c r="D675" s="31" t="s">
        <v>172</v>
      </c>
      <c r="E675" s="31" t="s">
        <v>2834</v>
      </c>
      <c r="F675" s="31" t="s">
        <v>31</v>
      </c>
      <c r="G675" s="35">
        <v>1753</v>
      </c>
      <c r="H675" s="31">
        <v>10</v>
      </c>
      <c r="I675" s="31">
        <v>5</v>
      </c>
      <c r="J675" s="31" t="s">
        <v>2835</v>
      </c>
      <c r="K675" s="31" t="s">
        <v>41</v>
      </c>
      <c r="L675" s="31" t="s">
        <v>34</v>
      </c>
      <c r="M675" s="31">
        <v>655</v>
      </c>
      <c r="N675" s="31">
        <v>2024</v>
      </c>
      <c r="O675" s="31">
        <v>755</v>
      </c>
      <c r="P675" s="31"/>
      <c r="Q675" s="31"/>
      <c r="R675" s="33" t="s">
        <v>2836</v>
      </c>
      <c r="S675" s="34" t="str">
        <f>HYPERLINK("http://www.cnpol.ru/covers/21087.jpg","фото на сайте")</f>
        <v>фото на сайте</v>
      </c>
    </row>
    <row r="676" spans="1:19" ht="50.1" customHeight="1">
      <c r="A676" s="31"/>
      <c r="B676" s="32" t="s">
        <v>2837</v>
      </c>
      <c r="C676" s="31" t="s">
        <v>533</v>
      </c>
      <c r="D676" s="31" t="s">
        <v>2838</v>
      </c>
      <c r="E676" s="31" t="s">
        <v>2839</v>
      </c>
      <c r="F676" s="31" t="s">
        <v>31</v>
      </c>
      <c r="G676" s="31">
        <v>236</v>
      </c>
      <c r="H676" s="31">
        <v>10</v>
      </c>
      <c r="I676" s="31">
        <v>10</v>
      </c>
      <c r="J676" s="31" t="s">
        <v>2840</v>
      </c>
      <c r="K676" s="31" t="s">
        <v>33</v>
      </c>
      <c r="L676" s="31" t="s">
        <v>34</v>
      </c>
      <c r="M676" s="31">
        <v>494</v>
      </c>
      <c r="N676" s="31">
        <v>2001</v>
      </c>
      <c r="O676" s="31">
        <v>370</v>
      </c>
      <c r="P676" s="31"/>
      <c r="Q676" s="31"/>
      <c r="R676" s="33"/>
      <c r="S676" s="34" t="str">
        <f>HYPERLINK("http://www.cnpol.ru/covers/2824.jpg","фото на сайте")</f>
        <v>фото на сайте</v>
      </c>
    </row>
    <row r="677" spans="1:19" ht="50.1" customHeight="1">
      <c r="A677" s="31"/>
      <c r="B677" s="32" t="s">
        <v>2841</v>
      </c>
      <c r="C677" s="31" t="s">
        <v>132</v>
      </c>
      <c r="D677" s="31" t="s">
        <v>2102</v>
      </c>
      <c r="E677" s="31" t="s">
        <v>2842</v>
      </c>
      <c r="F677" s="31" t="s">
        <v>31</v>
      </c>
      <c r="G677" s="31">
        <v>370</v>
      </c>
      <c r="H677" s="31">
        <v>10</v>
      </c>
      <c r="I677" s="31">
        <v>20</v>
      </c>
      <c r="J677" s="31" t="s">
        <v>2843</v>
      </c>
      <c r="K677" s="31" t="s">
        <v>194</v>
      </c>
      <c r="L677" s="31" t="s">
        <v>34</v>
      </c>
      <c r="M677" s="31">
        <v>48</v>
      </c>
      <c r="N677" s="31">
        <v>2007</v>
      </c>
      <c r="O677" s="31">
        <v>124</v>
      </c>
      <c r="P677" s="31"/>
      <c r="Q677" s="31"/>
      <c r="R677" s="33"/>
      <c r="S677" s="34" t="str">
        <f>HYPERLINK("http://www.cnpol.ru/covers/7176.jpg","фото на сайте")</f>
        <v>фото на сайте</v>
      </c>
    </row>
    <row r="678" spans="1:19" ht="50.1" customHeight="1">
      <c r="A678" s="31"/>
      <c r="B678" s="32" t="s">
        <v>2844</v>
      </c>
      <c r="C678" s="31" t="s">
        <v>400</v>
      </c>
      <c r="D678" s="31" t="s">
        <v>2845</v>
      </c>
      <c r="E678" s="31" t="s">
        <v>2846</v>
      </c>
      <c r="F678" s="31" t="s">
        <v>31</v>
      </c>
      <c r="G678" s="31">
        <v>503</v>
      </c>
      <c r="H678" s="31">
        <v>10</v>
      </c>
      <c r="I678" s="31">
        <v>14</v>
      </c>
      <c r="J678" s="31" t="s">
        <v>2847</v>
      </c>
      <c r="K678" s="31" t="s">
        <v>33</v>
      </c>
      <c r="L678" s="31" t="s">
        <v>34</v>
      </c>
      <c r="M678" s="31">
        <v>320</v>
      </c>
      <c r="N678" s="31">
        <v>2020</v>
      </c>
      <c r="O678" s="31">
        <v>276</v>
      </c>
      <c r="P678" s="31"/>
      <c r="Q678" s="31"/>
      <c r="R678" s="33"/>
      <c r="S678" s="34" t="str">
        <f>HYPERLINK("http://www.cnpol.ru/covers/19171.jpg","фото на сайте")</f>
        <v>фото на сайте</v>
      </c>
    </row>
    <row r="679" spans="1:19" ht="50.1" customHeight="1">
      <c r="A679" s="31"/>
      <c r="B679" s="32" t="s">
        <v>2848</v>
      </c>
      <c r="C679" s="31" t="s">
        <v>37</v>
      </c>
      <c r="D679" s="31" t="s">
        <v>2849</v>
      </c>
      <c r="E679" s="31" t="s">
        <v>2850</v>
      </c>
      <c r="F679" s="31" t="s">
        <v>31</v>
      </c>
      <c r="G679" s="31">
        <v>539</v>
      </c>
      <c r="H679" s="31">
        <v>10</v>
      </c>
      <c r="I679" s="31">
        <v>10</v>
      </c>
      <c r="J679" s="31" t="s">
        <v>2851</v>
      </c>
      <c r="K679" s="31" t="s">
        <v>33</v>
      </c>
      <c r="L679" s="31" t="s">
        <v>34</v>
      </c>
      <c r="M679" s="31">
        <v>352</v>
      </c>
      <c r="N679" s="31">
        <v>2018</v>
      </c>
      <c r="O679" s="31">
        <v>284</v>
      </c>
      <c r="P679" s="31"/>
      <c r="Q679" s="31"/>
      <c r="R679" s="33"/>
      <c r="S679" s="34" t="str">
        <f>HYPERLINK("http://www.cnpol.ru/covers/18152.jpg","фото на сайте")</f>
        <v>фото на сайте</v>
      </c>
    </row>
    <row r="680" spans="1:19" ht="50.1" customHeight="1">
      <c r="A680" s="31"/>
      <c r="B680" s="32" t="s">
        <v>2852</v>
      </c>
      <c r="C680" s="31" t="s">
        <v>2853</v>
      </c>
      <c r="D680" s="31" t="s">
        <v>2854</v>
      </c>
      <c r="E680" s="31" t="s">
        <v>2855</v>
      </c>
      <c r="F680" s="31" t="s">
        <v>31</v>
      </c>
      <c r="G680" s="31">
        <v>245</v>
      </c>
      <c r="H680" s="31">
        <v>10</v>
      </c>
      <c r="I680" s="31">
        <v>16</v>
      </c>
      <c r="J680" s="31" t="s">
        <v>2856</v>
      </c>
      <c r="K680" s="31" t="s">
        <v>739</v>
      </c>
      <c r="L680" s="31" t="s">
        <v>34</v>
      </c>
      <c r="M680" s="31">
        <v>237</v>
      </c>
      <c r="N680" s="31">
        <v>2002</v>
      </c>
      <c r="O680" s="31">
        <v>164</v>
      </c>
      <c r="P680" s="31"/>
      <c r="Q680" s="31"/>
      <c r="R680" s="33"/>
      <c r="S680" s="34" t="str">
        <f>HYPERLINK("http://www.cnpol.ru/covers/3505.jpg","фото на сайте")</f>
        <v>фото на сайте</v>
      </c>
    </row>
    <row r="681" spans="1:19" ht="50.1" customHeight="1">
      <c r="A681" s="31"/>
      <c r="B681" s="32" t="s">
        <v>2857</v>
      </c>
      <c r="C681" s="31" t="s">
        <v>546</v>
      </c>
      <c r="D681" s="31" t="s">
        <v>1656</v>
      </c>
      <c r="E681" s="31" t="s">
        <v>2858</v>
      </c>
      <c r="F681" s="31">
        <v>331</v>
      </c>
      <c r="G681" s="31">
        <v>93</v>
      </c>
      <c r="H681" s="31">
        <v>10</v>
      </c>
      <c r="I681" s="31">
        <v>30</v>
      </c>
      <c r="J681" s="31" t="s">
        <v>2859</v>
      </c>
      <c r="K681" s="31" t="s">
        <v>123</v>
      </c>
      <c r="L681" s="31" t="s">
        <v>56</v>
      </c>
      <c r="M681" s="31">
        <v>160</v>
      </c>
      <c r="N681" s="31">
        <v>2019</v>
      </c>
      <c r="O681" s="31">
        <v>76</v>
      </c>
      <c r="P681" s="31"/>
      <c r="Q681" s="31"/>
      <c r="R681" s="33"/>
      <c r="S681" s="34" t="str">
        <f>HYPERLINK("http://www.cnpol.ru/covers/18940.jpg","фото на сайте")</f>
        <v>фото на сайте</v>
      </c>
    </row>
    <row r="682" spans="1:19" ht="50.1" customHeight="1">
      <c r="A682" s="31"/>
      <c r="B682" s="32" t="s">
        <v>2860</v>
      </c>
      <c r="C682" s="31" t="s">
        <v>503</v>
      </c>
      <c r="D682" s="31" t="s">
        <v>504</v>
      </c>
      <c r="E682" s="31" t="s">
        <v>2861</v>
      </c>
      <c r="F682" s="31" t="s">
        <v>31</v>
      </c>
      <c r="G682" s="35">
        <v>1380</v>
      </c>
      <c r="H682" s="31">
        <v>10</v>
      </c>
      <c r="I682" s="31">
        <v>6</v>
      </c>
      <c r="J682" s="31" t="s">
        <v>2862</v>
      </c>
      <c r="K682" s="31" t="s">
        <v>41</v>
      </c>
      <c r="L682" s="31" t="s">
        <v>34</v>
      </c>
      <c r="M682" s="31">
        <v>896</v>
      </c>
      <c r="N682" s="31">
        <v>2018</v>
      </c>
      <c r="O682" s="31">
        <v>906</v>
      </c>
      <c r="P682" s="31"/>
      <c r="Q682" s="31"/>
      <c r="R682" s="33" t="s">
        <v>2863</v>
      </c>
      <c r="S682" s="34" t="str">
        <f>HYPERLINK("http://www.cnpol.ru/covers/18423.jpg","фото на сайте")</f>
        <v>фото на сайте</v>
      </c>
    </row>
    <row r="683" spans="1:19" ht="50.1" customHeight="1">
      <c r="A683" s="31"/>
      <c r="B683" s="32" t="s">
        <v>2864</v>
      </c>
      <c r="C683" s="31" t="s">
        <v>400</v>
      </c>
      <c r="D683" s="31" t="s">
        <v>2412</v>
      </c>
      <c r="E683" s="31" t="s">
        <v>2865</v>
      </c>
      <c r="F683" s="31" t="s">
        <v>31</v>
      </c>
      <c r="G683" s="31">
        <v>503</v>
      </c>
      <c r="H683" s="31">
        <v>10</v>
      </c>
      <c r="I683" s="31">
        <v>14</v>
      </c>
      <c r="J683" s="31" t="s">
        <v>2866</v>
      </c>
      <c r="K683" s="31" t="s">
        <v>33</v>
      </c>
      <c r="L683" s="31" t="s">
        <v>34</v>
      </c>
      <c r="M683" s="31">
        <v>287</v>
      </c>
      <c r="N683" s="31">
        <v>2018</v>
      </c>
      <c r="O683" s="31">
        <v>250</v>
      </c>
      <c r="P683" s="31"/>
      <c r="Q683" s="31"/>
      <c r="R683" s="33"/>
      <c r="S683" s="34" t="str">
        <f>HYPERLINK("http://www.cnpol.ru/covers/17900.jpg","фото на сайте")</f>
        <v>фото на сайте</v>
      </c>
    </row>
    <row r="684" spans="1:19" ht="50.1" customHeight="1">
      <c r="A684" s="31"/>
      <c r="B684" s="32" t="s">
        <v>2867</v>
      </c>
      <c r="C684" s="31" t="s">
        <v>546</v>
      </c>
      <c r="D684" s="31" t="s">
        <v>2868</v>
      </c>
      <c r="E684" s="31" t="s">
        <v>2869</v>
      </c>
      <c r="F684" s="31">
        <v>130</v>
      </c>
      <c r="G684" s="31">
        <v>93</v>
      </c>
      <c r="H684" s="31">
        <v>10</v>
      </c>
      <c r="I684" s="31">
        <v>30</v>
      </c>
      <c r="J684" s="31" t="s">
        <v>2870</v>
      </c>
      <c r="K684" s="31" t="s">
        <v>123</v>
      </c>
      <c r="L684" s="31" t="s">
        <v>56</v>
      </c>
      <c r="M684" s="31">
        <v>158</v>
      </c>
      <c r="N684" s="31">
        <v>2015</v>
      </c>
      <c r="O684" s="31">
        <v>76</v>
      </c>
      <c r="P684" s="31"/>
      <c r="Q684" s="31"/>
      <c r="R684" s="33"/>
      <c r="S684" s="34" t="str">
        <f>HYPERLINK("http://www.cnpol.ru/covers/16157.jpg","фото на сайте")</f>
        <v>фото на сайте</v>
      </c>
    </row>
    <row r="685" spans="1:19" ht="50.1" customHeight="1">
      <c r="A685" s="31" t="s">
        <v>35</v>
      </c>
      <c r="B685" s="32" t="s">
        <v>2871</v>
      </c>
      <c r="C685" s="31" t="s">
        <v>143</v>
      </c>
      <c r="D685" s="31" t="s">
        <v>2872</v>
      </c>
      <c r="E685" s="31" t="s">
        <v>2873</v>
      </c>
      <c r="F685" s="31" t="s">
        <v>31</v>
      </c>
      <c r="G685" s="31">
        <v>692</v>
      </c>
      <c r="H685" s="31">
        <v>10</v>
      </c>
      <c r="I685" s="31">
        <v>18</v>
      </c>
      <c r="J685" s="31" t="s">
        <v>2874</v>
      </c>
      <c r="K685" s="31" t="s">
        <v>33</v>
      </c>
      <c r="L685" s="31" t="s">
        <v>34</v>
      </c>
      <c r="M685" s="31">
        <v>191</v>
      </c>
      <c r="N685" s="31">
        <v>2024</v>
      </c>
      <c r="O685" s="31">
        <v>210</v>
      </c>
      <c r="P685" s="31"/>
      <c r="Q685" s="31"/>
      <c r="R685" s="33" t="s">
        <v>2875</v>
      </c>
      <c r="S685" s="34" t="str">
        <f>HYPERLINK("http://www.cnpol.ru/covers/21373.jpg","фото на сайте")</f>
        <v>фото на сайте</v>
      </c>
    </row>
    <row r="686" spans="1:19" ht="50.1" customHeight="1">
      <c r="A686" s="31"/>
      <c r="B686" s="32" t="s">
        <v>2876</v>
      </c>
      <c r="C686" s="31" t="s">
        <v>400</v>
      </c>
      <c r="D686" s="31" t="s">
        <v>2877</v>
      </c>
      <c r="E686" s="31" t="s">
        <v>2878</v>
      </c>
      <c r="F686" s="31" t="s">
        <v>31</v>
      </c>
      <c r="G686" s="31">
        <v>503</v>
      </c>
      <c r="H686" s="31">
        <v>10</v>
      </c>
      <c r="I686" s="31">
        <v>14</v>
      </c>
      <c r="J686" s="31" t="s">
        <v>2879</v>
      </c>
      <c r="K686" s="31" t="s">
        <v>33</v>
      </c>
      <c r="L686" s="31" t="s">
        <v>34</v>
      </c>
      <c r="M686" s="31">
        <v>287</v>
      </c>
      <c r="N686" s="31">
        <v>2021</v>
      </c>
      <c r="O686" s="31">
        <v>250</v>
      </c>
      <c r="P686" s="31"/>
      <c r="Q686" s="31"/>
      <c r="R686" s="33"/>
      <c r="S686" s="34" t="str">
        <f>HYPERLINK("http://www.cnpol.ru/covers/19496.jpg","фото на сайте")</f>
        <v>фото на сайте</v>
      </c>
    </row>
    <row r="687" spans="1:19" ht="50.1" customHeight="1">
      <c r="A687" s="31"/>
      <c r="B687" s="32" t="s">
        <v>2880</v>
      </c>
      <c r="C687" s="31" t="s">
        <v>400</v>
      </c>
      <c r="D687" s="31" t="s">
        <v>2881</v>
      </c>
      <c r="E687" s="31" t="s">
        <v>2882</v>
      </c>
      <c r="F687" s="31" t="s">
        <v>31</v>
      </c>
      <c r="G687" s="31">
        <v>503</v>
      </c>
      <c r="H687" s="31">
        <v>10</v>
      </c>
      <c r="I687" s="31">
        <v>16</v>
      </c>
      <c r="J687" s="31" t="s">
        <v>2883</v>
      </c>
      <c r="K687" s="31" t="s">
        <v>33</v>
      </c>
      <c r="L687" s="31" t="s">
        <v>34</v>
      </c>
      <c r="M687" s="31">
        <v>288</v>
      </c>
      <c r="N687" s="31">
        <v>2013</v>
      </c>
      <c r="O687" s="31">
        <v>252</v>
      </c>
      <c r="P687" s="31"/>
      <c r="Q687" s="31"/>
      <c r="R687" s="33"/>
      <c r="S687" s="34" t="str">
        <f>HYPERLINK("http://www.cnpol.ru/covers/14198.jpg","фото на сайте")</f>
        <v>фото на сайте</v>
      </c>
    </row>
    <row r="688" spans="1:19" ht="50.1" customHeight="1">
      <c r="A688" s="31"/>
      <c r="B688" s="32" t="s">
        <v>2884</v>
      </c>
      <c r="C688" s="31" t="s">
        <v>390</v>
      </c>
      <c r="D688" s="31" t="s">
        <v>1805</v>
      </c>
      <c r="E688" s="31" t="s">
        <v>2885</v>
      </c>
      <c r="F688" s="31">
        <v>506</v>
      </c>
      <c r="G688" s="31">
        <v>86</v>
      </c>
      <c r="H688" s="31">
        <v>10</v>
      </c>
      <c r="I688" s="31">
        <v>30</v>
      </c>
      <c r="J688" s="31" t="s">
        <v>2886</v>
      </c>
      <c r="K688" s="31" t="s">
        <v>123</v>
      </c>
      <c r="L688" s="31" t="s">
        <v>56</v>
      </c>
      <c r="M688" s="31">
        <v>158</v>
      </c>
      <c r="N688" s="31">
        <v>2015</v>
      </c>
      <c r="O688" s="31">
        <v>78</v>
      </c>
      <c r="P688" s="31"/>
      <c r="Q688" s="31"/>
      <c r="R688" s="33"/>
      <c r="S688" s="34" t="str">
        <f>HYPERLINK("http://www.cnpol.ru/covers/15935.jpg","фото на сайте")</f>
        <v>фото на сайте</v>
      </c>
    </row>
    <row r="689" spans="1:19" ht="50.1" customHeight="1">
      <c r="A689" s="31"/>
      <c r="B689" s="32" t="s">
        <v>2887</v>
      </c>
      <c r="C689" s="31" t="s">
        <v>400</v>
      </c>
      <c r="D689" s="31" t="s">
        <v>2888</v>
      </c>
      <c r="E689" s="31" t="s">
        <v>2889</v>
      </c>
      <c r="F689" s="31" t="s">
        <v>31</v>
      </c>
      <c r="G689" s="31">
        <v>503</v>
      </c>
      <c r="H689" s="31">
        <v>10</v>
      </c>
      <c r="I689" s="31">
        <v>14</v>
      </c>
      <c r="J689" s="31" t="s">
        <v>2890</v>
      </c>
      <c r="K689" s="31" t="s">
        <v>33</v>
      </c>
      <c r="L689" s="31" t="s">
        <v>34</v>
      </c>
      <c r="M689" s="31">
        <v>320</v>
      </c>
      <c r="N689" s="31">
        <v>2018</v>
      </c>
      <c r="O689" s="31">
        <v>262</v>
      </c>
      <c r="P689" s="31"/>
      <c r="Q689" s="31"/>
      <c r="R689" s="33"/>
      <c r="S689" s="34" t="str">
        <f>HYPERLINK("http://www.cnpol.ru/covers/17994.jpg","фото на сайте")</f>
        <v>фото на сайте</v>
      </c>
    </row>
    <row r="690" spans="1:19" ht="50.1" customHeight="1">
      <c r="A690" s="31"/>
      <c r="B690" s="32" t="s">
        <v>2891</v>
      </c>
      <c r="C690" s="31" t="s">
        <v>390</v>
      </c>
      <c r="D690" s="31" t="s">
        <v>2892</v>
      </c>
      <c r="E690" s="31" t="s">
        <v>2893</v>
      </c>
      <c r="F690" s="31">
        <v>389</v>
      </c>
      <c r="G690" s="31">
        <v>86</v>
      </c>
      <c r="H690" s="31">
        <v>10</v>
      </c>
      <c r="I690" s="31">
        <v>30</v>
      </c>
      <c r="J690" s="31" t="s">
        <v>2894</v>
      </c>
      <c r="K690" s="31" t="s">
        <v>123</v>
      </c>
      <c r="L690" s="31" t="s">
        <v>56</v>
      </c>
      <c r="M690" s="31">
        <v>158</v>
      </c>
      <c r="N690" s="31">
        <v>2014</v>
      </c>
      <c r="O690" s="31">
        <v>76</v>
      </c>
      <c r="P690" s="31"/>
      <c r="Q690" s="31"/>
      <c r="R690" s="33"/>
      <c r="S690" s="34" t="str">
        <f>HYPERLINK("http://www.cnpol.ru/covers/14933.jpg","фото на сайте")</f>
        <v>фото на сайте</v>
      </c>
    </row>
    <row r="691" spans="1:19" ht="50.1" customHeight="1">
      <c r="A691" s="31"/>
      <c r="B691" s="32" t="s">
        <v>2895</v>
      </c>
      <c r="C691" s="31" t="s">
        <v>576</v>
      </c>
      <c r="D691" s="31" t="s">
        <v>577</v>
      </c>
      <c r="E691" s="31" t="s">
        <v>2896</v>
      </c>
      <c r="F691" s="31" t="s">
        <v>31</v>
      </c>
      <c r="G691" s="31">
        <v>226</v>
      </c>
      <c r="H691" s="31">
        <v>10</v>
      </c>
      <c r="I691" s="31">
        <v>20</v>
      </c>
      <c r="J691" s="31" t="s">
        <v>2897</v>
      </c>
      <c r="K691" s="31" t="s">
        <v>123</v>
      </c>
      <c r="L691" s="31" t="s">
        <v>56</v>
      </c>
      <c r="M691" s="31">
        <v>352</v>
      </c>
      <c r="N691" s="31">
        <v>2017</v>
      </c>
      <c r="O691" s="31">
        <v>162</v>
      </c>
      <c r="P691" s="31"/>
      <c r="Q691" s="31"/>
      <c r="R691" s="33"/>
      <c r="S691" s="34" t="str">
        <f>HYPERLINK("http://www.cnpol.ru/covers/17461.jpg","фото на сайте")</f>
        <v>фото на сайте</v>
      </c>
    </row>
    <row r="692" spans="1:19" ht="50.1" customHeight="1">
      <c r="A692" s="31"/>
      <c r="B692" s="32" t="s">
        <v>2898</v>
      </c>
      <c r="C692" s="31" t="s">
        <v>581</v>
      </c>
      <c r="D692" s="31" t="s">
        <v>577</v>
      </c>
      <c r="E692" s="31" t="s">
        <v>2896</v>
      </c>
      <c r="F692" s="31" t="s">
        <v>31</v>
      </c>
      <c r="G692" s="31">
        <v>185</v>
      </c>
      <c r="H692" s="31">
        <v>10</v>
      </c>
      <c r="I692" s="31">
        <v>28</v>
      </c>
      <c r="J692" s="31" t="s">
        <v>2899</v>
      </c>
      <c r="K692" s="31" t="s">
        <v>123</v>
      </c>
      <c r="L692" s="31" t="s">
        <v>56</v>
      </c>
      <c r="M692" s="31">
        <v>347</v>
      </c>
      <c r="N692" s="31">
        <v>2011</v>
      </c>
      <c r="O692" s="31">
        <v>166</v>
      </c>
      <c r="P692" s="31"/>
      <c r="Q692" s="31"/>
      <c r="R692" s="33"/>
      <c r="S692" s="34" t="str">
        <f>HYPERLINK("http://www.cnpol.ru/covers/12809.jpg","фото на сайте")</f>
        <v>фото на сайте</v>
      </c>
    </row>
    <row r="693" spans="1:19" ht="50.1" customHeight="1">
      <c r="A693" s="31"/>
      <c r="B693" s="32" t="s">
        <v>2900</v>
      </c>
      <c r="C693" s="31" t="s">
        <v>581</v>
      </c>
      <c r="D693" s="31" t="s">
        <v>577</v>
      </c>
      <c r="E693" s="31" t="s">
        <v>2896</v>
      </c>
      <c r="F693" s="31" t="s">
        <v>31</v>
      </c>
      <c r="G693" s="31">
        <v>137</v>
      </c>
      <c r="H693" s="31">
        <v>10</v>
      </c>
      <c r="I693" s="31">
        <v>28</v>
      </c>
      <c r="J693" s="31" t="s">
        <v>2899</v>
      </c>
      <c r="K693" s="31" t="s">
        <v>123</v>
      </c>
      <c r="L693" s="31" t="s">
        <v>56</v>
      </c>
      <c r="M693" s="31">
        <v>315</v>
      </c>
      <c r="N693" s="31">
        <v>2011</v>
      </c>
      <c r="O693" s="31">
        <v>166</v>
      </c>
      <c r="P693" s="31"/>
      <c r="Q693" s="31"/>
      <c r="R693" s="33"/>
      <c r="S693" s="34" t="str">
        <f>HYPERLINK("http://www.cnpol.ru/covers/13012.jpg","фото на сайте")</f>
        <v>фото на сайте</v>
      </c>
    </row>
    <row r="694" spans="1:19" ht="50.1" customHeight="1">
      <c r="A694" s="31"/>
      <c r="B694" s="32" t="s">
        <v>2901</v>
      </c>
      <c r="C694" s="31" t="s">
        <v>581</v>
      </c>
      <c r="D694" s="31" t="s">
        <v>577</v>
      </c>
      <c r="E694" s="31" t="s">
        <v>2896</v>
      </c>
      <c r="F694" s="31" t="s">
        <v>31</v>
      </c>
      <c r="G694" s="31">
        <v>185</v>
      </c>
      <c r="H694" s="31">
        <v>10</v>
      </c>
      <c r="I694" s="31">
        <v>40</v>
      </c>
      <c r="J694" s="31" t="s">
        <v>2902</v>
      </c>
      <c r="K694" s="31" t="s">
        <v>123</v>
      </c>
      <c r="L694" s="31" t="s">
        <v>56</v>
      </c>
      <c r="M694" s="31">
        <v>347</v>
      </c>
      <c r="N694" s="31">
        <v>2014</v>
      </c>
      <c r="O694" s="31">
        <v>164</v>
      </c>
      <c r="P694" s="31"/>
      <c r="Q694" s="31"/>
      <c r="R694" s="33"/>
      <c r="S694" s="34" t="str">
        <f>HYPERLINK("http://www.cnpol.ru/covers/15128.jpg","фото на сайте")</f>
        <v>фото на сайте</v>
      </c>
    </row>
    <row r="695" spans="1:19" ht="50.1" customHeight="1">
      <c r="A695" s="31"/>
      <c r="B695" s="32" t="s">
        <v>2903</v>
      </c>
      <c r="C695" s="31" t="s">
        <v>390</v>
      </c>
      <c r="D695" s="31" t="s">
        <v>961</v>
      </c>
      <c r="E695" s="31" t="s">
        <v>2904</v>
      </c>
      <c r="F695" s="31">
        <v>1064</v>
      </c>
      <c r="G695" s="31">
        <v>86</v>
      </c>
      <c r="H695" s="31">
        <v>10</v>
      </c>
      <c r="I695" s="31">
        <v>30</v>
      </c>
      <c r="J695" s="31" t="s">
        <v>2905</v>
      </c>
      <c r="K695" s="31" t="s">
        <v>123</v>
      </c>
      <c r="L695" s="31" t="s">
        <v>56</v>
      </c>
      <c r="M695" s="31">
        <v>159</v>
      </c>
      <c r="N695" s="31">
        <v>2021</v>
      </c>
      <c r="O695" s="31">
        <v>76</v>
      </c>
      <c r="P695" s="31"/>
      <c r="Q695" s="31"/>
      <c r="R695" s="33"/>
      <c r="S695" s="34" t="str">
        <f>HYPERLINK("http://www.cnpol.ru/covers/19927.jpg","фото на сайте")</f>
        <v>фото на сайте</v>
      </c>
    </row>
    <row r="696" spans="1:19" ht="50.1" customHeight="1">
      <c r="A696" s="31"/>
      <c r="B696" s="32" t="s">
        <v>2906</v>
      </c>
      <c r="C696" s="31" t="s">
        <v>1323</v>
      </c>
      <c r="D696" s="31" t="s">
        <v>1324</v>
      </c>
      <c r="E696" s="31" t="s">
        <v>2907</v>
      </c>
      <c r="F696" s="31" t="s">
        <v>31</v>
      </c>
      <c r="G696" s="31">
        <v>169</v>
      </c>
      <c r="H696" s="31">
        <v>10</v>
      </c>
      <c r="I696" s="31">
        <v>40</v>
      </c>
      <c r="J696" s="31" t="s">
        <v>2908</v>
      </c>
      <c r="K696" s="31" t="s">
        <v>55</v>
      </c>
      <c r="L696" s="31" t="s">
        <v>56</v>
      </c>
      <c r="M696" s="31">
        <v>288</v>
      </c>
      <c r="N696" s="31">
        <v>2020</v>
      </c>
      <c r="O696" s="31">
        <v>122</v>
      </c>
      <c r="P696" s="31"/>
      <c r="Q696" s="31"/>
      <c r="R696" s="33"/>
      <c r="S696" s="34" t="str">
        <f>HYPERLINK("http://www.cnpol.ru/covers/19137.jpg","фото на сайте")</f>
        <v>фото на сайте</v>
      </c>
    </row>
    <row r="697" spans="1:19" ht="50.1" customHeight="1">
      <c r="A697" s="31"/>
      <c r="B697" s="32" t="s">
        <v>2909</v>
      </c>
      <c r="C697" s="31" t="s">
        <v>2910</v>
      </c>
      <c r="D697" s="31" t="s">
        <v>2911</v>
      </c>
      <c r="E697" s="31" t="s">
        <v>2912</v>
      </c>
      <c r="F697" s="31" t="s">
        <v>31</v>
      </c>
      <c r="G697" s="31">
        <v>128</v>
      </c>
      <c r="H697" s="31">
        <v>10</v>
      </c>
      <c r="I697" s="31">
        <v>20</v>
      </c>
      <c r="J697" s="31" t="s">
        <v>2913</v>
      </c>
      <c r="K697" s="31" t="s">
        <v>130</v>
      </c>
      <c r="L697" s="31" t="s">
        <v>56</v>
      </c>
      <c r="M697" s="31">
        <v>333</v>
      </c>
      <c r="N697" s="31">
        <v>2008</v>
      </c>
      <c r="O697" s="31">
        <v>204</v>
      </c>
      <c r="P697" s="31"/>
      <c r="Q697" s="31"/>
      <c r="R697" s="33"/>
      <c r="S697" s="34" t="str">
        <f>HYPERLINK("http://www.cnpol.ru/covers/8859.jpg","фото на сайте")</f>
        <v>фото на сайте</v>
      </c>
    </row>
    <row r="698" spans="1:19" ht="50.1" customHeight="1">
      <c r="A698" s="31"/>
      <c r="B698" s="32" t="s">
        <v>2914</v>
      </c>
      <c r="C698" s="31" t="s">
        <v>2915</v>
      </c>
      <c r="D698" s="31" t="s">
        <v>2916</v>
      </c>
      <c r="E698" s="31" t="s">
        <v>2917</v>
      </c>
      <c r="F698" s="31" t="s">
        <v>31</v>
      </c>
      <c r="G698" s="31">
        <v>88</v>
      </c>
      <c r="H698" s="31">
        <v>10</v>
      </c>
      <c r="I698" s="31">
        <v>40</v>
      </c>
      <c r="J698" s="31" t="s">
        <v>2918</v>
      </c>
      <c r="K698" s="31" t="s">
        <v>55</v>
      </c>
      <c r="L698" s="31" t="s">
        <v>56</v>
      </c>
      <c r="M698" s="31">
        <v>251</v>
      </c>
      <c r="N698" s="31">
        <v>2000</v>
      </c>
      <c r="O698" s="31">
        <v>112</v>
      </c>
      <c r="P698" s="31"/>
      <c r="Q698" s="31"/>
      <c r="R698" s="33"/>
      <c r="S698" s="34" t="str">
        <f>HYPERLINK("http://www.cnpol.ru/covers/2385.jpg","фото на сайте")</f>
        <v>фото на сайте</v>
      </c>
    </row>
    <row r="699" spans="1:19" ht="50.1" customHeight="1">
      <c r="A699" s="31"/>
      <c r="B699" s="32" t="s">
        <v>2919</v>
      </c>
      <c r="C699" s="31" t="s">
        <v>2920</v>
      </c>
      <c r="D699" s="31" t="s">
        <v>2921</v>
      </c>
      <c r="E699" s="31" t="s">
        <v>2922</v>
      </c>
      <c r="F699" s="31" t="s">
        <v>31</v>
      </c>
      <c r="G699" s="31">
        <v>154</v>
      </c>
      <c r="H699" s="31">
        <v>10</v>
      </c>
      <c r="I699" s="31">
        <v>24</v>
      </c>
      <c r="J699" s="31" t="s">
        <v>2923</v>
      </c>
      <c r="K699" s="31" t="s">
        <v>55</v>
      </c>
      <c r="L699" s="31" t="s">
        <v>56</v>
      </c>
      <c r="M699" s="31">
        <v>318</v>
      </c>
      <c r="N699" s="31">
        <v>2008</v>
      </c>
      <c r="O699" s="31">
        <v>128</v>
      </c>
      <c r="P699" s="31"/>
      <c r="Q699" s="31"/>
      <c r="R699" s="33"/>
      <c r="S699" s="34" t="str">
        <f>HYPERLINK("http://www.cnpol.ru/covers/6786.jpg","фото на сайте")</f>
        <v>фото на сайте</v>
      </c>
    </row>
    <row r="700" spans="1:19" ht="50.1" customHeight="1">
      <c r="A700" s="31"/>
      <c r="B700" s="32" t="s">
        <v>2924</v>
      </c>
      <c r="C700" s="31" t="s">
        <v>2925</v>
      </c>
      <c r="D700" s="31" t="s">
        <v>2926</v>
      </c>
      <c r="E700" s="31" t="s">
        <v>2927</v>
      </c>
      <c r="F700" s="31" t="s">
        <v>31</v>
      </c>
      <c r="G700" s="31">
        <v>325</v>
      </c>
      <c r="H700" s="31">
        <v>10</v>
      </c>
      <c r="I700" s="31">
        <v>16</v>
      </c>
      <c r="J700" s="31" t="s">
        <v>2928</v>
      </c>
      <c r="K700" s="31" t="s">
        <v>33</v>
      </c>
      <c r="L700" s="31" t="s">
        <v>34</v>
      </c>
      <c r="M700" s="31">
        <v>270</v>
      </c>
      <c r="N700" s="31">
        <v>2008</v>
      </c>
      <c r="O700" s="31">
        <v>282</v>
      </c>
      <c r="P700" s="31"/>
      <c r="Q700" s="31"/>
      <c r="R700" s="33"/>
      <c r="S700" s="34" t="str">
        <f>HYPERLINK("http://www.cnpol.ru/covers/8793.jpg","фото на сайте")</f>
        <v>фото на сайте</v>
      </c>
    </row>
    <row r="701" spans="1:19" ht="50.1" customHeight="1">
      <c r="A701" s="31"/>
      <c r="B701" s="32" t="s">
        <v>2929</v>
      </c>
      <c r="C701" s="31" t="s">
        <v>2930</v>
      </c>
      <c r="D701" s="31" t="s">
        <v>2926</v>
      </c>
      <c r="E701" s="31" t="s">
        <v>2931</v>
      </c>
      <c r="F701" s="31" t="s">
        <v>31</v>
      </c>
      <c r="G701" s="31">
        <v>137</v>
      </c>
      <c r="H701" s="31">
        <v>10</v>
      </c>
      <c r="I701" s="31">
        <v>24</v>
      </c>
      <c r="J701" s="31" t="s">
        <v>2932</v>
      </c>
      <c r="K701" s="31" t="s">
        <v>55</v>
      </c>
      <c r="L701" s="31" t="s">
        <v>56</v>
      </c>
      <c r="M701" s="31">
        <v>351</v>
      </c>
      <c r="N701" s="31">
        <v>2008</v>
      </c>
      <c r="O701" s="31" t="s">
        <v>220</v>
      </c>
      <c r="P701" s="31"/>
      <c r="Q701" s="31"/>
      <c r="R701" s="33"/>
      <c r="S701" s="34" t="str">
        <f>HYPERLINK("http://www.cnpol.ru/covers/10326.jpg","фото на сайте")</f>
        <v>фото на сайте</v>
      </c>
    </row>
    <row r="702" spans="1:19" ht="50.1" customHeight="1">
      <c r="A702" s="31"/>
      <c r="B702" s="32" t="s">
        <v>2933</v>
      </c>
      <c r="C702" s="31" t="s">
        <v>385</v>
      </c>
      <c r="D702" s="31" t="s">
        <v>386</v>
      </c>
      <c r="E702" s="31" t="s">
        <v>2934</v>
      </c>
      <c r="F702" s="31" t="s">
        <v>31</v>
      </c>
      <c r="G702" s="31">
        <v>162</v>
      </c>
      <c r="H702" s="31">
        <v>10</v>
      </c>
      <c r="I702" s="31">
        <v>32</v>
      </c>
      <c r="J702" s="31" t="s">
        <v>2935</v>
      </c>
      <c r="K702" s="31" t="s">
        <v>55</v>
      </c>
      <c r="L702" s="31" t="s">
        <v>56</v>
      </c>
      <c r="M702" s="31">
        <v>256</v>
      </c>
      <c r="N702" s="31">
        <v>2016</v>
      </c>
      <c r="O702" s="31">
        <v>100</v>
      </c>
      <c r="P702" s="31"/>
      <c r="Q702" s="31"/>
      <c r="R702" s="33"/>
      <c r="S702" s="34" t="str">
        <f>HYPERLINK("http://www.cnpol.ru/covers/0127.jpg","фото на сайте")</f>
        <v>фото на сайте</v>
      </c>
    </row>
    <row r="703" spans="1:19" ht="50.1" customHeight="1">
      <c r="A703" s="31"/>
      <c r="B703" s="32" t="s">
        <v>2936</v>
      </c>
      <c r="C703" s="31" t="s">
        <v>390</v>
      </c>
      <c r="D703" s="31" t="s">
        <v>2177</v>
      </c>
      <c r="E703" s="31" t="s">
        <v>2937</v>
      </c>
      <c r="F703" s="31">
        <v>521</v>
      </c>
      <c r="G703" s="31">
        <v>86</v>
      </c>
      <c r="H703" s="31">
        <v>10</v>
      </c>
      <c r="I703" s="31">
        <v>30</v>
      </c>
      <c r="J703" s="31" t="s">
        <v>2938</v>
      </c>
      <c r="K703" s="31" t="s">
        <v>123</v>
      </c>
      <c r="L703" s="31" t="s">
        <v>56</v>
      </c>
      <c r="M703" s="31">
        <v>158</v>
      </c>
      <c r="N703" s="31">
        <v>2015</v>
      </c>
      <c r="O703" s="31">
        <v>76</v>
      </c>
      <c r="P703" s="31"/>
      <c r="Q703" s="31"/>
      <c r="R703" s="33"/>
      <c r="S703" s="34" t="str">
        <f>HYPERLINK("http://www.cnpol.ru/covers/16031.jpg","фото на сайте")</f>
        <v>фото на сайте</v>
      </c>
    </row>
    <row r="704" spans="1:19" ht="50.1" customHeight="1">
      <c r="A704" s="31"/>
      <c r="B704" s="32" t="s">
        <v>2939</v>
      </c>
      <c r="C704" s="31" t="s">
        <v>1252</v>
      </c>
      <c r="D704" s="31" t="s">
        <v>1253</v>
      </c>
      <c r="E704" s="31" t="s">
        <v>2940</v>
      </c>
      <c r="F704" s="31" t="s">
        <v>31</v>
      </c>
      <c r="G704" s="31">
        <v>81</v>
      </c>
      <c r="H704" s="31">
        <v>10</v>
      </c>
      <c r="I704" s="31">
        <v>100</v>
      </c>
      <c r="J704" s="31" t="s">
        <v>2941</v>
      </c>
      <c r="K704" s="31" t="s">
        <v>123</v>
      </c>
      <c r="L704" s="31" t="s">
        <v>56</v>
      </c>
      <c r="M704" s="31">
        <v>63</v>
      </c>
      <c r="N704" s="31">
        <v>2004</v>
      </c>
      <c r="O704" s="31">
        <v>32</v>
      </c>
      <c r="P704" s="31"/>
      <c r="Q704" s="31"/>
      <c r="R704" s="33"/>
      <c r="S704" s="34" t="str">
        <f>HYPERLINK("http://www.cnpol.ru/covers/4737.jpg","фото на сайте")</f>
        <v>фото на сайте</v>
      </c>
    </row>
    <row r="705" spans="1:19" ht="50.1" customHeight="1">
      <c r="A705" s="31"/>
      <c r="B705" s="32" t="s">
        <v>2942</v>
      </c>
      <c r="C705" s="31" t="s">
        <v>1252</v>
      </c>
      <c r="D705" s="31" t="s">
        <v>1253</v>
      </c>
      <c r="E705" s="31" t="s">
        <v>2943</v>
      </c>
      <c r="F705" s="31" t="s">
        <v>31</v>
      </c>
      <c r="G705" s="31">
        <v>81</v>
      </c>
      <c r="H705" s="31">
        <v>10</v>
      </c>
      <c r="I705" s="31">
        <v>80</v>
      </c>
      <c r="J705" s="31" t="s">
        <v>2944</v>
      </c>
      <c r="K705" s="31" t="s">
        <v>123</v>
      </c>
      <c r="L705" s="31" t="s">
        <v>56</v>
      </c>
      <c r="M705" s="31">
        <v>63</v>
      </c>
      <c r="N705" s="31">
        <v>2004</v>
      </c>
      <c r="O705" s="31">
        <v>32</v>
      </c>
      <c r="P705" s="31"/>
      <c r="Q705" s="31"/>
      <c r="R705" s="33"/>
      <c r="S705" s="34" t="str">
        <f>HYPERLINK("http://www.cnpol.ru/covers/4889.jpg","фото на сайте")</f>
        <v>фото на сайте</v>
      </c>
    </row>
    <row r="706" spans="1:19" ht="50.1" customHeight="1">
      <c r="A706" s="31"/>
      <c r="B706" s="32" t="s">
        <v>2945</v>
      </c>
      <c r="C706" s="31" t="s">
        <v>1252</v>
      </c>
      <c r="D706" s="31" t="s">
        <v>1253</v>
      </c>
      <c r="E706" s="31" t="s">
        <v>2946</v>
      </c>
      <c r="F706" s="31" t="s">
        <v>31</v>
      </c>
      <c r="G706" s="31">
        <v>81</v>
      </c>
      <c r="H706" s="31">
        <v>10</v>
      </c>
      <c r="I706" s="31">
        <v>80</v>
      </c>
      <c r="J706" s="31" t="s">
        <v>2947</v>
      </c>
      <c r="K706" s="31" t="s">
        <v>123</v>
      </c>
      <c r="L706" s="31" t="s">
        <v>56</v>
      </c>
      <c r="M706" s="31">
        <v>60</v>
      </c>
      <c r="N706" s="31">
        <v>2004</v>
      </c>
      <c r="O706" s="31">
        <v>32</v>
      </c>
      <c r="P706" s="31"/>
      <c r="Q706" s="31"/>
      <c r="R706" s="33"/>
      <c r="S706" s="34" t="str">
        <f>HYPERLINK("http://www.cnpol.ru/covers/4620.jpg","фото на сайте")</f>
        <v>фото на сайте</v>
      </c>
    </row>
    <row r="707" spans="1:19" ht="50.1" customHeight="1">
      <c r="A707" s="31"/>
      <c r="B707" s="32" t="s">
        <v>2948</v>
      </c>
      <c r="C707" s="31" t="s">
        <v>1252</v>
      </c>
      <c r="D707" s="31" t="s">
        <v>1253</v>
      </c>
      <c r="E707" s="31" t="s">
        <v>2949</v>
      </c>
      <c r="F707" s="31" t="s">
        <v>31</v>
      </c>
      <c r="G707" s="31">
        <v>81</v>
      </c>
      <c r="H707" s="31">
        <v>10</v>
      </c>
      <c r="I707" s="31">
        <v>100</v>
      </c>
      <c r="J707" s="31" t="s">
        <v>2950</v>
      </c>
      <c r="K707" s="31" t="s">
        <v>123</v>
      </c>
      <c r="L707" s="31" t="s">
        <v>56</v>
      </c>
      <c r="M707" s="31">
        <v>63</v>
      </c>
      <c r="N707" s="31">
        <v>2004</v>
      </c>
      <c r="O707" s="31">
        <v>32</v>
      </c>
      <c r="P707" s="31"/>
      <c r="Q707" s="31"/>
      <c r="R707" s="33"/>
      <c r="S707" s="34" t="str">
        <f>HYPERLINK("http://www.cnpol.ru/covers/4722.jpg","фото на сайте")</f>
        <v>фото на сайте</v>
      </c>
    </row>
    <row r="708" spans="1:19" ht="50.1" customHeight="1">
      <c r="A708" s="31"/>
      <c r="B708" s="32" t="s">
        <v>2951</v>
      </c>
      <c r="C708" s="31" t="s">
        <v>1252</v>
      </c>
      <c r="D708" s="31" t="s">
        <v>1253</v>
      </c>
      <c r="E708" s="31" t="s">
        <v>2952</v>
      </c>
      <c r="F708" s="31" t="s">
        <v>31</v>
      </c>
      <c r="G708" s="31">
        <v>81</v>
      </c>
      <c r="H708" s="31">
        <v>10</v>
      </c>
      <c r="I708" s="31">
        <v>100</v>
      </c>
      <c r="J708" s="31" t="s">
        <v>2953</v>
      </c>
      <c r="K708" s="31" t="s">
        <v>55</v>
      </c>
      <c r="L708" s="31" t="s">
        <v>56</v>
      </c>
      <c r="M708" s="31">
        <v>63</v>
      </c>
      <c r="N708" s="31">
        <v>2004</v>
      </c>
      <c r="O708" s="31">
        <v>32</v>
      </c>
      <c r="P708" s="31"/>
      <c r="Q708" s="31"/>
      <c r="R708" s="33"/>
      <c r="S708" s="34" t="str">
        <f>HYPERLINK("http://www.cnpol.ru/covers/4735.jpg","фото на сайте")</f>
        <v>фото на сайте</v>
      </c>
    </row>
    <row r="709" spans="1:19" ht="50.1" customHeight="1">
      <c r="A709" s="31"/>
      <c r="B709" s="32" t="s">
        <v>2954</v>
      </c>
      <c r="C709" s="31" t="s">
        <v>2420</v>
      </c>
      <c r="D709" s="31" t="s">
        <v>2955</v>
      </c>
      <c r="E709" s="31" t="s">
        <v>2956</v>
      </c>
      <c r="F709" s="31" t="s">
        <v>31</v>
      </c>
      <c r="G709" s="31">
        <v>56</v>
      </c>
      <c r="H709" s="31">
        <v>10</v>
      </c>
      <c r="I709" s="31">
        <v>30</v>
      </c>
      <c r="J709" s="31" t="s">
        <v>2957</v>
      </c>
      <c r="K709" s="31" t="s">
        <v>123</v>
      </c>
      <c r="L709" s="31" t="s">
        <v>56</v>
      </c>
      <c r="M709" s="31">
        <v>222</v>
      </c>
      <c r="N709" s="31">
        <v>2005</v>
      </c>
      <c r="O709" s="31">
        <v>104</v>
      </c>
      <c r="P709" s="31"/>
      <c r="Q709" s="31"/>
      <c r="R709" s="33"/>
      <c r="S709" s="34" t="str">
        <f>HYPERLINK("http://www.cnpol.ru/covers/5653.jpg","фото на сайте")</f>
        <v>фото на сайте</v>
      </c>
    </row>
    <row r="710" spans="1:19" ht="50.1" customHeight="1">
      <c r="A710" s="31"/>
      <c r="B710" s="32" t="s">
        <v>2958</v>
      </c>
      <c r="C710" s="31" t="s">
        <v>390</v>
      </c>
      <c r="D710" s="31" t="s">
        <v>1343</v>
      </c>
      <c r="E710" s="31" t="s">
        <v>2959</v>
      </c>
      <c r="F710" s="31">
        <v>595</v>
      </c>
      <c r="G710" s="31">
        <v>86</v>
      </c>
      <c r="H710" s="31">
        <v>10</v>
      </c>
      <c r="I710" s="31">
        <v>30</v>
      </c>
      <c r="J710" s="31" t="s">
        <v>2960</v>
      </c>
      <c r="K710" s="31" t="s">
        <v>123</v>
      </c>
      <c r="L710" s="31" t="s">
        <v>56</v>
      </c>
      <c r="M710" s="31">
        <v>160</v>
      </c>
      <c r="N710" s="31">
        <v>2016</v>
      </c>
      <c r="O710" s="31">
        <v>76</v>
      </c>
      <c r="P710" s="31"/>
      <c r="Q710" s="31"/>
      <c r="R710" s="33"/>
      <c r="S710" s="34" t="str">
        <f>HYPERLINK("http://www.cnpol.ru/covers/16577.jpg","фото на сайте")</f>
        <v>фото на сайте</v>
      </c>
    </row>
    <row r="711" spans="1:19" ht="50.1" customHeight="1">
      <c r="A711" s="31"/>
      <c r="B711" s="32" t="s">
        <v>2961</v>
      </c>
      <c r="C711" s="31" t="s">
        <v>390</v>
      </c>
      <c r="D711" s="31" t="s">
        <v>2359</v>
      </c>
      <c r="E711" s="31" t="s">
        <v>2962</v>
      </c>
      <c r="F711" s="31">
        <v>953</v>
      </c>
      <c r="G711" s="31">
        <v>86</v>
      </c>
      <c r="H711" s="31">
        <v>10</v>
      </c>
      <c r="I711" s="31">
        <v>30</v>
      </c>
      <c r="J711" s="31" t="s">
        <v>2963</v>
      </c>
      <c r="K711" s="31" t="s">
        <v>123</v>
      </c>
      <c r="L711" s="31" t="s">
        <v>56</v>
      </c>
      <c r="M711" s="31">
        <v>160</v>
      </c>
      <c r="N711" s="31">
        <v>2020</v>
      </c>
      <c r="O711" s="31">
        <v>76</v>
      </c>
      <c r="P711" s="31"/>
      <c r="Q711" s="31"/>
      <c r="R711" s="33"/>
      <c r="S711" s="34" t="str">
        <f>HYPERLINK("http://www.cnpol.ru/covers/19005.jpg","фото на сайте")</f>
        <v>фото на сайте</v>
      </c>
    </row>
    <row r="712" spans="1:19" ht="50.1" customHeight="1">
      <c r="A712" s="31"/>
      <c r="B712" s="32" t="s">
        <v>2964</v>
      </c>
      <c r="C712" s="31" t="s">
        <v>390</v>
      </c>
      <c r="D712" s="31" t="s">
        <v>2359</v>
      </c>
      <c r="E712" s="31" t="s">
        <v>2965</v>
      </c>
      <c r="F712" s="31">
        <v>599</v>
      </c>
      <c r="G712" s="31">
        <v>86</v>
      </c>
      <c r="H712" s="31">
        <v>10</v>
      </c>
      <c r="I712" s="31">
        <v>30</v>
      </c>
      <c r="J712" s="31" t="s">
        <v>2966</v>
      </c>
      <c r="K712" s="31" t="s">
        <v>123</v>
      </c>
      <c r="L712" s="31" t="s">
        <v>56</v>
      </c>
      <c r="M712" s="31">
        <v>160</v>
      </c>
      <c r="N712" s="31">
        <v>2016</v>
      </c>
      <c r="O712" s="31">
        <v>76</v>
      </c>
      <c r="P712" s="31"/>
      <c r="Q712" s="31"/>
      <c r="R712" s="33"/>
      <c r="S712" s="34" t="str">
        <f>HYPERLINK("http://www.cnpol.ru/covers/16622.jpg","фото на сайте")</f>
        <v>фото на сайте</v>
      </c>
    </row>
    <row r="713" spans="1:19" ht="50.1" customHeight="1">
      <c r="A713" s="31"/>
      <c r="B713" s="32" t="s">
        <v>2967</v>
      </c>
      <c r="C713" s="31" t="s">
        <v>818</v>
      </c>
      <c r="D713" s="31" t="s">
        <v>2968</v>
      </c>
      <c r="E713" s="31" t="s">
        <v>2969</v>
      </c>
      <c r="F713" s="31" t="s">
        <v>31</v>
      </c>
      <c r="G713" s="31">
        <v>81</v>
      </c>
      <c r="H713" s="31">
        <v>10</v>
      </c>
      <c r="I713" s="31">
        <v>16</v>
      </c>
      <c r="J713" s="31" t="s">
        <v>2970</v>
      </c>
      <c r="K713" s="31" t="s">
        <v>130</v>
      </c>
      <c r="L713" s="31" t="s">
        <v>56</v>
      </c>
      <c r="M713" s="31">
        <v>160</v>
      </c>
      <c r="N713" s="31">
        <v>2004</v>
      </c>
      <c r="O713" s="31">
        <v>96</v>
      </c>
      <c r="P713" s="31"/>
      <c r="Q713" s="31"/>
      <c r="R713" s="33"/>
      <c r="S713" s="34" t="str">
        <f>HYPERLINK("http://www.cnpol.ru/covers/5330.jpg","фото на сайте")</f>
        <v>фото на сайте</v>
      </c>
    </row>
    <row r="714" spans="1:19" ht="50.1" customHeight="1">
      <c r="A714" s="31"/>
      <c r="B714" s="32" t="s">
        <v>2971</v>
      </c>
      <c r="C714" s="31" t="s">
        <v>1196</v>
      </c>
      <c r="D714" s="31" t="s">
        <v>2972</v>
      </c>
      <c r="E714" s="31" t="s">
        <v>2973</v>
      </c>
      <c r="F714" s="31" t="s">
        <v>31</v>
      </c>
      <c r="G714" s="31">
        <v>272</v>
      </c>
      <c r="H714" s="31">
        <v>10</v>
      </c>
      <c r="I714" s="31">
        <v>20</v>
      </c>
      <c r="J714" s="31" t="s">
        <v>2974</v>
      </c>
      <c r="K714" s="31" t="s">
        <v>41</v>
      </c>
      <c r="L714" s="31" t="s">
        <v>34</v>
      </c>
      <c r="M714" s="31">
        <v>217</v>
      </c>
      <c r="N714" s="31">
        <v>1999</v>
      </c>
      <c r="O714" s="31">
        <v>338</v>
      </c>
      <c r="P714" s="31"/>
      <c r="Q714" s="31"/>
      <c r="R714" s="33"/>
      <c r="S714" s="34" t="str">
        <f>HYPERLINK("http://www.cnpol.ru/covers/1629.jpg","фото на сайте")</f>
        <v>фото на сайте</v>
      </c>
    </row>
    <row r="715" spans="1:19" ht="50.1" customHeight="1">
      <c r="A715" s="31"/>
      <c r="B715" s="32" t="s">
        <v>2975</v>
      </c>
      <c r="C715" s="31" t="s">
        <v>390</v>
      </c>
      <c r="D715" s="31" t="s">
        <v>2976</v>
      </c>
      <c r="E715" s="31" t="s">
        <v>2977</v>
      </c>
      <c r="F715" s="31">
        <v>386</v>
      </c>
      <c r="G715" s="31">
        <v>86</v>
      </c>
      <c r="H715" s="31">
        <v>10</v>
      </c>
      <c r="I715" s="31">
        <v>30</v>
      </c>
      <c r="J715" s="31" t="s">
        <v>2978</v>
      </c>
      <c r="K715" s="31" t="s">
        <v>123</v>
      </c>
      <c r="L715" s="31" t="s">
        <v>56</v>
      </c>
      <c r="M715" s="31">
        <v>158</v>
      </c>
      <c r="N715" s="31">
        <v>2014</v>
      </c>
      <c r="O715" s="31">
        <v>76</v>
      </c>
      <c r="P715" s="31"/>
      <c r="Q715" s="31"/>
      <c r="R715" s="33"/>
      <c r="S715" s="34" t="str">
        <f>HYPERLINK("http://www.cnpol.ru/covers/14914.jpg","фото на сайте")</f>
        <v>фото на сайте</v>
      </c>
    </row>
    <row r="716" spans="1:19" ht="50.1" customHeight="1">
      <c r="A716" s="31"/>
      <c r="B716" s="32" t="s">
        <v>2979</v>
      </c>
      <c r="C716" s="31" t="s">
        <v>390</v>
      </c>
      <c r="D716" s="31" t="s">
        <v>2638</v>
      </c>
      <c r="E716" s="31" t="s">
        <v>2980</v>
      </c>
      <c r="F716" s="31">
        <v>889</v>
      </c>
      <c r="G716" s="31">
        <v>86</v>
      </c>
      <c r="H716" s="31">
        <v>10</v>
      </c>
      <c r="I716" s="31">
        <v>30</v>
      </c>
      <c r="J716" s="31" t="s">
        <v>2981</v>
      </c>
      <c r="K716" s="31" t="s">
        <v>123</v>
      </c>
      <c r="L716" s="31" t="s">
        <v>56</v>
      </c>
      <c r="M716" s="31">
        <v>160</v>
      </c>
      <c r="N716" s="31">
        <v>2019</v>
      </c>
      <c r="O716" s="31">
        <v>78</v>
      </c>
      <c r="P716" s="31"/>
      <c r="Q716" s="31"/>
      <c r="R716" s="33"/>
      <c r="S716" s="34" t="str">
        <f>HYPERLINK("http://www.cnpol.ru/covers/18638.jpg","фото на сайте")</f>
        <v>фото на сайте</v>
      </c>
    </row>
    <row r="717" spans="1:19" ht="50.1" customHeight="1">
      <c r="A717" s="31"/>
      <c r="B717" s="32" t="s">
        <v>2982</v>
      </c>
      <c r="C717" s="31" t="s">
        <v>546</v>
      </c>
      <c r="D717" s="31" t="s">
        <v>1698</v>
      </c>
      <c r="E717" s="31" t="s">
        <v>2983</v>
      </c>
      <c r="F717" s="31">
        <v>232</v>
      </c>
      <c r="G717" s="31">
        <v>93</v>
      </c>
      <c r="H717" s="31">
        <v>10</v>
      </c>
      <c r="I717" s="31">
        <v>30</v>
      </c>
      <c r="J717" s="31" t="s">
        <v>2984</v>
      </c>
      <c r="K717" s="31" t="s">
        <v>123</v>
      </c>
      <c r="L717" s="31" t="s">
        <v>56</v>
      </c>
      <c r="M717" s="31">
        <v>160</v>
      </c>
      <c r="N717" s="31">
        <v>2017</v>
      </c>
      <c r="O717" s="31">
        <v>76</v>
      </c>
      <c r="P717" s="31"/>
      <c r="Q717" s="31"/>
      <c r="R717" s="33"/>
      <c r="S717" s="34" t="str">
        <f>HYPERLINK("http://www.cnpol.ru/covers/17642.jpg","фото на сайте")</f>
        <v>фото на сайте</v>
      </c>
    </row>
    <row r="718" spans="1:19" ht="50.1" customHeight="1">
      <c r="A718" s="31"/>
      <c r="B718" s="32" t="s">
        <v>2985</v>
      </c>
      <c r="C718" s="31" t="s">
        <v>390</v>
      </c>
      <c r="D718" s="31" t="s">
        <v>1801</v>
      </c>
      <c r="E718" s="31" t="s">
        <v>2986</v>
      </c>
      <c r="F718" s="31">
        <v>802</v>
      </c>
      <c r="G718" s="31">
        <v>86</v>
      </c>
      <c r="H718" s="31">
        <v>10</v>
      </c>
      <c r="I718" s="31">
        <v>30</v>
      </c>
      <c r="J718" s="31" t="s">
        <v>2987</v>
      </c>
      <c r="K718" s="31" t="s">
        <v>123</v>
      </c>
      <c r="L718" s="31" t="s">
        <v>56</v>
      </c>
      <c r="M718" s="31">
        <v>160</v>
      </c>
      <c r="N718" s="31">
        <v>2018</v>
      </c>
      <c r="O718" s="31">
        <v>76</v>
      </c>
      <c r="P718" s="31"/>
      <c r="Q718" s="31"/>
      <c r="R718" s="33"/>
      <c r="S718" s="34" t="str">
        <f>HYPERLINK("http://www.cnpol.ru/covers/18062.jpg","фото на сайте")</f>
        <v>фото на сайте</v>
      </c>
    </row>
    <row r="719" spans="1:19" ht="50.1" customHeight="1">
      <c r="A719" s="31"/>
      <c r="B719" s="32" t="s">
        <v>2988</v>
      </c>
      <c r="C719" s="31" t="s">
        <v>546</v>
      </c>
      <c r="D719" s="31" t="s">
        <v>1454</v>
      </c>
      <c r="E719" s="31" t="s">
        <v>2989</v>
      </c>
      <c r="F719" s="31">
        <v>175</v>
      </c>
      <c r="G719" s="31">
        <v>93</v>
      </c>
      <c r="H719" s="31">
        <v>10</v>
      </c>
      <c r="I719" s="31">
        <v>30</v>
      </c>
      <c r="J719" s="31" t="s">
        <v>2990</v>
      </c>
      <c r="K719" s="31" t="s">
        <v>123</v>
      </c>
      <c r="L719" s="31" t="s">
        <v>56</v>
      </c>
      <c r="M719" s="31">
        <v>160</v>
      </c>
      <c r="N719" s="31">
        <v>2016</v>
      </c>
      <c r="O719" s="31">
        <v>76</v>
      </c>
      <c r="P719" s="31"/>
      <c r="Q719" s="31"/>
      <c r="R719" s="33"/>
      <c r="S719" s="34" t="str">
        <f>HYPERLINK("http://www.cnpol.ru/covers/16847.jpg","фото на сайте")</f>
        <v>фото на сайте</v>
      </c>
    </row>
    <row r="720" spans="1:19" ht="50.1" customHeight="1">
      <c r="A720" s="31" t="s">
        <v>43</v>
      </c>
      <c r="B720" s="32" t="s">
        <v>2991</v>
      </c>
      <c r="C720" s="31" t="s">
        <v>1390</v>
      </c>
      <c r="D720" s="31" t="s">
        <v>236</v>
      </c>
      <c r="E720" s="31" t="s">
        <v>2992</v>
      </c>
      <c r="F720" s="31" t="s">
        <v>31</v>
      </c>
      <c r="G720" s="31">
        <v>244</v>
      </c>
      <c r="H720" s="31">
        <v>10</v>
      </c>
      <c r="I720" s="31">
        <v>10</v>
      </c>
      <c r="J720" s="31" t="s">
        <v>2993</v>
      </c>
      <c r="K720" s="31" t="s">
        <v>33</v>
      </c>
      <c r="L720" s="31" t="s">
        <v>56</v>
      </c>
      <c r="M720" s="31">
        <v>287</v>
      </c>
      <c r="N720" s="31">
        <v>2025</v>
      </c>
      <c r="O720" s="31">
        <v>199</v>
      </c>
      <c r="P720" s="31"/>
      <c r="Q720" s="31"/>
      <c r="R720" s="33" t="s">
        <v>2994</v>
      </c>
      <c r="S720" s="34" t="str">
        <f>HYPERLINK("http://www.cnpol.ru/covers/21616.jpg","фото на сайте")</f>
        <v>фото на сайте</v>
      </c>
    </row>
    <row r="721" spans="1:19" ht="50.1" customHeight="1">
      <c r="A721" s="31"/>
      <c r="B721" s="32" t="s">
        <v>2995</v>
      </c>
      <c r="C721" s="31" t="s">
        <v>385</v>
      </c>
      <c r="D721" s="31" t="s">
        <v>386</v>
      </c>
      <c r="E721" s="31" t="s">
        <v>2996</v>
      </c>
      <c r="F721" s="31" t="s">
        <v>31</v>
      </c>
      <c r="G721" s="31">
        <v>162</v>
      </c>
      <c r="H721" s="31">
        <v>10</v>
      </c>
      <c r="I721" s="31">
        <v>32</v>
      </c>
      <c r="J721" s="31" t="s">
        <v>2997</v>
      </c>
      <c r="K721" s="31" t="s">
        <v>55</v>
      </c>
      <c r="L721" s="31" t="s">
        <v>56</v>
      </c>
      <c r="M721" s="31">
        <v>256</v>
      </c>
      <c r="N721" s="31">
        <v>2016</v>
      </c>
      <c r="O721" s="31">
        <v>108</v>
      </c>
      <c r="P721" s="31"/>
      <c r="Q721" s="31"/>
      <c r="R721" s="33"/>
      <c r="S721" s="34" t="str">
        <f>HYPERLINK("http://www.cnpol.ru/covers/0156.jpg","фото на сайте")</f>
        <v>фото на сайте</v>
      </c>
    </row>
    <row r="722" spans="1:19" ht="50.1" customHeight="1">
      <c r="A722" s="31"/>
      <c r="B722" s="32" t="s">
        <v>2998</v>
      </c>
      <c r="C722" s="31" t="s">
        <v>2930</v>
      </c>
      <c r="D722" s="31" t="s">
        <v>2926</v>
      </c>
      <c r="E722" s="31" t="s">
        <v>2999</v>
      </c>
      <c r="F722" s="31" t="s">
        <v>31</v>
      </c>
      <c r="G722" s="31">
        <v>137</v>
      </c>
      <c r="H722" s="31">
        <v>10</v>
      </c>
      <c r="I722" s="31">
        <v>20</v>
      </c>
      <c r="J722" s="31" t="s">
        <v>3000</v>
      </c>
      <c r="K722" s="31" t="s">
        <v>55</v>
      </c>
      <c r="L722" s="31" t="s">
        <v>56</v>
      </c>
      <c r="M722" s="31">
        <v>318</v>
      </c>
      <c r="N722" s="31">
        <v>2008</v>
      </c>
      <c r="O722" s="31">
        <v>134</v>
      </c>
      <c r="P722" s="31"/>
      <c r="Q722" s="31"/>
      <c r="R722" s="33"/>
      <c r="S722" s="34" t="str">
        <f>HYPERLINK("http://www.cnpol.ru/covers/8665.jpg","фото на сайте")</f>
        <v>фото на сайте</v>
      </c>
    </row>
    <row r="723" spans="1:19" ht="50.1" customHeight="1">
      <c r="A723" s="31"/>
      <c r="B723" s="32" t="s">
        <v>3001</v>
      </c>
      <c r="C723" s="31" t="s">
        <v>390</v>
      </c>
      <c r="D723" s="31" t="s">
        <v>2359</v>
      </c>
      <c r="E723" s="31" t="s">
        <v>3002</v>
      </c>
      <c r="F723" s="31">
        <v>762</v>
      </c>
      <c r="G723" s="31">
        <v>86</v>
      </c>
      <c r="H723" s="31">
        <v>10</v>
      </c>
      <c r="I723" s="31">
        <v>30</v>
      </c>
      <c r="J723" s="31" t="s">
        <v>3003</v>
      </c>
      <c r="K723" s="31" t="s">
        <v>123</v>
      </c>
      <c r="L723" s="31" t="s">
        <v>56</v>
      </c>
      <c r="M723" s="31">
        <v>160</v>
      </c>
      <c r="N723" s="31">
        <v>2017</v>
      </c>
      <c r="O723" s="31">
        <v>76</v>
      </c>
      <c r="P723" s="31"/>
      <c r="Q723" s="31"/>
      <c r="R723" s="33"/>
      <c r="S723" s="34" t="str">
        <f>HYPERLINK("http://www.cnpol.ru/covers/17764.jpg","фото на сайте")</f>
        <v>фото на сайте</v>
      </c>
    </row>
    <row r="724" spans="1:19" ht="50.1" customHeight="1">
      <c r="A724" s="31"/>
      <c r="B724" s="32" t="s">
        <v>3004</v>
      </c>
      <c r="C724" s="31" t="s">
        <v>1390</v>
      </c>
      <c r="D724" s="31" t="s">
        <v>236</v>
      </c>
      <c r="E724" s="31" t="s">
        <v>3005</v>
      </c>
      <c r="F724" s="31" t="s">
        <v>31</v>
      </c>
      <c r="G724" s="31">
        <v>514</v>
      </c>
      <c r="H724" s="31">
        <v>10</v>
      </c>
      <c r="I724" s="31">
        <v>12</v>
      </c>
      <c r="J724" s="31" t="s">
        <v>3006</v>
      </c>
      <c r="K724" s="31" t="s">
        <v>33</v>
      </c>
      <c r="L724" s="31" t="s">
        <v>34</v>
      </c>
      <c r="M724" s="31">
        <v>352</v>
      </c>
      <c r="N724" s="31">
        <v>2023</v>
      </c>
      <c r="O724" s="31">
        <v>280</v>
      </c>
      <c r="P724" s="31"/>
      <c r="Q724" s="31"/>
      <c r="R724" s="33" t="s">
        <v>3007</v>
      </c>
      <c r="S724" s="34" t="str">
        <f>HYPERLINK("http://www.cnpol.ru/covers/20555.jpg","фото на сайте")</f>
        <v>фото на сайте</v>
      </c>
    </row>
    <row r="725" spans="1:19" ht="50.1" customHeight="1">
      <c r="A725" s="31"/>
      <c r="B725" s="32" t="s">
        <v>3008</v>
      </c>
      <c r="C725" s="31" t="s">
        <v>126</v>
      </c>
      <c r="D725" s="31" t="s">
        <v>236</v>
      </c>
      <c r="E725" s="31" t="s">
        <v>3009</v>
      </c>
      <c r="F725" s="31" t="s">
        <v>31</v>
      </c>
      <c r="G725" s="31">
        <v>162</v>
      </c>
      <c r="H725" s="31">
        <v>10</v>
      </c>
      <c r="I725" s="31">
        <v>48</v>
      </c>
      <c r="J725" s="31" t="s">
        <v>3010</v>
      </c>
      <c r="K725" s="31" t="s">
        <v>130</v>
      </c>
      <c r="L725" s="31" t="s">
        <v>56</v>
      </c>
      <c r="M725" s="31">
        <v>127</v>
      </c>
      <c r="N725" s="31">
        <v>2011</v>
      </c>
      <c r="O725" s="31">
        <v>88</v>
      </c>
      <c r="P725" s="31"/>
      <c r="Q725" s="31"/>
      <c r="R725" s="33"/>
      <c r="S725" s="34" t="str">
        <f>HYPERLINK("http://www.cnpol.ru/covers/12863.jpg","фото на сайте")</f>
        <v>фото на сайте</v>
      </c>
    </row>
    <row r="726" spans="1:19" ht="50.1" customHeight="1">
      <c r="A726" s="31"/>
      <c r="B726" s="32" t="s">
        <v>3011</v>
      </c>
      <c r="C726" s="31" t="s">
        <v>126</v>
      </c>
      <c r="D726" s="31" t="s">
        <v>236</v>
      </c>
      <c r="E726" s="31" t="s">
        <v>3009</v>
      </c>
      <c r="F726" s="31" t="s">
        <v>31</v>
      </c>
      <c r="G726" s="31">
        <v>162</v>
      </c>
      <c r="H726" s="31">
        <v>10</v>
      </c>
      <c r="I726" s="31">
        <v>52</v>
      </c>
      <c r="J726" s="31" t="s">
        <v>3012</v>
      </c>
      <c r="K726" s="31" t="s">
        <v>130</v>
      </c>
      <c r="L726" s="31" t="s">
        <v>56</v>
      </c>
      <c r="M726" s="31">
        <v>127</v>
      </c>
      <c r="N726" s="31">
        <v>2014</v>
      </c>
      <c r="O726" s="31">
        <v>82</v>
      </c>
      <c r="P726" s="31"/>
      <c r="Q726" s="31"/>
      <c r="R726" s="33"/>
      <c r="S726" s="34" t="str">
        <f>HYPERLINK("http://www.cnpol.ru/covers/14879.jpg","фото на сайте")</f>
        <v>фото на сайте</v>
      </c>
    </row>
    <row r="727" spans="1:19" ht="50.1" customHeight="1">
      <c r="A727" s="31"/>
      <c r="B727" s="32" t="s">
        <v>3013</v>
      </c>
      <c r="C727" s="31" t="s">
        <v>126</v>
      </c>
      <c r="D727" s="31" t="s">
        <v>3014</v>
      </c>
      <c r="E727" s="31" t="s">
        <v>3015</v>
      </c>
      <c r="F727" s="31" t="s">
        <v>31</v>
      </c>
      <c r="G727" s="31">
        <v>144</v>
      </c>
      <c r="H727" s="31">
        <v>10</v>
      </c>
      <c r="I727" s="31">
        <v>48</v>
      </c>
      <c r="J727" s="31" t="s">
        <v>3016</v>
      </c>
      <c r="K727" s="31" t="s">
        <v>130</v>
      </c>
      <c r="L727" s="31" t="s">
        <v>56</v>
      </c>
      <c r="M727" s="31">
        <v>159</v>
      </c>
      <c r="N727" s="31">
        <v>2010</v>
      </c>
      <c r="O727" s="31" t="s">
        <v>220</v>
      </c>
      <c r="P727" s="31"/>
      <c r="Q727" s="31"/>
      <c r="R727" s="33"/>
      <c r="S727" s="34" t="str">
        <f>HYPERLINK("http://www.cnpol.ru/covers/12397.jpg","фото на сайте")</f>
        <v>фото на сайте</v>
      </c>
    </row>
    <row r="728" spans="1:19" ht="50.1" customHeight="1">
      <c r="A728" s="31"/>
      <c r="B728" s="32" t="s">
        <v>3017</v>
      </c>
      <c r="C728" s="31" t="s">
        <v>1623</v>
      </c>
      <c r="D728" s="31" t="s">
        <v>3018</v>
      </c>
      <c r="E728" s="31" t="s">
        <v>3019</v>
      </c>
      <c r="F728" s="31" t="s">
        <v>31</v>
      </c>
      <c r="G728" s="31">
        <v>169</v>
      </c>
      <c r="H728" s="31">
        <v>10</v>
      </c>
      <c r="I728" s="31">
        <v>12</v>
      </c>
      <c r="J728" s="31" t="s">
        <v>3020</v>
      </c>
      <c r="K728" s="31" t="s">
        <v>55</v>
      </c>
      <c r="L728" s="31" t="s">
        <v>56</v>
      </c>
      <c r="M728" s="31">
        <v>255</v>
      </c>
      <c r="N728" s="31">
        <v>2022</v>
      </c>
      <c r="O728" s="31">
        <v>110</v>
      </c>
      <c r="P728" s="31"/>
      <c r="Q728" s="31"/>
      <c r="R728" s="33"/>
      <c r="S728" s="34" t="str">
        <f>HYPERLINK("http://www.cnpol.ru/covers/20342.jpg","фото на сайте")</f>
        <v>фото на сайте</v>
      </c>
    </row>
    <row r="729" spans="1:19" ht="50.1" customHeight="1">
      <c r="A729" s="31"/>
      <c r="B729" s="32" t="s">
        <v>3021</v>
      </c>
      <c r="C729" s="31" t="s">
        <v>400</v>
      </c>
      <c r="D729" s="31" t="s">
        <v>3022</v>
      </c>
      <c r="E729" s="31" t="s">
        <v>3023</v>
      </c>
      <c r="F729" s="31" t="s">
        <v>31</v>
      </c>
      <c r="G729" s="31">
        <v>503</v>
      </c>
      <c r="H729" s="31">
        <v>10</v>
      </c>
      <c r="I729" s="31">
        <v>12</v>
      </c>
      <c r="J729" s="31" t="s">
        <v>3024</v>
      </c>
      <c r="K729" s="31" t="s">
        <v>33</v>
      </c>
      <c r="L729" s="31" t="s">
        <v>34</v>
      </c>
      <c r="M729" s="31">
        <v>384</v>
      </c>
      <c r="N729" s="31">
        <v>2016</v>
      </c>
      <c r="O729" s="31">
        <v>306</v>
      </c>
      <c r="P729" s="31"/>
      <c r="Q729" s="31"/>
      <c r="R729" s="33"/>
      <c r="S729" s="34" t="str">
        <f>HYPERLINK("http://www.cnpol.ru/covers/16560.jpg","фото на сайте")</f>
        <v>фото на сайте</v>
      </c>
    </row>
    <row r="730" spans="1:19" ht="50.1" customHeight="1">
      <c r="A730" s="31"/>
      <c r="B730" s="32" t="s">
        <v>3025</v>
      </c>
      <c r="C730" s="31" t="s">
        <v>546</v>
      </c>
      <c r="D730" s="31" t="s">
        <v>1435</v>
      </c>
      <c r="E730" s="31" t="s">
        <v>3026</v>
      </c>
      <c r="F730" s="31">
        <v>339</v>
      </c>
      <c r="G730" s="31">
        <v>93</v>
      </c>
      <c r="H730" s="31">
        <v>10</v>
      </c>
      <c r="I730" s="31">
        <v>30</v>
      </c>
      <c r="J730" s="31" t="s">
        <v>3027</v>
      </c>
      <c r="K730" s="31" t="s">
        <v>123</v>
      </c>
      <c r="L730" s="31" t="s">
        <v>56</v>
      </c>
      <c r="M730" s="31">
        <v>160</v>
      </c>
      <c r="N730" s="31">
        <v>2020</v>
      </c>
      <c r="O730" s="31">
        <v>76</v>
      </c>
      <c r="P730" s="31"/>
      <c r="Q730" s="31"/>
      <c r="R730" s="33"/>
      <c r="S730" s="34" t="str">
        <f>HYPERLINK("http://www.cnpol.ru/covers/19015.jpg","фото на сайте")</f>
        <v>фото на сайте</v>
      </c>
    </row>
    <row r="731" spans="1:19" ht="50.1" customHeight="1">
      <c r="A731" s="31"/>
      <c r="B731" s="32" t="s">
        <v>3028</v>
      </c>
      <c r="C731" s="31" t="s">
        <v>390</v>
      </c>
      <c r="D731" s="31" t="s">
        <v>1520</v>
      </c>
      <c r="E731" s="31" t="s">
        <v>3029</v>
      </c>
      <c r="F731" s="31">
        <v>863</v>
      </c>
      <c r="G731" s="31">
        <v>86</v>
      </c>
      <c r="H731" s="31">
        <v>10</v>
      </c>
      <c r="I731" s="31">
        <v>30</v>
      </c>
      <c r="J731" s="31" t="s">
        <v>3030</v>
      </c>
      <c r="K731" s="31" t="s">
        <v>123</v>
      </c>
      <c r="L731" s="31" t="s">
        <v>56</v>
      </c>
      <c r="M731" s="31">
        <v>160</v>
      </c>
      <c r="N731" s="31">
        <v>2019</v>
      </c>
      <c r="O731" s="31">
        <v>76</v>
      </c>
      <c r="P731" s="31"/>
      <c r="Q731" s="31"/>
      <c r="R731" s="33"/>
      <c r="S731" s="34" t="str">
        <f>HYPERLINK("http://www.cnpol.ru/covers/18462.jpg","фото на сайте")</f>
        <v>фото на сайте</v>
      </c>
    </row>
    <row r="732" spans="1:19" ht="50.1" customHeight="1">
      <c r="A732" s="31"/>
      <c r="B732" s="32" t="s">
        <v>3031</v>
      </c>
      <c r="C732" s="31" t="s">
        <v>390</v>
      </c>
      <c r="D732" s="31" t="s">
        <v>1805</v>
      </c>
      <c r="E732" s="31" t="s">
        <v>3032</v>
      </c>
      <c r="F732" s="31">
        <v>462</v>
      </c>
      <c r="G732" s="31">
        <v>86</v>
      </c>
      <c r="H732" s="31">
        <v>10</v>
      </c>
      <c r="I732" s="31">
        <v>30</v>
      </c>
      <c r="J732" s="31" t="s">
        <v>3033</v>
      </c>
      <c r="K732" s="31" t="s">
        <v>123</v>
      </c>
      <c r="L732" s="31" t="s">
        <v>56</v>
      </c>
      <c r="M732" s="31">
        <v>158</v>
      </c>
      <c r="N732" s="31">
        <v>2014</v>
      </c>
      <c r="O732" s="31">
        <v>76</v>
      </c>
      <c r="P732" s="31"/>
      <c r="Q732" s="31"/>
      <c r="R732" s="33"/>
      <c r="S732" s="34" t="str">
        <f>HYPERLINK("http://www.cnpol.ru/covers/15562.jpg","фото на сайте")</f>
        <v>фото на сайте</v>
      </c>
    </row>
    <row r="733" spans="1:19" ht="50.1" customHeight="1">
      <c r="A733" s="31"/>
      <c r="B733" s="32" t="s">
        <v>3034</v>
      </c>
      <c r="C733" s="31" t="s">
        <v>390</v>
      </c>
      <c r="D733" s="31" t="s">
        <v>1750</v>
      </c>
      <c r="E733" s="31" t="s">
        <v>3035</v>
      </c>
      <c r="F733" s="31">
        <v>992</v>
      </c>
      <c r="G733" s="31">
        <v>86</v>
      </c>
      <c r="H733" s="31">
        <v>10</v>
      </c>
      <c r="I733" s="31">
        <v>30</v>
      </c>
      <c r="J733" s="31" t="s">
        <v>3036</v>
      </c>
      <c r="K733" s="31" t="s">
        <v>123</v>
      </c>
      <c r="L733" s="31" t="s">
        <v>56</v>
      </c>
      <c r="M733" s="31">
        <v>160</v>
      </c>
      <c r="N733" s="31">
        <v>2020</v>
      </c>
      <c r="O733" s="31">
        <v>76</v>
      </c>
      <c r="P733" s="31"/>
      <c r="Q733" s="31"/>
      <c r="R733" s="33"/>
      <c r="S733" s="34" t="str">
        <f>HYPERLINK("http://www.cnpol.ru/covers/19320.jpg","фото на сайте")</f>
        <v>фото на сайте</v>
      </c>
    </row>
    <row r="734" spans="1:19" ht="50.1" customHeight="1">
      <c r="A734" s="31"/>
      <c r="B734" s="32" t="s">
        <v>3037</v>
      </c>
      <c r="C734" s="31" t="s">
        <v>413</v>
      </c>
      <c r="D734" s="31" t="s">
        <v>1435</v>
      </c>
      <c r="E734" s="31" t="s">
        <v>3038</v>
      </c>
      <c r="F734" s="31">
        <v>9</v>
      </c>
      <c r="G734" s="31">
        <v>117</v>
      </c>
      <c r="H734" s="31">
        <v>10</v>
      </c>
      <c r="I734" s="31">
        <v>36</v>
      </c>
      <c r="J734" s="31" t="s">
        <v>3039</v>
      </c>
      <c r="K734" s="31" t="s">
        <v>123</v>
      </c>
      <c r="L734" s="31" t="s">
        <v>56</v>
      </c>
      <c r="M734" s="31">
        <v>190</v>
      </c>
      <c r="N734" s="31">
        <v>2014</v>
      </c>
      <c r="O734" s="31">
        <v>90</v>
      </c>
      <c r="P734" s="31"/>
      <c r="Q734" s="31"/>
      <c r="R734" s="33"/>
      <c r="S734" s="34" t="str">
        <f>HYPERLINK("http://www.cnpol.ru/covers/15277.jpg","фото на сайте")</f>
        <v>фото на сайте</v>
      </c>
    </row>
    <row r="735" spans="1:19" ht="50.1" customHeight="1">
      <c r="A735" s="31"/>
      <c r="B735" s="32" t="s">
        <v>3040</v>
      </c>
      <c r="C735" s="31" t="s">
        <v>546</v>
      </c>
      <c r="D735" s="31" t="s">
        <v>1801</v>
      </c>
      <c r="E735" s="31" t="s">
        <v>3041</v>
      </c>
      <c r="F735" s="31">
        <v>436</v>
      </c>
      <c r="G735" s="31">
        <v>93</v>
      </c>
      <c r="H735" s="31">
        <v>10</v>
      </c>
      <c r="I735" s="31">
        <v>30</v>
      </c>
      <c r="J735" s="31" t="s">
        <v>3042</v>
      </c>
      <c r="K735" s="31" t="s">
        <v>123</v>
      </c>
      <c r="L735" s="31" t="s">
        <v>56</v>
      </c>
      <c r="M735" s="31">
        <v>159</v>
      </c>
      <c r="N735" s="31">
        <v>2023</v>
      </c>
      <c r="O735" s="31">
        <v>76</v>
      </c>
      <c r="P735" s="31"/>
      <c r="Q735" s="31"/>
      <c r="R735" s="33" t="s">
        <v>3043</v>
      </c>
      <c r="S735" s="34" t="str">
        <f>HYPERLINK("http://www.cnpol.ru/covers/20894.jpg","фото на сайте")</f>
        <v>фото на сайте</v>
      </c>
    </row>
    <row r="736" spans="1:19" ht="50.1" customHeight="1">
      <c r="A736" s="31"/>
      <c r="B736" s="32" t="s">
        <v>3044</v>
      </c>
      <c r="C736" s="31" t="s">
        <v>390</v>
      </c>
      <c r="D736" s="31" t="s">
        <v>989</v>
      </c>
      <c r="E736" s="31" t="s">
        <v>3045</v>
      </c>
      <c r="F736" s="31">
        <v>809</v>
      </c>
      <c r="G736" s="31">
        <v>86</v>
      </c>
      <c r="H736" s="31">
        <v>10</v>
      </c>
      <c r="I736" s="31">
        <v>30</v>
      </c>
      <c r="J736" s="31" t="s">
        <v>3046</v>
      </c>
      <c r="K736" s="31" t="s">
        <v>123</v>
      </c>
      <c r="L736" s="31" t="s">
        <v>56</v>
      </c>
      <c r="M736" s="31">
        <v>160</v>
      </c>
      <c r="N736" s="31">
        <v>2018</v>
      </c>
      <c r="O736" s="31">
        <v>76</v>
      </c>
      <c r="P736" s="31"/>
      <c r="Q736" s="31"/>
      <c r="R736" s="33"/>
      <c r="S736" s="34" t="str">
        <f>HYPERLINK("http://www.cnpol.ru/covers/18139.jpg","фото на сайте")</f>
        <v>фото на сайте</v>
      </c>
    </row>
    <row r="737" spans="1:19" ht="50.1" customHeight="1">
      <c r="A737" s="31"/>
      <c r="B737" s="32" t="s">
        <v>3047</v>
      </c>
      <c r="C737" s="31" t="s">
        <v>3048</v>
      </c>
      <c r="D737" s="31" t="s">
        <v>3049</v>
      </c>
      <c r="E737" s="31" t="s">
        <v>3050</v>
      </c>
      <c r="F737" s="31" t="s">
        <v>31</v>
      </c>
      <c r="G737" s="31">
        <v>582</v>
      </c>
      <c r="H737" s="31">
        <v>10</v>
      </c>
      <c r="I737" s="31">
        <v>12</v>
      </c>
      <c r="J737" s="31" t="s">
        <v>3051</v>
      </c>
      <c r="K737" s="31" t="s">
        <v>147</v>
      </c>
      <c r="L737" s="31" t="s">
        <v>34</v>
      </c>
      <c r="M737" s="31">
        <v>159</v>
      </c>
      <c r="N737" s="31">
        <v>2023</v>
      </c>
      <c r="O737" s="31">
        <v>354</v>
      </c>
      <c r="P737" s="31"/>
      <c r="Q737" s="31"/>
      <c r="R737" s="33" t="s">
        <v>3052</v>
      </c>
      <c r="S737" s="34" t="str">
        <f>HYPERLINK("http://www.cnpol.ru/covers/20729.jpg","фото на сайте")</f>
        <v>фото на сайте</v>
      </c>
    </row>
    <row r="738" spans="1:19" ht="50.1" customHeight="1">
      <c r="A738" s="31"/>
      <c r="B738" s="32" t="s">
        <v>3053</v>
      </c>
      <c r="C738" s="31" t="s">
        <v>390</v>
      </c>
      <c r="D738" s="31" t="s">
        <v>3054</v>
      </c>
      <c r="E738" s="31" t="s">
        <v>3055</v>
      </c>
      <c r="F738" s="31">
        <v>661</v>
      </c>
      <c r="G738" s="31">
        <v>86</v>
      </c>
      <c r="H738" s="31">
        <v>10</v>
      </c>
      <c r="I738" s="31">
        <v>30</v>
      </c>
      <c r="J738" s="31" t="s">
        <v>3056</v>
      </c>
      <c r="K738" s="31" t="s">
        <v>123</v>
      </c>
      <c r="L738" s="31" t="s">
        <v>56</v>
      </c>
      <c r="M738" s="31">
        <v>160</v>
      </c>
      <c r="N738" s="31">
        <v>2016</v>
      </c>
      <c r="O738" s="31">
        <v>76</v>
      </c>
      <c r="P738" s="31"/>
      <c r="Q738" s="31"/>
      <c r="R738" s="33"/>
      <c r="S738" s="34" t="str">
        <f>HYPERLINK("http://www.cnpol.ru/covers/17081.jpg","фото на сайте")</f>
        <v>фото на сайте</v>
      </c>
    </row>
    <row r="739" spans="1:19" ht="50.1" customHeight="1">
      <c r="A739" s="31"/>
      <c r="B739" s="32" t="s">
        <v>3057</v>
      </c>
      <c r="C739" s="31" t="s">
        <v>423</v>
      </c>
      <c r="D739" s="31" t="s">
        <v>3058</v>
      </c>
      <c r="E739" s="31" t="s">
        <v>3059</v>
      </c>
      <c r="F739" s="31" t="s">
        <v>31</v>
      </c>
      <c r="G739" s="31">
        <v>154</v>
      </c>
      <c r="H739" s="31">
        <v>10</v>
      </c>
      <c r="I739" s="31">
        <v>20</v>
      </c>
      <c r="J739" s="31" t="s">
        <v>3060</v>
      </c>
      <c r="K739" s="31" t="s">
        <v>55</v>
      </c>
      <c r="L739" s="31" t="s">
        <v>56</v>
      </c>
      <c r="M739" s="31">
        <v>317</v>
      </c>
      <c r="N739" s="31">
        <v>2008</v>
      </c>
      <c r="O739" s="31">
        <v>128</v>
      </c>
      <c r="P739" s="31"/>
      <c r="Q739" s="31"/>
      <c r="R739" s="33"/>
      <c r="S739" s="34" t="str">
        <f>HYPERLINK("http://www.cnpol.ru/covers/10268.jpg","фото на сайте")</f>
        <v>фото на сайте</v>
      </c>
    </row>
    <row r="740" spans="1:19" ht="50.1" customHeight="1">
      <c r="A740" s="31"/>
      <c r="B740" s="32" t="s">
        <v>3061</v>
      </c>
      <c r="C740" s="31" t="s">
        <v>3062</v>
      </c>
      <c r="D740" s="31" t="s">
        <v>3058</v>
      </c>
      <c r="E740" s="31" t="s">
        <v>3059</v>
      </c>
      <c r="F740" s="31" t="s">
        <v>31</v>
      </c>
      <c r="G740" s="31">
        <v>325</v>
      </c>
      <c r="H740" s="31">
        <v>10</v>
      </c>
      <c r="I740" s="31">
        <v>16</v>
      </c>
      <c r="J740" s="31" t="s">
        <v>3063</v>
      </c>
      <c r="K740" s="31" t="s">
        <v>33</v>
      </c>
      <c r="L740" s="31" t="s">
        <v>34</v>
      </c>
      <c r="M740" s="31">
        <v>255</v>
      </c>
      <c r="N740" s="31">
        <v>2007</v>
      </c>
      <c r="O740" s="31">
        <v>274</v>
      </c>
      <c r="P740" s="31"/>
      <c r="Q740" s="31"/>
      <c r="R740" s="33"/>
      <c r="S740" s="34" t="str">
        <f>HYPERLINK("http://www.cnpol.ru/covers/7457.jpg","фото на сайте")</f>
        <v>фото на сайте</v>
      </c>
    </row>
    <row r="741" spans="1:19" ht="50.1" customHeight="1">
      <c r="A741" s="31" t="s">
        <v>35</v>
      </c>
      <c r="B741" s="32" t="s">
        <v>3064</v>
      </c>
      <c r="C741" s="31" t="s">
        <v>1390</v>
      </c>
      <c r="D741" s="31" t="s">
        <v>236</v>
      </c>
      <c r="E741" s="31" t="s">
        <v>3065</v>
      </c>
      <c r="F741" s="31" t="s">
        <v>31</v>
      </c>
      <c r="G741" s="31">
        <v>185</v>
      </c>
      <c r="H741" s="31">
        <v>10</v>
      </c>
      <c r="I741" s="31">
        <v>15</v>
      </c>
      <c r="J741" s="31" t="s">
        <v>3066</v>
      </c>
      <c r="K741" s="31" t="s">
        <v>130</v>
      </c>
      <c r="L741" s="31" t="s">
        <v>56</v>
      </c>
      <c r="M741" s="31">
        <v>191</v>
      </c>
      <c r="N741" s="31">
        <v>2024</v>
      </c>
      <c r="O741" s="31">
        <v>122</v>
      </c>
      <c r="P741" s="31"/>
      <c r="Q741" s="31"/>
      <c r="R741" s="33" t="s">
        <v>3067</v>
      </c>
      <c r="S741" s="34" t="str">
        <f>HYPERLINK("http://www.cnpol.ru/covers/21263.jpg","фото на сайте")</f>
        <v>фото на сайте</v>
      </c>
    </row>
    <row r="742" spans="1:19" ht="50.1" customHeight="1">
      <c r="A742" s="31"/>
      <c r="B742" s="32" t="s">
        <v>3068</v>
      </c>
      <c r="C742" s="31" t="s">
        <v>528</v>
      </c>
      <c r="D742" s="31" t="s">
        <v>529</v>
      </c>
      <c r="E742" s="31" t="s">
        <v>3069</v>
      </c>
      <c r="F742" s="31" t="s">
        <v>31</v>
      </c>
      <c r="G742" s="31">
        <v>137</v>
      </c>
      <c r="H742" s="31">
        <v>10</v>
      </c>
      <c r="I742" s="31">
        <v>24</v>
      </c>
      <c r="J742" s="31" t="s">
        <v>3070</v>
      </c>
      <c r="K742" s="31" t="s">
        <v>55</v>
      </c>
      <c r="L742" s="31" t="s">
        <v>56</v>
      </c>
      <c r="M742" s="31">
        <v>160</v>
      </c>
      <c r="N742" s="31">
        <v>2020</v>
      </c>
      <c r="O742" s="31">
        <v>68</v>
      </c>
      <c r="P742" s="31"/>
      <c r="Q742" s="31"/>
      <c r="R742" s="33"/>
      <c r="S742" s="34" t="str">
        <f>HYPERLINK("http://www.cnpol.ru/covers/19212.jpg","фото на сайте")</f>
        <v>фото на сайте</v>
      </c>
    </row>
    <row r="743" spans="1:19" ht="50.1" customHeight="1">
      <c r="A743" s="31"/>
      <c r="B743" s="32" t="s">
        <v>3071</v>
      </c>
      <c r="C743" s="31" t="s">
        <v>3072</v>
      </c>
      <c r="D743" s="31" t="s">
        <v>1560</v>
      </c>
      <c r="E743" s="31" t="s">
        <v>3073</v>
      </c>
      <c r="F743" s="31" t="s">
        <v>31</v>
      </c>
      <c r="G743" s="31">
        <v>353</v>
      </c>
      <c r="H743" s="31">
        <v>10</v>
      </c>
      <c r="I743" s="31">
        <v>20</v>
      </c>
      <c r="J743" s="31" t="s">
        <v>3074</v>
      </c>
      <c r="K743" s="31" t="s">
        <v>33</v>
      </c>
      <c r="L743" s="31" t="s">
        <v>34</v>
      </c>
      <c r="M743" s="31">
        <v>239</v>
      </c>
      <c r="N743" s="31">
        <v>2010</v>
      </c>
      <c r="O743" s="31">
        <v>230</v>
      </c>
      <c r="P743" s="31"/>
      <c r="Q743" s="31"/>
      <c r="R743" s="33"/>
      <c r="S743" s="34" t="str">
        <f>HYPERLINK("http://www.cnpol.ru/covers/12236.jpg","фото на сайте")</f>
        <v>фото на сайте</v>
      </c>
    </row>
    <row r="744" spans="1:19" ht="50.1" customHeight="1">
      <c r="A744" s="31"/>
      <c r="B744" s="32" t="s">
        <v>3075</v>
      </c>
      <c r="C744" s="31" t="s">
        <v>390</v>
      </c>
      <c r="D744" s="31" t="s">
        <v>3076</v>
      </c>
      <c r="E744" s="31" t="s">
        <v>3077</v>
      </c>
      <c r="F744" s="31">
        <v>1148</v>
      </c>
      <c r="G744" s="31">
        <v>86</v>
      </c>
      <c r="H744" s="31">
        <v>10</v>
      </c>
      <c r="I744" s="31">
        <v>30</v>
      </c>
      <c r="J744" s="31" t="s">
        <v>3078</v>
      </c>
      <c r="K744" s="31" t="s">
        <v>123</v>
      </c>
      <c r="L744" s="31" t="s">
        <v>56</v>
      </c>
      <c r="M744" s="31">
        <v>159</v>
      </c>
      <c r="N744" s="31">
        <v>2023</v>
      </c>
      <c r="O744" s="31">
        <v>76</v>
      </c>
      <c r="P744" s="31"/>
      <c r="Q744" s="31"/>
      <c r="R744" s="33" t="s">
        <v>3079</v>
      </c>
      <c r="S744" s="34" t="str">
        <f>HYPERLINK("http://www.cnpol.ru/covers/20761.jpg","фото на сайте")</f>
        <v>фото на сайте</v>
      </c>
    </row>
    <row r="745" spans="1:19" ht="50.1" customHeight="1">
      <c r="A745" s="31"/>
      <c r="B745" s="32" t="s">
        <v>3080</v>
      </c>
      <c r="C745" s="31" t="s">
        <v>546</v>
      </c>
      <c r="D745" s="31" t="s">
        <v>2638</v>
      </c>
      <c r="E745" s="31" t="s">
        <v>3081</v>
      </c>
      <c r="F745" s="31">
        <v>386</v>
      </c>
      <c r="G745" s="31">
        <v>93</v>
      </c>
      <c r="H745" s="31">
        <v>10</v>
      </c>
      <c r="I745" s="31">
        <v>30</v>
      </c>
      <c r="J745" s="31" t="s">
        <v>3082</v>
      </c>
      <c r="K745" s="31" t="s">
        <v>123</v>
      </c>
      <c r="L745" s="31" t="s">
        <v>56</v>
      </c>
      <c r="M745" s="31">
        <v>159</v>
      </c>
      <c r="N745" s="31">
        <v>2021</v>
      </c>
      <c r="O745" s="31">
        <v>76</v>
      </c>
      <c r="P745" s="31"/>
      <c r="Q745" s="31"/>
      <c r="R745" s="33"/>
      <c r="S745" s="34" t="str">
        <f>HYPERLINK("http://www.cnpol.ru/covers/19882.jpg","фото на сайте")</f>
        <v>фото на сайте</v>
      </c>
    </row>
    <row r="746" spans="1:19" ht="50.1" customHeight="1">
      <c r="A746" s="31"/>
      <c r="B746" s="32" t="s">
        <v>3083</v>
      </c>
      <c r="C746" s="31" t="s">
        <v>546</v>
      </c>
      <c r="D746" s="31" t="s">
        <v>1292</v>
      </c>
      <c r="E746" s="31" t="s">
        <v>3084</v>
      </c>
      <c r="F746" s="31">
        <v>136</v>
      </c>
      <c r="G746" s="31">
        <v>93</v>
      </c>
      <c r="H746" s="31">
        <v>10</v>
      </c>
      <c r="I746" s="31">
        <v>30</v>
      </c>
      <c r="J746" s="31" t="s">
        <v>3085</v>
      </c>
      <c r="K746" s="31" t="s">
        <v>123</v>
      </c>
      <c r="L746" s="31" t="s">
        <v>56</v>
      </c>
      <c r="M746" s="31">
        <v>158</v>
      </c>
      <c r="N746" s="31">
        <v>2015</v>
      </c>
      <c r="O746" s="31">
        <v>76</v>
      </c>
      <c r="P746" s="31"/>
      <c r="Q746" s="31"/>
      <c r="R746" s="33"/>
      <c r="S746" s="34" t="str">
        <f>HYPERLINK("http://www.cnpol.ru/covers/16227.jpg","фото на сайте")</f>
        <v>фото на сайте</v>
      </c>
    </row>
    <row r="747" spans="1:19" ht="50.1" customHeight="1">
      <c r="A747" s="31"/>
      <c r="B747" s="32" t="s">
        <v>3086</v>
      </c>
      <c r="C747" s="31" t="s">
        <v>390</v>
      </c>
      <c r="D747" s="31" t="s">
        <v>3087</v>
      </c>
      <c r="E747" s="31" t="s">
        <v>3088</v>
      </c>
      <c r="F747" s="31">
        <v>942</v>
      </c>
      <c r="G747" s="31">
        <v>86</v>
      </c>
      <c r="H747" s="31">
        <v>10</v>
      </c>
      <c r="I747" s="31">
        <v>30</v>
      </c>
      <c r="J747" s="31" t="s">
        <v>3089</v>
      </c>
      <c r="K747" s="31" t="s">
        <v>123</v>
      </c>
      <c r="L747" s="31" t="s">
        <v>56</v>
      </c>
      <c r="M747" s="31">
        <v>160</v>
      </c>
      <c r="N747" s="31">
        <v>2019</v>
      </c>
      <c r="O747" s="31">
        <v>76</v>
      </c>
      <c r="P747" s="31"/>
      <c r="Q747" s="31"/>
      <c r="R747" s="33"/>
      <c r="S747" s="34" t="str">
        <f>HYPERLINK("http://www.cnpol.ru/covers/18954.jpg","фото на сайте")</f>
        <v>фото на сайте</v>
      </c>
    </row>
    <row r="748" spans="1:19" ht="50.1" customHeight="1">
      <c r="A748" s="31"/>
      <c r="B748" s="32" t="s">
        <v>3090</v>
      </c>
      <c r="C748" s="31" t="s">
        <v>520</v>
      </c>
      <c r="D748" s="31" t="s">
        <v>3091</v>
      </c>
      <c r="E748" s="31" t="s">
        <v>3092</v>
      </c>
      <c r="F748" s="31">
        <v>23</v>
      </c>
      <c r="G748" s="31">
        <v>117</v>
      </c>
      <c r="H748" s="31">
        <v>10</v>
      </c>
      <c r="I748" s="31">
        <v>30</v>
      </c>
      <c r="J748" s="31" t="s">
        <v>3093</v>
      </c>
      <c r="K748" s="31" t="s">
        <v>123</v>
      </c>
      <c r="L748" s="31" t="s">
        <v>56</v>
      </c>
      <c r="M748" s="31">
        <v>192</v>
      </c>
      <c r="N748" s="31">
        <v>2016</v>
      </c>
      <c r="O748" s="31">
        <v>90</v>
      </c>
      <c r="P748" s="31"/>
      <c r="Q748" s="31"/>
      <c r="R748" s="33"/>
      <c r="S748" s="34" t="str">
        <f>HYPERLINK("http://www.cnpol.ru/covers/16647.jpg","фото на сайте")</f>
        <v>фото на сайте</v>
      </c>
    </row>
    <row r="749" spans="1:19" ht="50.1" customHeight="1">
      <c r="A749" s="31"/>
      <c r="B749" s="32" t="s">
        <v>3094</v>
      </c>
      <c r="C749" s="31" t="s">
        <v>390</v>
      </c>
      <c r="D749" s="31" t="s">
        <v>3095</v>
      </c>
      <c r="E749" s="31" t="s">
        <v>3096</v>
      </c>
      <c r="F749" s="31">
        <v>882</v>
      </c>
      <c r="G749" s="31">
        <v>86</v>
      </c>
      <c r="H749" s="31">
        <v>10</v>
      </c>
      <c r="I749" s="31">
        <v>30</v>
      </c>
      <c r="J749" s="31" t="s">
        <v>3097</v>
      </c>
      <c r="K749" s="31" t="s">
        <v>123</v>
      </c>
      <c r="L749" s="31" t="s">
        <v>56</v>
      </c>
      <c r="M749" s="31">
        <v>160</v>
      </c>
      <c r="N749" s="31">
        <v>2019</v>
      </c>
      <c r="O749" s="31">
        <v>76</v>
      </c>
      <c r="P749" s="31"/>
      <c r="Q749" s="31"/>
      <c r="R749" s="33"/>
      <c r="S749" s="34" t="str">
        <f>HYPERLINK("http://www.cnpol.ru/covers/18583.jpg","фото на сайте")</f>
        <v>фото на сайте</v>
      </c>
    </row>
    <row r="750" spans="1:19" ht="50.1" customHeight="1">
      <c r="A750" s="31"/>
      <c r="B750" s="32" t="s">
        <v>3098</v>
      </c>
      <c r="C750" s="31" t="s">
        <v>390</v>
      </c>
      <c r="D750" s="31" t="s">
        <v>3099</v>
      </c>
      <c r="E750" s="31" t="s">
        <v>3100</v>
      </c>
      <c r="F750" s="31">
        <v>357</v>
      </c>
      <c r="G750" s="31">
        <v>86</v>
      </c>
      <c r="H750" s="31">
        <v>10</v>
      </c>
      <c r="I750" s="31">
        <v>40</v>
      </c>
      <c r="J750" s="31" t="s">
        <v>3101</v>
      </c>
      <c r="K750" s="31" t="s">
        <v>123</v>
      </c>
      <c r="L750" s="31" t="s">
        <v>56</v>
      </c>
      <c r="M750" s="31">
        <v>158</v>
      </c>
      <c r="N750" s="31">
        <v>2013</v>
      </c>
      <c r="O750" s="31">
        <v>76</v>
      </c>
      <c r="P750" s="31"/>
      <c r="Q750" s="31"/>
      <c r="R750" s="33"/>
      <c r="S750" s="34" t="str">
        <f>HYPERLINK("http://www.cnpol.ru/covers/14618.jpg","фото на сайте")</f>
        <v>фото на сайте</v>
      </c>
    </row>
    <row r="751" spans="1:19" ht="50.1" customHeight="1">
      <c r="A751" s="31" t="s">
        <v>35</v>
      </c>
      <c r="B751" s="32" t="s">
        <v>3102</v>
      </c>
      <c r="C751" s="31" t="s">
        <v>380</v>
      </c>
      <c r="D751" s="31" t="s">
        <v>3103</v>
      </c>
      <c r="E751" s="31" t="s">
        <v>3104</v>
      </c>
      <c r="F751" s="31" t="s">
        <v>31</v>
      </c>
      <c r="G751" s="35">
        <v>1610</v>
      </c>
      <c r="H751" s="31">
        <v>10</v>
      </c>
      <c r="I751" s="31">
        <v>8</v>
      </c>
      <c r="J751" s="31" t="s">
        <v>3105</v>
      </c>
      <c r="K751" s="31" t="s">
        <v>41</v>
      </c>
      <c r="L751" s="31" t="s">
        <v>304</v>
      </c>
      <c r="M751" s="31">
        <v>607</v>
      </c>
      <c r="N751" s="31">
        <v>2025</v>
      </c>
      <c r="O751" s="31">
        <v>692</v>
      </c>
      <c r="P751" s="31"/>
      <c r="Q751" s="31"/>
      <c r="R751" s="33" t="s">
        <v>3106</v>
      </c>
      <c r="S751" s="34" t="str">
        <f>HYPERLINK("http://www.cnpol.ru/covers/21713.jpg","фото на сайте")</f>
        <v>фото на сайте</v>
      </c>
    </row>
    <row r="752" spans="1:19" ht="50.1" customHeight="1">
      <c r="A752" s="31"/>
      <c r="B752" s="32" t="s">
        <v>3107</v>
      </c>
      <c r="C752" s="31" t="s">
        <v>3108</v>
      </c>
      <c r="D752" s="31" t="s">
        <v>1364</v>
      </c>
      <c r="E752" s="31" t="s">
        <v>3109</v>
      </c>
      <c r="F752" s="31">
        <v>7</v>
      </c>
      <c r="G752" s="31">
        <v>855</v>
      </c>
      <c r="H752" s="31">
        <v>10</v>
      </c>
      <c r="I752" s="31">
        <v>10</v>
      </c>
      <c r="J752" s="31" t="s">
        <v>3110</v>
      </c>
      <c r="K752" s="31" t="s">
        <v>33</v>
      </c>
      <c r="L752" s="31" t="s">
        <v>34</v>
      </c>
      <c r="M752" s="31">
        <v>479</v>
      </c>
      <c r="N752" s="31">
        <v>2023</v>
      </c>
      <c r="O752" s="31">
        <v>516</v>
      </c>
      <c r="P752" s="31"/>
      <c r="Q752" s="31"/>
      <c r="R752" s="33" t="s">
        <v>3111</v>
      </c>
      <c r="S752" s="34" t="str">
        <f>HYPERLINK("http://www.cnpol.ru/covers/20789.jpg","фото на сайте")</f>
        <v>фото на сайте</v>
      </c>
    </row>
    <row r="753" spans="1:19" ht="50.1" customHeight="1">
      <c r="A753" s="31"/>
      <c r="B753" s="32" t="s">
        <v>3112</v>
      </c>
      <c r="C753" s="31" t="s">
        <v>390</v>
      </c>
      <c r="D753" s="31" t="s">
        <v>2177</v>
      </c>
      <c r="E753" s="31" t="s">
        <v>3113</v>
      </c>
      <c r="F753" s="31">
        <v>507</v>
      </c>
      <c r="G753" s="31">
        <v>86</v>
      </c>
      <c r="H753" s="31">
        <v>10</v>
      </c>
      <c r="I753" s="31">
        <v>30</v>
      </c>
      <c r="J753" s="31" t="s">
        <v>3114</v>
      </c>
      <c r="K753" s="31" t="s">
        <v>123</v>
      </c>
      <c r="L753" s="31" t="s">
        <v>56</v>
      </c>
      <c r="M753" s="31">
        <v>158</v>
      </c>
      <c r="N753" s="31">
        <v>2015</v>
      </c>
      <c r="O753" s="31">
        <v>78</v>
      </c>
      <c r="P753" s="31"/>
      <c r="Q753" s="31"/>
      <c r="R753" s="33"/>
      <c r="S753" s="34" t="str">
        <f>HYPERLINK("http://www.cnpol.ru/covers/15936.jpg","фото на сайте")</f>
        <v>фото на сайте</v>
      </c>
    </row>
    <row r="754" spans="1:19" ht="50.1" customHeight="1">
      <c r="A754" s="31"/>
      <c r="B754" s="32" t="s">
        <v>3115</v>
      </c>
      <c r="C754" s="31" t="s">
        <v>390</v>
      </c>
      <c r="D754" s="31" t="s">
        <v>3116</v>
      </c>
      <c r="E754" s="31" t="s">
        <v>3117</v>
      </c>
      <c r="F754" s="31">
        <v>803</v>
      </c>
      <c r="G754" s="31">
        <v>86</v>
      </c>
      <c r="H754" s="31">
        <v>10</v>
      </c>
      <c r="I754" s="31">
        <v>30</v>
      </c>
      <c r="J754" s="31" t="s">
        <v>3118</v>
      </c>
      <c r="K754" s="31" t="s">
        <v>123</v>
      </c>
      <c r="L754" s="31" t="s">
        <v>56</v>
      </c>
      <c r="M754" s="31">
        <v>160</v>
      </c>
      <c r="N754" s="31">
        <v>2018</v>
      </c>
      <c r="O754" s="31">
        <v>76</v>
      </c>
      <c r="P754" s="31"/>
      <c r="Q754" s="31"/>
      <c r="R754" s="33"/>
      <c r="S754" s="34" t="str">
        <f>HYPERLINK("http://www.cnpol.ru/covers/18063.jpg","фото на сайте")</f>
        <v>фото на сайте</v>
      </c>
    </row>
    <row r="755" spans="1:19" ht="50.1" customHeight="1">
      <c r="A755" s="31"/>
      <c r="B755" s="32" t="s">
        <v>3119</v>
      </c>
      <c r="C755" s="31" t="s">
        <v>390</v>
      </c>
      <c r="D755" s="31" t="s">
        <v>1599</v>
      </c>
      <c r="E755" s="31" t="s">
        <v>3120</v>
      </c>
      <c r="F755" s="31">
        <v>743</v>
      </c>
      <c r="G755" s="31">
        <v>86</v>
      </c>
      <c r="H755" s="31">
        <v>10</v>
      </c>
      <c r="I755" s="31">
        <v>30</v>
      </c>
      <c r="J755" s="31" t="s">
        <v>3121</v>
      </c>
      <c r="K755" s="31" t="s">
        <v>123</v>
      </c>
      <c r="L755" s="31" t="s">
        <v>56</v>
      </c>
      <c r="M755" s="31">
        <v>160</v>
      </c>
      <c r="N755" s="31">
        <v>2017</v>
      </c>
      <c r="O755" s="31">
        <v>76</v>
      </c>
      <c r="P755" s="31"/>
      <c r="Q755" s="31"/>
      <c r="R755" s="33"/>
      <c r="S755" s="34" t="str">
        <f>HYPERLINK("http://www.cnpol.ru/covers/17641.jpg","фото на сайте")</f>
        <v>фото на сайте</v>
      </c>
    </row>
    <row r="756" spans="1:19" ht="50.1" customHeight="1">
      <c r="A756" s="31"/>
      <c r="B756" s="32" t="s">
        <v>3122</v>
      </c>
      <c r="C756" s="31" t="s">
        <v>37</v>
      </c>
      <c r="D756" s="31" t="s">
        <v>3123</v>
      </c>
      <c r="E756" s="31" t="s">
        <v>3124</v>
      </c>
      <c r="F756" s="31" t="s">
        <v>31</v>
      </c>
      <c r="G756" s="31">
        <v>466</v>
      </c>
      <c r="H756" s="31">
        <v>10</v>
      </c>
      <c r="I756" s="31">
        <v>14</v>
      </c>
      <c r="J756" s="31" t="s">
        <v>3125</v>
      </c>
      <c r="K756" s="31" t="s">
        <v>33</v>
      </c>
      <c r="L756" s="31" t="s">
        <v>34</v>
      </c>
      <c r="M756" s="31">
        <v>287</v>
      </c>
      <c r="N756" s="31">
        <v>2023</v>
      </c>
      <c r="O756" s="31">
        <v>250</v>
      </c>
      <c r="P756" s="31"/>
      <c r="Q756" s="31"/>
      <c r="R756" s="33" t="s">
        <v>3126</v>
      </c>
      <c r="S756" s="34" t="str">
        <f>HYPERLINK("http://www.cnpol.ru/covers/20518.jpg","фото на сайте")</f>
        <v>фото на сайте</v>
      </c>
    </row>
    <row r="757" spans="1:19" ht="50.1" customHeight="1">
      <c r="A757" s="31"/>
      <c r="B757" s="32" t="s">
        <v>3127</v>
      </c>
      <c r="C757" s="31" t="s">
        <v>143</v>
      </c>
      <c r="D757" s="31" t="s">
        <v>2771</v>
      </c>
      <c r="E757" s="31" t="s">
        <v>3128</v>
      </c>
      <c r="F757" s="31" t="s">
        <v>31</v>
      </c>
      <c r="G757" s="31">
        <v>936</v>
      </c>
      <c r="H757" s="31">
        <v>10</v>
      </c>
      <c r="I757" s="31">
        <v>12</v>
      </c>
      <c r="J757" s="31" t="s">
        <v>3129</v>
      </c>
      <c r="K757" s="31" t="s">
        <v>33</v>
      </c>
      <c r="L757" s="31" t="s">
        <v>34</v>
      </c>
      <c r="M757" s="31">
        <v>335</v>
      </c>
      <c r="N757" s="31">
        <v>2022</v>
      </c>
      <c r="O757" s="31">
        <v>250</v>
      </c>
      <c r="P757" s="31"/>
      <c r="Q757" s="31"/>
      <c r="R757" s="33"/>
      <c r="S757" s="34" t="str">
        <f>HYPERLINK("http://www.cnpol.ru/covers/20025.jpg","фото на сайте")</f>
        <v>фото на сайте</v>
      </c>
    </row>
    <row r="758" spans="1:19" ht="50.1" customHeight="1">
      <c r="A758" s="31"/>
      <c r="B758" s="32" t="s">
        <v>3130</v>
      </c>
      <c r="C758" s="31" t="s">
        <v>400</v>
      </c>
      <c r="D758" s="31" t="s">
        <v>3131</v>
      </c>
      <c r="E758" s="31" t="s">
        <v>3132</v>
      </c>
      <c r="F758" s="31" t="s">
        <v>31</v>
      </c>
      <c r="G758" s="31">
        <v>503</v>
      </c>
      <c r="H758" s="31">
        <v>10</v>
      </c>
      <c r="I758" s="31">
        <v>14</v>
      </c>
      <c r="J758" s="31" t="s">
        <v>3133</v>
      </c>
      <c r="K758" s="31" t="s">
        <v>33</v>
      </c>
      <c r="L758" s="31" t="s">
        <v>34</v>
      </c>
      <c r="M758" s="31">
        <v>286</v>
      </c>
      <c r="N758" s="31">
        <v>2015</v>
      </c>
      <c r="O758" s="31">
        <v>256</v>
      </c>
      <c r="P758" s="31"/>
      <c r="Q758" s="31"/>
      <c r="R758" s="33"/>
      <c r="S758" s="34" t="str">
        <f>HYPERLINK("http://www.cnpol.ru/covers/16023.jpg","фото на сайте")</f>
        <v>фото на сайте</v>
      </c>
    </row>
    <row r="759" spans="1:19" ht="50.1" customHeight="1">
      <c r="A759" s="31"/>
      <c r="B759" s="32" t="s">
        <v>3134</v>
      </c>
      <c r="C759" s="31" t="s">
        <v>3135</v>
      </c>
      <c r="D759" s="31" t="s">
        <v>3136</v>
      </c>
      <c r="E759" s="31" t="s">
        <v>3137</v>
      </c>
      <c r="F759" s="31" t="s">
        <v>31</v>
      </c>
      <c r="G759" s="31">
        <v>658</v>
      </c>
      <c r="H759" s="31">
        <v>10</v>
      </c>
      <c r="I759" s="31">
        <v>12</v>
      </c>
      <c r="J759" s="31" t="s">
        <v>3138</v>
      </c>
      <c r="K759" s="31" t="s">
        <v>33</v>
      </c>
      <c r="L759" s="31" t="s">
        <v>34</v>
      </c>
      <c r="M759" s="31">
        <v>384</v>
      </c>
      <c r="N759" s="31">
        <v>2011</v>
      </c>
      <c r="O759" s="31">
        <v>422</v>
      </c>
      <c r="P759" s="31"/>
      <c r="Q759" s="31"/>
      <c r="R759" s="33"/>
      <c r="S759" s="34" t="str">
        <f>HYPERLINK("http://www.cnpol.ru/covers/12656.jpg","фото на сайте")</f>
        <v>фото на сайте</v>
      </c>
    </row>
    <row r="760" spans="1:19" ht="50.1" customHeight="1">
      <c r="A760" s="31"/>
      <c r="B760" s="32" t="s">
        <v>3139</v>
      </c>
      <c r="C760" s="31" t="s">
        <v>3135</v>
      </c>
      <c r="D760" s="31" t="s">
        <v>3140</v>
      </c>
      <c r="E760" s="31" t="s">
        <v>3141</v>
      </c>
      <c r="F760" s="31" t="s">
        <v>31</v>
      </c>
      <c r="G760" s="31">
        <v>710</v>
      </c>
      <c r="H760" s="31">
        <v>10</v>
      </c>
      <c r="I760" s="31">
        <v>12</v>
      </c>
      <c r="J760" s="31" t="s">
        <v>3142</v>
      </c>
      <c r="K760" s="31" t="s">
        <v>33</v>
      </c>
      <c r="L760" s="31" t="s">
        <v>34</v>
      </c>
      <c r="M760" s="31">
        <v>444</v>
      </c>
      <c r="N760" s="31">
        <v>2011</v>
      </c>
      <c r="O760" s="31">
        <v>490</v>
      </c>
      <c r="P760" s="31"/>
      <c r="Q760" s="31"/>
      <c r="R760" s="33"/>
      <c r="S760" s="34" t="str">
        <f>HYPERLINK("http://www.cnpol.ru/covers/12690.jpg","фото на сайте")</f>
        <v>фото на сайте</v>
      </c>
    </row>
    <row r="761" spans="1:19" ht="50.1" customHeight="1">
      <c r="A761" s="31"/>
      <c r="B761" s="32" t="s">
        <v>3143</v>
      </c>
      <c r="C761" s="31" t="s">
        <v>3144</v>
      </c>
      <c r="D761" s="31" t="s">
        <v>2408</v>
      </c>
      <c r="E761" s="31" t="s">
        <v>3145</v>
      </c>
      <c r="F761" s="31" t="s">
        <v>31</v>
      </c>
      <c r="G761" s="31">
        <v>461</v>
      </c>
      <c r="H761" s="31">
        <v>10</v>
      </c>
      <c r="I761" s="31">
        <v>12</v>
      </c>
      <c r="J761" s="31" t="s">
        <v>3146</v>
      </c>
      <c r="K761" s="31" t="s">
        <v>33</v>
      </c>
      <c r="L761" s="31" t="s">
        <v>34</v>
      </c>
      <c r="M761" s="31">
        <v>382</v>
      </c>
      <c r="N761" s="31">
        <v>2009</v>
      </c>
      <c r="O761" s="31">
        <v>330</v>
      </c>
      <c r="P761" s="31"/>
      <c r="Q761" s="31"/>
      <c r="R761" s="33"/>
      <c r="S761" s="34" t="str">
        <f>HYPERLINK("http://www.cnpol.ru/covers/11347.jpg","фото на сайте")</f>
        <v>фото на сайте</v>
      </c>
    </row>
    <row r="762" spans="1:19" ht="50.1" customHeight="1">
      <c r="A762" s="31"/>
      <c r="B762" s="32" t="s">
        <v>3147</v>
      </c>
      <c r="C762" s="31" t="s">
        <v>413</v>
      </c>
      <c r="D762" s="31" t="s">
        <v>1435</v>
      </c>
      <c r="E762" s="31" t="s">
        <v>3148</v>
      </c>
      <c r="F762" s="31">
        <v>187</v>
      </c>
      <c r="G762" s="31">
        <v>117</v>
      </c>
      <c r="H762" s="31">
        <v>10</v>
      </c>
      <c r="I762" s="31">
        <v>20</v>
      </c>
      <c r="J762" s="31" t="s">
        <v>3149</v>
      </c>
      <c r="K762" s="31" t="s">
        <v>123</v>
      </c>
      <c r="L762" s="31" t="s">
        <v>56</v>
      </c>
      <c r="M762" s="31">
        <v>191</v>
      </c>
      <c r="N762" s="31">
        <v>2022</v>
      </c>
      <c r="O762" s="31">
        <v>90</v>
      </c>
      <c r="P762" s="31"/>
      <c r="Q762" s="31"/>
      <c r="R762" s="33"/>
      <c r="S762" s="34" t="str">
        <f>HYPERLINK("http://www.cnpol.ru/covers/20337.jpg","фото на сайте")</f>
        <v>фото на сайте</v>
      </c>
    </row>
    <row r="763" spans="1:19" ht="50.1" customHeight="1">
      <c r="A763" s="31"/>
      <c r="B763" s="32" t="s">
        <v>3150</v>
      </c>
      <c r="C763" s="31" t="s">
        <v>390</v>
      </c>
      <c r="D763" s="31" t="s">
        <v>2294</v>
      </c>
      <c r="E763" s="31" t="s">
        <v>3151</v>
      </c>
      <c r="F763" s="31">
        <v>835</v>
      </c>
      <c r="G763" s="31">
        <v>86</v>
      </c>
      <c r="H763" s="31">
        <v>10</v>
      </c>
      <c r="I763" s="31">
        <v>30</v>
      </c>
      <c r="J763" s="31" t="s">
        <v>3152</v>
      </c>
      <c r="K763" s="31" t="s">
        <v>123</v>
      </c>
      <c r="L763" s="31" t="s">
        <v>56</v>
      </c>
      <c r="M763" s="31">
        <v>160</v>
      </c>
      <c r="N763" s="31">
        <v>2018</v>
      </c>
      <c r="O763" s="31">
        <v>76</v>
      </c>
      <c r="P763" s="31"/>
      <c r="Q763" s="31"/>
      <c r="R763" s="33"/>
      <c r="S763" s="34" t="str">
        <f>HYPERLINK("http://www.cnpol.ru/covers/18298.jpg","фото на сайте")</f>
        <v>фото на сайте</v>
      </c>
    </row>
    <row r="764" spans="1:19" ht="50.1" customHeight="1">
      <c r="A764" s="31"/>
      <c r="B764" s="32" t="s">
        <v>3153</v>
      </c>
      <c r="C764" s="31" t="s">
        <v>546</v>
      </c>
      <c r="D764" s="31" t="s">
        <v>2638</v>
      </c>
      <c r="E764" s="31" t="s">
        <v>3154</v>
      </c>
      <c r="F764" s="31">
        <v>401</v>
      </c>
      <c r="G764" s="31">
        <v>93</v>
      </c>
      <c r="H764" s="31">
        <v>10</v>
      </c>
      <c r="I764" s="31">
        <v>30</v>
      </c>
      <c r="J764" s="31" t="s">
        <v>3155</v>
      </c>
      <c r="K764" s="31" t="s">
        <v>123</v>
      </c>
      <c r="L764" s="31" t="s">
        <v>56</v>
      </c>
      <c r="M764" s="31">
        <v>159</v>
      </c>
      <c r="N764" s="31">
        <v>2022</v>
      </c>
      <c r="O764" s="31">
        <v>76</v>
      </c>
      <c r="P764" s="31"/>
      <c r="Q764" s="31"/>
      <c r="R764" s="33"/>
      <c r="S764" s="34" t="str">
        <f>HYPERLINK("http://www.cnpol.ru/covers/20162.jpg","фото на сайте")</f>
        <v>фото на сайте</v>
      </c>
    </row>
    <row r="765" spans="1:19" ht="50.1" customHeight="1">
      <c r="A765" s="31"/>
      <c r="B765" s="32" t="s">
        <v>3156</v>
      </c>
      <c r="C765" s="31" t="s">
        <v>171</v>
      </c>
      <c r="D765" s="31" t="s">
        <v>172</v>
      </c>
      <c r="E765" s="31" t="s">
        <v>3157</v>
      </c>
      <c r="F765" s="31" t="s">
        <v>31</v>
      </c>
      <c r="G765" s="35">
        <v>1723</v>
      </c>
      <c r="H765" s="31">
        <v>10</v>
      </c>
      <c r="I765" s="31">
        <v>5</v>
      </c>
      <c r="J765" s="31" t="s">
        <v>3158</v>
      </c>
      <c r="K765" s="31" t="s">
        <v>41</v>
      </c>
      <c r="L765" s="31" t="s">
        <v>34</v>
      </c>
      <c r="M765" s="31">
        <v>639</v>
      </c>
      <c r="N765" s="31">
        <v>2023</v>
      </c>
      <c r="O765" s="31">
        <v>751</v>
      </c>
      <c r="P765" s="31"/>
      <c r="Q765" s="31"/>
      <c r="R765" s="33" t="s">
        <v>3159</v>
      </c>
      <c r="S765" s="34" t="str">
        <f>HYPERLINK("http://www.cnpol.ru/covers/20733.jpg","фото на сайте")</f>
        <v>фото на сайте</v>
      </c>
    </row>
    <row r="766" spans="1:19" ht="50.1" customHeight="1">
      <c r="A766" s="31"/>
      <c r="B766" s="32" t="s">
        <v>3160</v>
      </c>
      <c r="C766" s="31" t="s">
        <v>349</v>
      </c>
      <c r="D766" s="31" t="s">
        <v>3161</v>
      </c>
      <c r="E766" s="31" t="s">
        <v>3162</v>
      </c>
      <c r="F766" s="31" t="s">
        <v>31</v>
      </c>
      <c r="G766" s="31">
        <v>407</v>
      </c>
      <c r="H766" s="31">
        <v>10</v>
      </c>
      <c r="I766" s="31">
        <v>8</v>
      </c>
      <c r="J766" s="31" t="s">
        <v>3163</v>
      </c>
      <c r="K766" s="31" t="s">
        <v>33</v>
      </c>
      <c r="L766" s="31" t="s">
        <v>34</v>
      </c>
      <c r="M766" s="31">
        <v>638</v>
      </c>
      <c r="N766" s="31">
        <v>2011</v>
      </c>
      <c r="O766" s="31">
        <v>470</v>
      </c>
      <c r="P766" s="31"/>
      <c r="Q766" s="31"/>
      <c r="R766" s="33" t="s">
        <v>3164</v>
      </c>
      <c r="S766" s="34" t="str">
        <f>HYPERLINK("http://www.cnpol.ru/covers/12796.jpg","фото на сайте")</f>
        <v>фото на сайте</v>
      </c>
    </row>
    <row r="767" spans="1:19" ht="50.1" customHeight="1">
      <c r="A767" s="31" t="s">
        <v>43</v>
      </c>
      <c r="B767" s="32" t="s">
        <v>3165</v>
      </c>
      <c r="C767" s="31" t="s">
        <v>37</v>
      </c>
      <c r="D767" s="31" t="s">
        <v>980</v>
      </c>
      <c r="E767" s="31" t="s">
        <v>3166</v>
      </c>
      <c r="F767" s="31" t="s">
        <v>31</v>
      </c>
      <c r="G767" s="35">
        <v>1327</v>
      </c>
      <c r="H767" s="31">
        <v>10</v>
      </c>
      <c r="I767" s="31">
        <v>8</v>
      </c>
      <c r="J767" s="31" t="s">
        <v>3167</v>
      </c>
      <c r="K767" s="31" t="s">
        <v>33</v>
      </c>
      <c r="L767" s="31" t="s">
        <v>34</v>
      </c>
      <c r="M767" s="31">
        <v>576</v>
      </c>
      <c r="N767" s="31">
        <v>2025</v>
      </c>
      <c r="O767" s="31">
        <v>524</v>
      </c>
      <c r="P767" s="31"/>
      <c r="Q767" s="31"/>
      <c r="R767" s="33" t="s">
        <v>3168</v>
      </c>
      <c r="S767" s="34" t="str">
        <f>HYPERLINK("http://www.cnpol.ru/covers/21440.jpg","фото на сайте")</f>
        <v>фото на сайте</v>
      </c>
    </row>
    <row r="768" spans="1:19" ht="50.1" customHeight="1">
      <c r="A768" s="31"/>
      <c r="B768" s="32" t="s">
        <v>3169</v>
      </c>
      <c r="C768" s="31" t="s">
        <v>546</v>
      </c>
      <c r="D768" s="31" t="s">
        <v>3170</v>
      </c>
      <c r="E768" s="31" t="s">
        <v>3171</v>
      </c>
      <c r="F768" s="31">
        <v>406</v>
      </c>
      <c r="G768" s="31">
        <v>93</v>
      </c>
      <c r="H768" s="31">
        <v>10</v>
      </c>
      <c r="I768" s="31">
        <v>30</v>
      </c>
      <c r="J768" s="31" t="s">
        <v>3172</v>
      </c>
      <c r="K768" s="31" t="s">
        <v>123</v>
      </c>
      <c r="L768" s="31" t="s">
        <v>56</v>
      </c>
      <c r="M768" s="31">
        <v>159</v>
      </c>
      <c r="N768" s="31">
        <v>2022</v>
      </c>
      <c r="O768" s="31">
        <v>76</v>
      </c>
      <c r="P768" s="31"/>
      <c r="Q768" s="31"/>
      <c r="R768" s="33"/>
      <c r="S768" s="34" t="str">
        <f>HYPERLINK("http://www.cnpol.ru/covers/20297.jpg","фото на сайте")</f>
        <v>фото на сайте</v>
      </c>
    </row>
    <row r="769" spans="1:19" ht="50.1" customHeight="1">
      <c r="A769" s="31"/>
      <c r="B769" s="32" t="s">
        <v>3173</v>
      </c>
      <c r="C769" s="31" t="s">
        <v>520</v>
      </c>
      <c r="D769" s="31" t="s">
        <v>521</v>
      </c>
      <c r="E769" s="31" t="s">
        <v>3174</v>
      </c>
      <c r="F769" s="31">
        <v>60</v>
      </c>
      <c r="G769" s="31">
        <v>117</v>
      </c>
      <c r="H769" s="31">
        <v>10</v>
      </c>
      <c r="I769" s="31">
        <v>30</v>
      </c>
      <c r="J769" s="31" t="s">
        <v>3175</v>
      </c>
      <c r="K769" s="31" t="s">
        <v>123</v>
      </c>
      <c r="L769" s="31" t="s">
        <v>56</v>
      </c>
      <c r="M769" s="31">
        <v>192</v>
      </c>
      <c r="N769" s="31">
        <v>2018</v>
      </c>
      <c r="O769" s="31">
        <v>92</v>
      </c>
      <c r="P769" s="31"/>
      <c r="Q769" s="31"/>
      <c r="R769" s="33"/>
      <c r="S769" s="34" t="str">
        <f>HYPERLINK("http://www.cnpol.ru/covers/18344.jpg","фото на сайте")</f>
        <v>фото на сайте</v>
      </c>
    </row>
    <row r="770" spans="1:19" ht="50.1" customHeight="1">
      <c r="A770" s="31"/>
      <c r="B770" s="32" t="s">
        <v>3176</v>
      </c>
      <c r="C770" s="31" t="s">
        <v>390</v>
      </c>
      <c r="D770" s="31" t="s">
        <v>1801</v>
      </c>
      <c r="E770" s="31" t="s">
        <v>3177</v>
      </c>
      <c r="F770" s="31">
        <v>948</v>
      </c>
      <c r="G770" s="31">
        <v>86</v>
      </c>
      <c r="H770" s="31">
        <v>10</v>
      </c>
      <c r="I770" s="31">
        <v>30</v>
      </c>
      <c r="J770" s="31" t="s">
        <v>3178</v>
      </c>
      <c r="K770" s="31" t="s">
        <v>123</v>
      </c>
      <c r="L770" s="31" t="s">
        <v>56</v>
      </c>
      <c r="M770" s="31">
        <v>160</v>
      </c>
      <c r="N770" s="31">
        <v>2019</v>
      </c>
      <c r="O770" s="31">
        <v>76</v>
      </c>
      <c r="P770" s="31"/>
      <c r="Q770" s="31"/>
      <c r="R770" s="33"/>
      <c r="S770" s="34" t="str">
        <f>HYPERLINK("http://www.cnpol.ru/covers/18988.jpg","фото на сайте")</f>
        <v>фото на сайте</v>
      </c>
    </row>
    <row r="771" spans="1:19" ht="50.1" customHeight="1">
      <c r="A771" s="31"/>
      <c r="B771" s="32" t="s">
        <v>3179</v>
      </c>
      <c r="C771" s="31" t="s">
        <v>546</v>
      </c>
      <c r="D771" s="31" t="s">
        <v>3180</v>
      </c>
      <c r="E771" s="31" t="s">
        <v>3181</v>
      </c>
      <c r="F771" s="31">
        <v>238</v>
      </c>
      <c r="G771" s="31">
        <v>93</v>
      </c>
      <c r="H771" s="31">
        <v>10</v>
      </c>
      <c r="I771" s="31">
        <v>30</v>
      </c>
      <c r="J771" s="31" t="s">
        <v>3182</v>
      </c>
      <c r="K771" s="31" t="s">
        <v>123</v>
      </c>
      <c r="L771" s="31" t="s">
        <v>56</v>
      </c>
      <c r="M771" s="31">
        <v>160</v>
      </c>
      <c r="N771" s="31">
        <v>2017</v>
      </c>
      <c r="O771" s="31">
        <v>76</v>
      </c>
      <c r="P771" s="31"/>
      <c r="Q771" s="31"/>
      <c r="R771" s="33"/>
      <c r="S771" s="34" t="str">
        <f>HYPERLINK("http://www.cnpol.ru/covers/17712.jpg","фото на сайте")</f>
        <v>фото на сайте</v>
      </c>
    </row>
    <row r="772" spans="1:19" ht="50.1" customHeight="1">
      <c r="A772" s="31"/>
      <c r="B772" s="32" t="s">
        <v>3183</v>
      </c>
      <c r="C772" s="31" t="s">
        <v>464</v>
      </c>
      <c r="D772" s="31" t="s">
        <v>465</v>
      </c>
      <c r="E772" s="31" t="s">
        <v>3184</v>
      </c>
      <c r="F772" s="31" t="s">
        <v>31</v>
      </c>
      <c r="G772" s="31">
        <v>119</v>
      </c>
      <c r="H772" s="31">
        <v>10</v>
      </c>
      <c r="I772" s="31">
        <v>150</v>
      </c>
      <c r="J772" s="31" t="s">
        <v>3185</v>
      </c>
      <c r="K772" s="31" t="s">
        <v>3186</v>
      </c>
      <c r="L772" s="31" t="s">
        <v>1726</v>
      </c>
      <c r="M772" s="31">
        <v>10</v>
      </c>
      <c r="N772" s="31">
        <v>2005</v>
      </c>
      <c r="O772" s="31">
        <v>36</v>
      </c>
      <c r="P772" s="31"/>
      <c r="Q772" s="31"/>
      <c r="R772" s="33"/>
      <c r="S772" s="34" t="str">
        <f>HYPERLINK("http://www.cnpol.ru/covers/5833.jpg","фото на сайте")</f>
        <v>фото на сайте</v>
      </c>
    </row>
    <row r="773" spans="1:19" ht="50.1" customHeight="1">
      <c r="A773" s="31"/>
      <c r="B773" s="32" t="s">
        <v>3187</v>
      </c>
      <c r="C773" s="31" t="s">
        <v>413</v>
      </c>
      <c r="D773" s="31" t="s">
        <v>859</v>
      </c>
      <c r="E773" s="31" t="s">
        <v>3188</v>
      </c>
      <c r="F773" s="31">
        <v>84</v>
      </c>
      <c r="G773" s="31">
        <v>117</v>
      </c>
      <c r="H773" s="31">
        <v>10</v>
      </c>
      <c r="I773" s="31">
        <v>36</v>
      </c>
      <c r="J773" s="31" t="s">
        <v>3189</v>
      </c>
      <c r="K773" s="31" t="s">
        <v>123</v>
      </c>
      <c r="L773" s="31" t="s">
        <v>56</v>
      </c>
      <c r="M773" s="31">
        <v>189</v>
      </c>
      <c r="N773" s="31">
        <v>2016</v>
      </c>
      <c r="O773" s="31">
        <v>90</v>
      </c>
      <c r="P773" s="31"/>
      <c r="Q773" s="31"/>
      <c r="R773" s="33"/>
      <c r="S773" s="34" t="str">
        <f>HYPERLINK("http://www.cnpol.ru/covers/16402.jpg","фото на сайте")</f>
        <v>фото на сайте</v>
      </c>
    </row>
    <row r="774" spans="1:19" ht="50.1" customHeight="1">
      <c r="A774" s="31"/>
      <c r="B774" s="32" t="s">
        <v>3190</v>
      </c>
      <c r="C774" s="31" t="s">
        <v>297</v>
      </c>
      <c r="D774" s="31" t="s">
        <v>3191</v>
      </c>
      <c r="E774" s="31" t="s">
        <v>3192</v>
      </c>
      <c r="F774" s="31" t="s">
        <v>31</v>
      </c>
      <c r="G774" s="31">
        <v>300</v>
      </c>
      <c r="H774" s="31">
        <v>10</v>
      </c>
      <c r="I774" s="31">
        <v>10</v>
      </c>
      <c r="J774" s="31" t="s">
        <v>3193</v>
      </c>
      <c r="K774" s="31" t="s">
        <v>300</v>
      </c>
      <c r="L774" s="31" t="s">
        <v>56</v>
      </c>
      <c r="M774" s="31">
        <v>320</v>
      </c>
      <c r="N774" s="31">
        <v>2021</v>
      </c>
      <c r="O774" s="31">
        <v>162</v>
      </c>
      <c r="P774" s="31"/>
      <c r="Q774" s="31"/>
      <c r="R774" s="33"/>
      <c r="S774" s="34" t="str">
        <f>HYPERLINK("http://www.cnpol.ru/covers/19637.jpg","фото на сайте")</f>
        <v>фото на сайте</v>
      </c>
    </row>
    <row r="775" spans="1:19" ht="50.1" customHeight="1">
      <c r="A775" s="31"/>
      <c r="B775" s="32" t="s">
        <v>3194</v>
      </c>
      <c r="C775" s="31" t="s">
        <v>302</v>
      </c>
      <c r="D775" s="31" t="s">
        <v>3191</v>
      </c>
      <c r="E775" s="31" t="s">
        <v>3192</v>
      </c>
      <c r="F775" s="31" t="s">
        <v>31</v>
      </c>
      <c r="G775" s="31">
        <v>917</v>
      </c>
      <c r="H775" s="31">
        <v>10</v>
      </c>
      <c r="I775" s="31">
        <v>14</v>
      </c>
      <c r="J775" s="31" t="s">
        <v>3195</v>
      </c>
      <c r="K775" s="31" t="s">
        <v>41</v>
      </c>
      <c r="L775" s="31" t="s">
        <v>304</v>
      </c>
      <c r="M775" s="31">
        <v>320</v>
      </c>
      <c r="N775" s="31">
        <v>2019</v>
      </c>
      <c r="O775" s="31">
        <v>428</v>
      </c>
      <c r="P775" s="31"/>
      <c r="Q775" s="31"/>
      <c r="R775" s="33"/>
      <c r="S775" s="34" t="str">
        <f>HYPERLINK("http://www.cnpol.ru/covers/18952.jpg","фото на сайте")</f>
        <v>фото на сайте</v>
      </c>
    </row>
    <row r="776" spans="1:19" ht="50.1" customHeight="1">
      <c r="A776" s="31"/>
      <c r="B776" s="32" t="s">
        <v>3196</v>
      </c>
      <c r="C776" s="31" t="s">
        <v>385</v>
      </c>
      <c r="D776" s="31" t="s">
        <v>386</v>
      </c>
      <c r="E776" s="31" t="s">
        <v>3197</v>
      </c>
      <c r="F776" s="31" t="s">
        <v>31</v>
      </c>
      <c r="G776" s="31">
        <v>162</v>
      </c>
      <c r="H776" s="31">
        <v>10</v>
      </c>
      <c r="I776" s="31">
        <v>32</v>
      </c>
      <c r="J776" s="31" t="s">
        <v>3198</v>
      </c>
      <c r="K776" s="31" t="s">
        <v>55</v>
      </c>
      <c r="L776" s="31" t="s">
        <v>56</v>
      </c>
      <c r="M776" s="31">
        <v>256</v>
      </c>
      <c r="N776" s="31">
        <v>2016</v>
      </c>
      <c r="O776" s="31">
        <v>106</v>
      </c>
      <c r="P776" s="31"/>
      <c r="Q776" s="31"/>
      <c r="R776" s="33"/>
      <c r="S776" s="34" t="str">
        <f>HYPERLINK("http://www.cnpol.ru/covers/0115.jpg","фото на сайте")</f>
        <v>фото на сайте</v>
      </c>
    </row>
    <row r="777" spans="1:19" ht="50.1" customHeight="1">
      <c r="A777" s="31"/>
      <c r="B777" s="32" t="s">
        <v>3199</v>
      </c>
      <c r="C777" s="31" t="s">
        <v>400</v>
      </c>
      <c r="D777" s="31" t="s">
        <v>3200</v>
      </c>
      <c r="E777" s="31" t="s">
        <v>3201</v>
      </c>
      <c r="F777" s="31" t="s">
        <v>31</v>
      </c>
      <c r="G777" s="31">
        <v>503</v>
      </c>
      <c r="H777" s="31">
        <v>10</v>
      </c>
      <c r="I777" s="31">
        <v>14</v>
      </c>
      <c r="J777" s="31" t="s">
        <v>3202</v>
      </c>
      <c r="K777" s="31" t="s">
        <v>33</v>
      </c>
      <c r="L777" s="31" t="s">
        <v>34</v>
      </c>
      <c r="M777" s="31">
        <v>288</v>
      </c>
      <c r="N777" s="31">
        <v>2020</v>
      </c>
      <c r="O777" s="31">
        <v>258</v>
      </c>
      <c r="P777" s="31"/>
      <c r="Q777" s="31"/>
      <c r="R777" s="33"/>
      <c r="S777" s="34" t="str">
        <f>HYPERLINK("http://www.cnpol.ru/covers/19112.jpg","фото на сайте")</f>
        <v>фото на сайте</v>
      </c>
    </row>
    <row r="778" spans="1:19" ht="50.1" customHeight="1">
      <c r="A778" s="31"/>
      <c r="B778" s="32" t="s">
        <v>3203</v>
      </c>
      <c r="C778" s="31" t="s">
        <v>1781</v>
      </c>
      <c r="D778" s="31" t="s">
        <v>3204</v>
      </c>
      <c r="E778" s="31" t="s">
        <v>3205</v>
      </c>
      <c r="F778" s="31" t="s">
        <v>31</v>
      </c>
      <c r="G778" s="31">
        <v>461</v>
      </c>
      <c r="H778" s="31">
        <v>10</v>
      </c>
      <c r="I778" s="31">
        <v>20</v>
      </c>
      <c r="J778" s="31" t="s">
        <v>3206</v>
      </c>
      <c r="K778" s="31" t="s">
        <v>33</v>
      </c>
      <c r="L778" s="31" t="s">
        <v>34</v>
      </c>
      <c r="M778" s="31">
        <v>189</v>
      </c>
      <c r="N778" s="31">
        <v>2023</v>
      </c>
      <c r="O778" s="31">
        <v>207</v>
      </c>
      <c r="P778" s="31"/>
      <c r="Q778" s="31"/>
      <c r="R778" s="33" t="s">
        <v>3207</v>
      </c>
      <c r="S778" s="34" t="str">
        <f>HYPERLINK("http://www.cnpol.ru/covers/20836.jpg","фото на сайте")</f>
        <v>фото на сайте</v>
      </c>
    </row>
    <row r="779" spans="1:19" ht="50.1" customHeight="1">
      <c r="A779" s="31"/>
      <c r="B779" s="32" t="s">
        <v>3208</v>
      </c>
      <c r="C779" s="31" t="s">
        <v>3209</v>
      </c>
      <c r="D779" s="31" t="s">
        <v>3210</v>
      </c>
      <c r="E779" s="31" t="s">
        <v>3211</v>
      </c>
      <c r="F779" s="31" t="s">
        <v>31</v>
      </c>
      <c r="G779" s="31">
        <v>112</v>
      </c>
      <c r="H779" s="31">
        <v>10</v>
      </c>
      <c r="I779" s="31">
        <v>20</v>
      </c>
      <c r="J779" s="31" t="s">
        <v>3212</v>
      </c>
      <c r="K779" s="31" t="s">
        <v>55</v>
      </c>
      <c r="L779" s="31" t="s">
        <v>56</v>
      </c>
      <c r="M779" s="31">
        <v>427</v>
      </c>
      <c r="N779" s="31">
        <v>2008</v>
      </c>
      <c r="O779" s="31">
        <v>180</v>
      </c>
      <c r="P779" s="31"/>
      <c r="Q779" s="31"/>
      <c r="R779" s="33"/>
      <c r="S779" s="34" t="str">
        <f>HYPERLINK("http://www.cnpol.ru/covers/7619.jpg","фото на сайте")</f>
        <v>фото на сайте</v>
      </c>
    </row>
    <row r="780" spans="1:19" ht="50.1" customHeight="1">
      <c r="A780" s="31"/>
      <c r="B780" s="32" t="s">
        <v>3213</v>
      </c>
      <c r="C780" s="31" t="s">
        <v>390</v>
      </c>
      <c r="D780" s="31" t="s">
        <v>3214</v>
      </c>
      <c r="E780" s="31" t="s">
        <v>3215</v>
      </c>
      <c r="F780" s="31">
        <v>559</v>
      </c>
      <c r="G780" s="31">
        <v>86</v>
      </c>
      <c r="H780" s="31">
        <v>10</v>
      </c>
      <c r="I780" s="31">
        <v>30</v>
      </c>
      <c r="J780" s="31" t="s">
        <v>3216</v>
      </c>
      <c r="K780" s="31" t="s">
        <v>123</v>
      </c>
      <c r="L780" s="31" t="s">
        <v>56</v>
      </c>
      <c r="M780" s="31">
        <v>158</v>
      </c>
      <c r="N780" s="31">
        <v>2015</v>
      </c>
      <c r="O780" s="31">
        <v>76</v>
      </c>
      <c r="P780" s="31"/>
      <c r="Q780" s="31"/>
      <c r="R780" s="33"/>
      <c r="S780" s="34" t="str">
        <f>HYPERLINK("http://www.cnpol.ru/covers/16292.jpg","фото на сайте")</f>
        <v>фото на сайте</v>
      </c>
    </row>
    <row r="781" spans="1:19" ht="50.1" customHeight="1">
      <c r="A781" s="31" t="s">
        <v>43</v>
      </c>
      <c r="B781" s="32" t="s">
        <v>3217</v>
      </c>
      <c r="C781" s="31" t="s">
        <v>3218</v>
      </c>
      <c r="D781" s="31" t="s">
        <v>3219</v>
      </c>
      <c r="E781" s="31" t="s">
        <v>3220</v>
      </c>
      <c r="F781" s="31" t="s">
        <v>31</v>
      </c>
      <c r="G781" s="31">
        <v>386</v>
      </c>
      <c r="H781" s="31">
        <v>10</v>
      </c>
      <c r="I781" s="31">
        <v>14</v>
      </c>
      <c r="J781" s="31" t="s">
        <v>3221</v>
      </c>
      <c r="K781" s="31" t="s">
        <v>130</v>
      </c>
      <c r="L781" s="31" t="s">
        <v>210</v>
      </c>
      <c r="M781" s="31">
        <v>351</v>
      </c>
      <c r="N781" s="31">
        <v>2024</v>
      </c>
      <c r="O781" s="31">
        <v>295</v>
      </c>
      <c r="P781" s="31"/>
      <c r="Q781" s="31"/>
      <c r="R781" s="33" t="s">
        <v>3222</v>
      </c>
      <c r="S781" s="34" t="str">
        <f>HYPERLINK("http://www.cnpol.ru/covers/21257.jpg","фото на сайте")</f>
        <v>фото на сайте</v>
      </c>
    </row>
    <row r="782" spans="1:19" ht="50.1" customHeight="1">
      <c r="A782" s="31" t="s">
        <v>43</v>
      </c>
      <c r="B782" s="32" t="s">
        <v>3223</v>
      </c>
      <c r="C782" s="31" t="s">
        <v>37</v>
      </c>
      <c r="D782" s="31" t="s">
        <v>3224</v>
      </c>
      <c r="E782" s="31" t="s">
        <v>3225</v>
      </c>
      <c r="F782" s="31" t="s">
        <v>31</v>
      </c>
      <c r="G782" s="31">
        <v>522</v>
      </c>
      <c r="H782" s="31">
        <v>10</v>
      </c>
      <c r="I782" s="31">
        <v>12</v>
      </c>
      <c r="J782" s="31" t="s">
        <v>3226</v>
      </c>
      <c r="K782" s="31" t="s">
        <v>33</v>
      </c>
      <c r="L782" s="31" t="s">
        <v>34</v>
      </c>
      <c r="M782" s="31">
        <v>351</v>
      </c>
      <c r="N782" s="31">
        <v>2025</v>
      </c>
      <c r="O782" s="31">
        <v>311</v>
      </c>
      <c r="P782" s="31"/>
      <c r="Q782" s="31"/>
      <c r="R782" s="33" t="s">
        <v>3227</v>
      </c>
      <c r="S782" s="34" t="str">
        <f>HYPERLINK("http://www.cnpol.ru/covers/21464.jpg","фото на сайте")</f>
        <v>фото на сайте</v>
      </c>
    </row>
    <row r="783" spans="1:19" ht="50.1" customHeight="1">
      <c r="A783" s="31"/>
      <c r="B783" s="32" t="s">
        <v>3228</v>
      </c>
      <c r="C783" s="31" t="s">
        <v>3229</v>
      </c>
      <c r="D783" s="31" t="s">
        <v>3230</v>
      </c>
      <c r="E783" s="31" t="s">
        <v>3231</v>
      </c>
      <c r="F783" s="31" t="s">
        <v>31</v>
      </c>
      <c r="G783" s="31">
        <v>843</v>
      </c>
      <c r="H783" s="31">
        <v>10</v>
      </c>
      <c r="I783" s="31">
        <v>10</v>
      </c>
      <c r="J783" s="31" t="s">
        <v>3232</v>
      </c>
      <c r="K783" s="31" t="s">
        <v>41</v>
      </c>
      <c r="L783" s="31" t="s">
        <v>34</v>
      </c>
      <c r="M783" s="31">
        <v>416</v>
      </c>
      <c r="N783" s="31">
        <v>2016</v>
      </c>
      <c r="O783" s="31">
        <v>476</v>
      </c>
      <c r="P783" s="31"/>
      <c r="Q783" s="31"/>
      <c r="R783" s="33"/>
      <c r="S783" s="34" t="str">
        <f>HYPERLINK("http://www.cnpol.ru/covers/17187.jpg","фото на сайте")</f>
        <v>фото на сайте</v>
      </c>
    </row>
    <row r="784" spans="1:19" ht="50.1" customHeight="1">
      <c r="A784" s="31" t="s">
        <v>35</v>
      </c>
      <c r="B784" s="32" t="s">
        <v>3233</v>
      </c>
      <c r="C784" s="31" t="s">
        <v>37</v>
      </c>
      <c r="D784" s="31" t="s">
        <v>3234</v>
      </c>
      <c r="E784" s="31" t="s">
        <v>3235</v>
      </c>
      <c r="F784" s="31" t="s">
        <v>31</v>
      </c>
      <c r="G784" s="35">
        <v>1235</v>
      </c>
      <c r="H784" s="31">
        <v>10</v>
      </c>
      <c r="I784" s="31">
        <v>5</v>
      </c>
      <c r="J784" s="31" t="s">
        <v>3236</v>
      </c>
      <c r="K784" s="31" t="s">
        <v>33</v>
      </c>
      <c r="L784" s="31" t="s">
        <v>34</v>
      </c>
      <c r="M784" s="31">
        <v>511</v>
      </c>
      <c r="N784" s="31">
        <v>2025</v>
      </c>
      <c r="O784" s="31">
        <v>380</v>
      </c>
      <c r="P784" s="31"/>
      <c r="Q784" s="31"/>
      <c r="R784" s="33" t="s">
        <v>3237</v>
      </c>
      <c r="S784" s="34" t="str">
        <f>HYPERLINK("http://www.cnpol.ru/covers/21471.jpg","фото на сайте")</f>
        <v>фото на сайте</v>
      </c>
    </row>
    <row r="785" spans="1:19" ht="50.1" customHeight="1">
      <c r="A785" s="31" t="s">
        <v>43</v>
      </c>
      <c r="B785" s="32" t="s">
        <v>3238</v>
      </c>
      <c r="C785" s="31" t="s">
        <v>37</v>
      </c>
      <c r="D785" s="31" t="s">
        <v>3239</v>
      </c>
      <c r="E785" s="31" t="s">
        <v>3240</v>
      </c>
      <c r="F785" s="31" t="s">
        <v>31</v>
      </c>
      <c r="G785" s="31">
        <v>917</v>
      </c>
      <c r="H785" s="31">
        <v>10</v>
      </c>
      <c r="I785" s="31">
        <v>12</v>
      </c>
      <c r="J785" s="31" t="s">
        <v>3241</v>
      </c>
      <c r="K785" s="31" t="s">
        <v>33</v>
      </c>
      <c r="L785" s="31" t="s">
        <v>34</v>
      </c>
      <c r="M785" s="31">
        <v>318</v>
      </c>
      <c r="N785" s="31">
        <v>2025</v>
      </c>
      <c r="O785" s="31">
        <v>460</v>
      </c>
      <c r="P785" s="31"/>
      <c r="Q785" s="31"/>
      <c r="R785" s="33" t="s">
        <v>3242</v>
      </c>
      <c r="S785" s="34" t="str">
        <f>HYPERLINK("http://www.cnpol.ru/covers/21622.jpg","фото на сайте")</f>
        <v>фото на сайте</v>
      </c>
    </row>
    <row r="786" spans="1:19" ht="50.1" customHeight="1">
      <c r="A786" s="31" t="s">
        <v>35</v>
      </c>
      <c r="B786" s="32" t="s">
        <v>3243</v>
      </c>
      <c r="C786" s="31" t="s">
        <v>434</v>
      </c>
      <c r="D786" s="31" t="s">
        <v>913</v>
      </c>
      <c r="E786" s="31" t="s">
        <v>3244</v>
      </c>
      <c r="F786" s="31" t="s">
        <v>31</v>
      </c>
      <c r="G786" s="35">
        <v>1119</v>
      </c>
      <c r="H786" s="31">
        <v>10</v>
      </c>
      <c r="I786" s="31">
        <v>10</v>
      </c>
      <c r="J786" s="31" t="s">
        <v>3245</v>
      </c>
      <c r="K786" s="31" t="s">
        <v>33</v>
      </c>
      <c r="L786" s="31" t="s">
        <v>34</v>
      </c>
      <c r="M786" s="31">
        <v>443</v>
      </c>
      <c r="N786" s="31">
        <v>2024</v>
      </c>
      <c r="O786" s="31">
        <v>480</v>
      </c>
      <c r="P786" s="31"/>
      <c r="Q786" s="31"/>
      <c r="R786" s="33" t="s">
        <v>3246</v>
      </c>
      <c r="S786" s="34" t="str">
        <f>HYPERLINK("http://www.cnpol.ru/covers/21122.jpg","фото на сайте")</f>
        <v>фото на сайте</v>
      </c>
    </row>
    <row r="787" spans="1:19" ht="50.1" customHeight="1">
      <c r="A787" s="31" t="s">
        <v>35</v>
      </c>
      <c r="B787" s="32" t="s">
        <v>3247</v>
      </c>
      <c r="C787" s="31" t="s">
        <v>37</v>
      </c>
      <c r="D787" s="31" t="s">
        <v>3248</v>
      </c>
      <c r="E787" s="31" t="s">
        <v>3249</v>
      </c>
      <c r="F787" s="31" t="s">
        <v>31</v>
      </c>
      <c r="G787" s="31">
        <v>911</v>
      </c>
      <c r="H787" s="31">
        <v>10</v>
      </c>
      <c r="I787" s="31">
        <v>6</v>
      </c>
      <c r="J787" s="31" t="s">
        <v>3250</v>
      </c>
      <c r="K787" s="31" t="s">
        <v>33</v>
      </c>
      <c r="L787" s="31" t="s">
        <v>34</v>
      </c>
      <c r="M787" s="31">
        <v>303</v>
      </c>
      <c r="N787" s="31">
        <v>2025</v>
      </c>
      <c r="O787" s="31">
        <v>320</v>
      </c>
      <c r="P787" s="31"/>
      <c r="Q787" s="31"/>
      <c r="R787" s="33" t="s">
        <v>3251</v>
      </c>
      <c r="S787" s="34" t="str">
        <f>HYPERLINK("http://www.cnpol.ru/covers/21447.jpg","фото на сайте")</f>
        <v>фото на сайте</v>
      </c>
    </row>
    <row r="788" spans="1:19" ht="50.1" customHeight="1">
      <c r="A788" s="31"/>
      <c r="B788" s="32" t="s">
        <v>3252</v>
      </c>
      <c r="C788" s="31" t="s">
        <v>45</v>
      </c>
      <c r="D788" s="31" t="s">
        <v>2593</v>
      </c>
      <c r="E788" s="31" t="s">
        <v>3253</v>
      </c>
      <c r="F788" s="31" t="s">
        <v>31</v>
      </c>
      <c r="G788" s="31">
        <v>907</v>
      </c>
      <c r="H788" s="31">
        <v>10</v>
      </c>
      <c r="I788" s="31">
        <v>8</v>
      </c>
      <c r="J788" s="31" t="s">
        <v>3254</v>
      </c>
      <c r="K788" s="31" t="s">
        <v>147</v>
      </c>
      <c r="L788" s="31" t="s">
        <v>34</v>
      </c>
      <c r="M788" s="31">
        <v>348</v>
      </c>
      <c r="N788" s="31">
        <v>2012</v>
      </c>
      <c r="O788" s="31">
        <v>632</v>
      </c>
      <c r="P788" s="31"/>
      <c r="Q788" s="31"/>
      <c r="R788" s="33"/>
      <c r="S788" s="34" t="str">
        <f>HYPERLINK("http://www.cnpol.ru/covers/13438.jpg","фото на сайте")</f>
        <v>фото на сайте</v>
      </c>
    </row>
    <row r="789" spans="1:19" ht="50.1" customHeight="1">
      <c r="A789" s="31" t="s">
        <v>35</v>
      </c>
      <c r="B789" s="32" t="s">
        <v>3255</v>
      </c>
      <c r="C789" s="31" t="s">
        <v>1668</v>
      </c>
      <c r="D789" s="31" t="s">
        <v>1669</v>
      </c>
      <c r="E789" s="31" t="s">
        <v>3256</v>
      </c>
      <c r="F789" s="31" t="s">
        <v>31</v>
      </c>
      <c r="G789" s="35">
        <v>1015</v>
      </c>
      <c r="H789" s="31">
        <v>10</v>
      </c>
      <c r="I789" s="31">
        <v>5</v>
      </c>
      <c r="J789" s="31" t="s">
        <v>3257</v>
      </c>
      <c r="K789" s="31" t="s">
        <v>33</v>
      </c>
      <c r="L789" s="31" t="s">
        <v>34</v>
      </c>
      <c r="M789" s="31">
        <v>414</v>
      </c>
      <c r="N789" s="31">
        <v>2025</v>
      </c>
      <c r="O789" s="31">
        <v>344</v>
      </c>
      <c r="P789" s="31"/>
      <c r="Q789" s="31"/>
      <c r="R789" s="33" t="s">
        <v>3258</v>
      </c>
      <c r="S789" s="34" t="str">
        <f>HYPERLINK("http://www.cnpol.ru/covers/21671.jpg","фото на сайте")</f>
        <v>фото на сайте</v>
      </c>
    </row>
    <row r="790" spans="1:19" ht="50.1" customHeight="1">
      <c r="A790" s="31"/>
      <c r="B790" s="32" t="s">
        <v>3259</v>
      </c>
      <c r="C790" s="31" t="s">
        <v>400</v>
      </c>
      <c r="D790" s="31" t="s">
        <v>3260</v>
      </c>
      <c r="E790" s="31" t="s">
        <v>3261</v>
      </c>
      <c r="F790" s="31" t="s">
        <v>31</v>
      </c>
      <c r="G790" s="31">
        <v>503</v>
      </c>
      <c r="H790" s="31">
        <v>10</v>
      </c>
      <c r="I790" s="31">
        <v>12</v>
      </c>
      <c r="J790" s="31" t="s">
        <v>3262</v>
      </c>
      <c r="K790" s="31" t="s">
        <v>33</v>
      </c>
      <c r="L790" s="31" t="s">
        <v>34</v>
      </c>
      <c r="M790" s="31">
        <v>352</v>
      </c>
      <c r="N790" s="31">
        <v>2017</v>
      </c>
      <c r="O790" s="31">
        <v>288</v>
      </c>
      <c r="P790" s="31"/>
      <c r="Q790" s="31"/>
      <c r="R790" s="33"/>
      <c r="S790" s="34" t="str">
        <f>HYPERLINK("http://www.cnpol.ru/covers/17761.jpg","фото на сайте")</f>
        <v>фото на сайте</v>
      </c>
    </row>
    <row r="791" spans="1:19" ht="50.1" customHeight="1">
      <c r="A791" s="31" t="s">
        <v>35</v>
      </c>
      <c r="B791" s="32" t="s">
        <v>3263</v>
      </c>
      <c r="C791" s="31" t="s">
        <v>37</v>
      </c>
      <c r="D791" s="31" t="s">
        <v>3264</v>
      </c>
      <c r="E791" s="31" t="s">
        <v>3265</v>
      </c>
      <c r="F791" s="31" t="s">
        <v>31</v>
      </c>
      <c r="G791" s="31">
        <v>933</v>
      </c>
      <c r="H791" s="31">
        <v>10</v>
      </c>
      <c r="I791" s="31">
        <v>6</v>
      </c>
      <c r="J791" s="31" t="s">
        <v>3266</v>
      </c>
      <c r="K791" s="31" t="s">
        <v>33</v>
      </c>
      <c r="L791" s="31" t="s">
        <v>34</v>
      </c>
      <c r="M791" s="31">
        <v>318</v>
      </c>
      <c r="N791" s="31">
        <v>2025</v>
      </c>
      <c r="O791" s="31">
        <v>380</v>
      </c>
      <c r="P791" s="31"/>
      <c r="Q791" s="31"/>
      <c r="R791" s="33" t="s">
        <v>3267</v>
      </c>
      <c r="S791" s="34" t="str">
        <f>HYPERLINK("http://www.cnpol.ru/covers/21448.jpg","фото на сайте")</f>
        <v>фото на сайте</v>
      </c>
    </row>
    <row r="792" spans="1:19" ht="50.1" customHeight="1">
      <c r="A792" s="31"/>
      <c r="B792" s="32" t="s">
        <v>3268</v>
      </c>
      <c r="C792" s="31" t="s">
        <v>3269</v>
      </c>
      <c r="D792" s="31" t="s">
        <v>127</v>
      </c>
      <c r="E792" s="31" t="s">
        <v>3270</v>
      </c>
      <c r="F792" s="31" t="s">
        <v>31</v>
      </c>
      <c r="G792" s="31">
        <v>162</v>
      </c>
      <c r="H792" s="31">
        <v>10</v>
      </c>
      <c r="I792" s="31">
        <v>24</v>
      </c>
      <c r="J792" s="31" t="s">
        <v>3271</v>
      </c>
      <c r="K792" s="31" t="s">
        <v>130</v>
      </c>
      <c r="L792" s="31" t="s">
        <v>56</v>
      </c>
      <c r="M792" s="31">
        <v>171</v>
      </c>
      <c r="N792" s="31">
        <v>2008</v>
      </c>
      <c r="O792" s="31">
        <v>112</v>
      </c>
      <c r="P792" s="31"/>
      <c r="Q792" s="31"/>
      <c r="R792" s="33"/>
      <c r="S792" s="34" t="str">
        <f>HYPERLINK("http://www.cnpol.ru/covers/7938.jpg","фото на сайте")</f>
        <v>фото на сайте</v>
      </c>
    </row>
    <row r="793" spans="1:19" ht="50.1" customHeight="1">
      <c r="A793" s="31"/>
      <c r="B793" s="32" t="s">
        <v>3272</v>
      </c>
      <c r="C793" s="31" t="s">
        <v>126</v>
      </c>
      <c r="D793" s="31" t="s">
        <v>127</v>
      </c>
      <c r="E793" s="31" t="s">
        <v>3273</v>
      </c>
      <c r="F793" s="31" t="s">
        <v>31</v>
      </c>
      <c r="G793" s="31">
        <v>154</v>
      </c>
      <c r="H793" s="31">
        <v>10</v>
      </c>
      <c r="I793" s="31">
        <v>28</v>
      </c>
      <c r="J793" s="31" t="s">
        <v>3274</v>
      </c>
      <c r="K793" s="31" t="s">
        <v>130</v>
      </c>
      <c r="L793" s="31" t="s">
        <v>56</v>
      </c>
      <c r="M793" s="31">
        <v>206</v>
      </c>
      <c r="N793" s="31">
        <v>2014</v>
      </c>
      <c r="O793" s="31" t="s">
        <v>220</v>
      </c>
      <c r="P793" s="31"/>
      <c r="Q793" s="31"/>
      <c r="R793" s="33"/>
      <c r="S793" s="34" t="str">
        <f>HYPERLINK("http://www.cnpol.ru/covers/14785.jpg","фото на сайте")</f>
        <v>фото на сайте</v>
      </c>
    </row>
    <row r="794" spans="1:19" ht="50.1" customHeight="1">
      <c r="A794" s="31"/>
      <c r="B794" s="32" t="s">
        <v>3275</v>
      </c>
      <c r="C794" s="31" t="s">
        <v>1050</v>
      </c>
      <c r="D794" s="31" t="s">
        <v>3276</v>
      </c>
      <c r="E794" s="31" t="s">
        <v>3277</v>
      </c>
      <c r="F794" s="31" t="s">
        <v>31</v>
      </c>
      <c r="G794" s="31">
        <v>386</v>
      </c>
      <c r="H794" s="31">
        <v>10</v>
      </c>
      <c r="I794" s="31">
        <v>14</v>
      </c>
      <c r="J794" s="31" t="s">
        <v>3278</v>
      </c>
      <c r="K794" s="31" t="s">
        <v>130</v>
      </c>
      <c r="L794" s="31" t="s">
        <v>210</v>
      </c>
      <c r="M794" s="31">
        <v>318</v>
      </c>
      <c r="N794" s="31">
        <v>2021</v>
      </c>
      <c r="O794" s="31">
        <v>266</v>
      </c>
      <c r="P794" s="31"/>
      <c r="Q794" s="31"/>
      <c r="R794" s="33"/>
      <c r="S794" s="34" t="str">
        <f>HYPERLINK("http://www.cnpol.ru/covers/19449.jpg","фото на сайте")</f>
        <v>фото на сайте</v>
      </c>
    </row>
    <row r="795" spans="1:19" ht="50.1" customHeight="1">
      <c r="A795" s="31"/>
      <c r="B795" s="32" t="s">
        <v>3279</v>
      </c>
      <c r="C795" s="31" t="s">
        <v>1050</v>
      </c>
      <c r="D795" s="31" t="s">
        <v>3280</v>
      </c>
      <c r="E795" s="31" t="s">
        <v>3281</v>
      </c>
      <c r="F795" s="31" t="s">
        <v>31</v>
      </c>
      <c r="G795" s="31">
        <v>386</v>
      </c>
      <c r="H795" s="31">
        <v>10</v>
      </c>
      <c r="I795" s="31">
        <v>16</v>
      </c>
      <c r="J795" s="31" t="s">
        <v>3282</v>
      </c>
      <c r="K795" s="31" t="s">
        <v>33</v>
      </c>
      <c r="L795" s="31" t="s">
        <v>210</v>
      </c>
      <c r="M795" s="31">
        <v>317</v>
      </c>
      <c r="N795" s="31">
        <v>2021</v>
      </c>
      <c r="O795" s="31">
        <v>270</v>
      </c>
      <c r="P795" s="31"/>
      <c r="Q795" s="31"/>
      <c r="R795" s="33"/>
      <c r="S795" s="34" t="str">
        <f>HYPERLINK("http://www.cnpol.ru/covers/19962.jpg","фото на сайте")</f>
        <v>фото на сайте</v>
      </c>
    </row>
    <row r="796" spans="1:19" ht="50.1" customHeight="1">
      <c r="A796" s="31" t="s">
        <v>35</v>
      </c>
      <c r="B796" s="32" t="s">
        <v>3283</v>
      </c>
      <c r="C796" s="31" t="s">
        <v>143</v>
      </c>
      <c r="D796" s="31" t="s">
        <v>3284</v>
      </c>
      <c r="E796" s="31" t="s">
        <v>3285</v>
      </c>
      <c r="F796" s="31" t="s">
        <v>31</v>
      </c>
      <c r="G796" s="35">
        <v>1418</v>
      </c>
      <c r="H796" s="31">
        <v>10</v>
      </c>
      <c r="I796" s="31">
        <v>5</v>
      </c>
      <c r="J796" s="31" t="s">
        <v>3286</v>
      </c>
      <c r="K796" s="31" t="s">
        <v>41</v>
      </c>
      <c r="L796" s="31" t="s">
        <v>34</v>
      </c>
      <c r="M796" s="31">
        <v>527</v>
      </c>
      <c r="N796" s="31">
        <v>2025</v>
      </c>
      <c r="O796" s="31">
        <v>601</v>
      </c>
      <c r="P796" s="31"/>
      <c r="Q796" s="31"/>
      <c r="R796" s="33" t="s">
        <v>3287</v>
      </c>
      <c r="S796" s="34" t="str">
        <f>HYPERLINK("http://www.cnpol.ru/covers/21530.jpg","фото на сайте")</f>
        <v>фото на сайте</v>
      </c>
    </row>
    <row r="797" spans="1:19" ht="50.1" customHeight="1">
      <c r="A797" s="31"/>
      <c r="B797" s="32" t="s">
        <v>3288</v>
      </c>
      <c r="C797" s="31" t="s">
        <v>1050</v>
      </c>
      <c r="D797" s="31" t="s">
        <v>3289</v>
      </c>
      <c r="E797" s="31" t="s">
        <v>3290</v>
      </c>
      <c r="F797" s="31" t="s">
        <v>31</v>
      </c>
      <c r="G797" s="31">
        <v>386</v>
      </c>
      <c r="H797" s="31">
        <v>10</v>
      </c>
      <c r="I797" s="31">
        <v>20</v>
      </c>
      <c r="J797" s="31" t="s">
        <v>3291</v>
      </c>
      <c r="K797" s="31" t="s">
        <v>33</v>
      </c>
      <c r="L797" s="31" t="s">
        <v>210</v>
      </c>
      <c r="M797" s="31">
        <v>224</v>
      </c>
      <c r="N797" s="31">
        <v>2017</v>
      </c>
      <c r="O797" s="31">
        <v>186</v>
      </c>
      <c r="P797" s="31"/>
      <c r="Q797" s="31"/>
      <c r="R797" s="33"/>
      <c r="S797" s="34" t="str">
        <f>HYPERLINK("http://www.cnpol.ru/covers/17414.jpg","фото на сайте")</f>
        <v>фото на сайте</v>
      </c>
    </row>
    <row r="798" spans="1:19" ht="50.1" customHeight="1">
      <c r="A798" s="31" t="s">
        <v>43</v>
      </c>
      <c r="B798" s="32" t="s">
        <v>3292</v>
      </c>
      <c r="C798" s="31" t="s">
        <v>143</v>
      </c>
      <c r="D798" s="31" t="s">
        <v>3293</v>
      </c>
      <c r="E798" s="31" t="s">
        <v>3294</v>
      </c>
      <c r="F798" s="31" t="s">
        <v>31</v>
      </c>
      <c r="G798" s="35">
        <v>1149</v>
      </c>
      <c r="H798" s="31">
        <v>10</v>
      </c>
      <c r="I798" s="31">
        <v>8</v>
      </c>
      <c r="J798" s="31" t="s">
        <v>3295</v>
      </c>
      <c r="K798" s="31" t="s">
        <v>33</v>
      </c>
      <c r="L798" s="31" t="s">
        <v>34</v>
      </c>
      <c r="M798" s="31">
        <v>383</v>
      </c>
      <c r="N798" s="31">
        <v>2024</v>
      </c>
      <c r="O798" s="31">
        <v>456</v>
      </c>
      <c r="P798" s="31"/>
      <c r="Q798" s="31"/>
      <c r="R798" s="33" t="s">
        <v>3296</v>
      </c>
      <c r="S798" s="34" t="str">
        <f>HYPERLINK("http://www.cnpol.ru/covers/21345.jpg","фото на сайте")</f>
        <v>фото на сайте</v>
      </c>
    </row>
    <row r="799" spans="1:19" ht="50.1" customHeight="1">
      <c r="A799" s="31"/>
      <c r="B799" s="32" t="s">
        <v>3297</v>
      </c>
      <c r="C799" s="31" t="s">
        <v>28</v>
      </c>
      <c r="D799" s="31" t="s">
        <v>3298</v>
      </c>
      <c r="E799" s="31" t="s">
        <v>3299</v>
      </c>
      <c r="F799" s="31" t="s">
        <v>31</v>
      </c>
      <c r="G799" s="31">
        <v>693</v>
      </c>
      <c r="H799" s="31">
        <v>10</v>
      </c>
      <c r="I799" s="31">
        <v>16</v>
      </c>
      <c r="J799" s="31" t="s">
        <v>3300</v>
      </c>
      <c r="K799" s="31" t="s">
        <v>33</v>
      </c>
      <c r="L799" s="31" t="s">
        <v>34</v>
      </c>
      <c r="M799" s="31">
        <v>320</v>
      </c>
      <c r="N799" s="31">
        <v>2014</v>
      </c>
      <c r="O799" s="31">
        <v>340</v>
      </c>
      <c r="P799" s="31"/>
      <c r="Q799" s="31"/>
      <c r="R799" s="33"/>
      <c r="S799" s="34" t="str">
        <f>HYPERLINK("http://www.cnpol.ru/covers/15106.jpg","фото на сайте")</f>
        <v>фото на сайте</v>
      </c>
    </row>
    <row r="800" spans="1:19" ht="50.1" customHeight="1">
      <c r="A800" s="31"/>
      <c r="B800" s="32" t="s">
        <v>3301</v>
      </c>
      <c r="C800" s="31" t="s">
        <v>37</v>
      </c>
      <c r="D800" s="31" t="s">
        <v>3302</v>
      </c>
      <c r="E800" s="31" t="s">
        <v>3303</v>
      </c>
      <c r="F800" s="31" t="s">
        <v>31</v>
      </c>
      <c r="G800" s="31">
        <v>759</v>
      </c>
      <c r="H800" s="31">
        <v>10</v>
      </c>
      <c r="I800" s="31">
        <v>16</v>
      </c>
      <c r="J800" s="31" t="s">
        <v>3304</v>
      </c>
      <c r="K800" s="31" t="s">
        <v>33</v>
      </c>
      <c r="L800" s="31" t="s">
        <v>34</v>
      </c>
      <c r="M800" s="31">
        <v>223</v>
      </c>
      <c r="N800" s="31">
        <v>2023</v>
      </c>
      <c r="O800" s="31">
        <v>230</v>
      </c>
      <c r="P800" s="31"/>
      <c r="Q800" s="31"/>
      <c r="R800" s="33" t="s">
        <v>3305</v>
      </c>
      <c r="S800" s="34" t="str">
        <f>HYPERLINK("http://www.cnpol.ru/covers/20581.jpg","фото на сайте")</f>
        <v>фото на сайте</v>
      </c>
    </row>
    <row r="801" spans="1:19" ht="50.1" customHeight="1">
      <c r="A801" s="31"/>
      <c r="B801" s="32" t="s">
        <v>3306</v>
      </c>
      <c r="C801" s="31" t="s">
        <v>37</v>
      </c>
      <c r="D801" s="31" t="s">
        <v>3307</v>
      </c>
      <c r="E801" s="31" t="s">
        <v>3308</v>
      </c>
      <c r="F801" s="31" t="s">
        <v>31</v>
      </c>
      <c r="G801" s="35">
        <v>1186</v>
      </c>
      <c r="H801" s="31">
        <v>10</v>
      </c>
      <c r="I801" s="31">
        <v>10</v>
      </c>
      <c r="J801" s="31" t="s">
        <v>3309</v>
      </c>
      <c r="K801" s="31" t="s">
        <v>33</v>
      </c>
      <c r="L801" s="31" t="s">
        <v>34</v>
      </c>
      <c r="M801" s="31">
        <v>478</v>
      </c>
      <c r="N801" s="31">
        <v>2022</v>
      </c>
      <c r="O801" s="31">
        <v>485</v>
      </c>
      <c r="P801" s="31"/>
      <c r="Q801" s="31"/>
      <c r="R801" s="33" t="s">
        <v>3310</v>
      </c>
      <c r="S801" s="34" t="str">
        <f>HYPERLINK("http://www.cnpol.ru/covers/20357.jpg","фото на сайте")</f>
        <v>фото на сайте</v>
      </c>
    </row>
    <row r="802" spans="1:19" ht="50.1" customHeight="1">
      <c r="A802" s="31"/>
      <c r="B802" s="32" t="s">
        <v>3311</v>
      </c>
      <c r="C802" s="31" t="s">
        <v>37</v>
      </c>
      <c r="D802" s="31" t="s">
        <v>3312</v>
      </c>
      <c r="E802" s="31" t="s">
        <v>3313</v>
      </c>
      <c r="F802" s="31" t="s">
        <v>31</v>
      </c>
      <c r="G802" s="35">
        <v>1009</v>
      </c>
      <c r="H802" s="31">
        <v>10</v>
      </c>
      <c r="I802" s="31">
        <v>12</v>
      </c>
      <c r="J802" s="31" t="s">
        <v>3314</v>
      </c>
      <c r="K802" s="31" t="s">
        <v>33</v>
      </c>
      <c r="L802" s="31" t="s">
        <v>34</v>
      </c>
      <c r="M802" s="31">
        <v>384</v>
      </c>
      <c r="N802" s="31">
        <v>2022</v>
      </c>
      <c r="O802" s="31">
        <v>420</v>
      </c>
      <c r="P802" s="31"/>
      <c r="Q802" s="31"/>
      <c r="R802" s="33"/>
      <c r="S802" s="34" t="str">
        <f>HYPERLINK("http://www.cnpol.ru/covers/20233.jpg","фото на сайте")</f>
        <v>фото на сайте</v>
      </c>
    </row>
    <row r="803" spans="1:19" ht="50.1" customHeight="1">
      <c r="A803" s="31"/>
      <c r="B803" s="32" t="s">
        <v>3315</v>
      </c>
      <c r="C803" s="31" t="s">
        <v>37</v>
      </c>
      <c r="D803" s="31" t="s">
        <v>3316</v>
      </c>
      <c r="E803" s="31" t="s">
        <v>3317</v>
      </c>
      <c r="F803" s="31" t="s">
        <v>31</v>
      </c>
      <c r="G803" s="31">
        <v>461</v>
      </c>
      <c r="H803" s="31">
        <v>10</v>
      </c>
      <c r="I803" s="31">
        <v>16</v>
      </c>
      <c r="J803" s="31" t="s">
        <v>3318</v>
      </c>
      <c r="K803" s="31" t="s">
        <v>33</v>
      </c>
      <c r="L803" s="31" t="s">
        <v>34</v>
      </c>
      <c r="M803" s="31">
        <v>255</v>
      </c>
      <c r="N803" s="31">
        <v>2023</v>
      </c>
      <c r="O803" s="31">
        <v>242</v>
      </c>
      <c r="P803" s="31"/>
      <c r="Q803" s="31"/>
      <c r="R803" s="33" t="s">
        <v>3319</v>
      </c>
      <c r="S803" s="34" t="str">
        <f>HYPERLINK("http://www.cnpol.ru/covers/20773.jpg","фото на сайте")</f>
        <v>фото на сайте</v>
      </c>
    </row>
    <row r="804" spans="1:19" ht="50.1" customHeight="1">
      <c r="A804" s="31" t="s">
        <v>43</v>
      </c>
      <c r="B804" s="32" t="s">
        <v>3320</v>
      </c>
      <c r="C804" s="31" t="s">
        <v>37</v>
      </c>
      <c r="D804" s="31" t="s">
        <v>3321</v>
      </c>
      <c r="E804" s="31" t="s">
        <v>3322</v>
      </c>
      <c r="F804" s="31" t="s">
        <v>31</v>
      </c>
      <c r="G804" s="35">
        <v>1547</v>
      </c>
      <c r="H804" s="31">
        <v>10</v>
      </c>
      <c r="I804" s="31">
        <v>6</v>
      </c>
      <c r="J804" s="31" t="s">
        <v>3323</v>
      </c>
      <c r="K804" s="31" t="s">
        <v>33</v>
      </c>
      <c r="L804" s="31" t="s">
        <v>34</v>
      </c>
      <c r="M804" s="31">
        <v>734</v>
      </c>
      <c r="N804" s="31">
        <v>2024</v>
      </c>
      <c r="O804" s="31">
        <v>715</v>
      </c>
      <c r="P804" s="31"/>
      <c r="Q804" s="31"/>
      <c r="R804" s="33" t="s">
        <v>3324</v>
      </c>
      <c r="S804" s="34" t="str">
        <f>HYPERLINK("http://www.cnpol.ru/covers/21072.jpg","фото на сайте")</f>
        <v>фото на сайте</v>
      </c>
    </row>
    <row r="805" spans="1:19" ht="50.1" customHeight="1">
      <c r="A805" s="31"/>
      <c r="B805" s="32" t="s">
        <v>3325</v>
      </c>
      <c r="C805" s="31" t="s">
        <v>315</v>
      </c>
      <c r="D805" s="31" t="s">
        <v>316</v>
      </c>
      <c r="E805" s="31" t="s">
        <v>3326</v>
      </c>
      <c r="F805" s="31" t="s">
        <v>31</v>
      </c>
      <c r="G805" s="31">
        <v>249</v>
      </c>
      <c r="H805" s="31">
        <v>10</v>
      </c>
      <c r="I805" s="31">
        <v>30</v>
      </c>
      <c r="J805" s="31" t="s">
        <v>3327</v>
      </c>
      <c r="K805" s="31" t="s">
        <v>319</v>
      </c>
      <c r="L805" s="31" t="s">
        <v>210</v>
      </c>
      <c r="M805" s="31">
        <v>36</v>
      </c>
      <c r="N805" s="31">
        <v>2022</v>
      </c>
      <c r="O805" s="31">
        <v>138</v>
      </c>
      <c r="P805" s="31"/>
      <c r="Q805" s="31"/>
      <c r="R805" s="33"/>
      <c r="S805" s="34" t="str">
        <f>HYPERLINK("http://www.cnpol.ru/covers/20266.jpg","фото на сайте")</f>
        <v>фото на сайте</v>
      </c>
    </row>
    <row r="806" spans="1:19" ht="50.1" customHeight="1">
      <c r="A806" s="31"/>
      <c r="B806" s="32" t="s">
        <v>3328</v>
      </c>
      <c r="C806" s="31" t="s">
        <v>390</v>
      </c>
      <c r="D806" s="31" t="s">
        <v>1698</v>
      </c>
      <c r="E806" s="31" t="s">
        <v>3329</v>
      </c>
      <c r="F806" s="31">
        <v>561</v>
      </c>
      <c r="G806" s="31">
        <v>86</v>
      </c>
      <c r="H806" s="31">
        <v>10</v>
      </c>
      <c r="I806" s="31">
        <v>30</v>
      </c>
      <c r="J806" s="31" t="s">
        <v>3330</v>
      </c>
      <c r="K806" s="31" t="s">
        <v>123</v>
      </c>
      <c r="L806" s="31" t="s">
        <v>56</v>
      </c>
      <c r="M806" s="31">
        <v>158</v>
      </c>
      <c r="N806" s="31">
        <v>2015</v>
      </c>
      <c r="O806" s="31">
        <v>76</v>
      </c>
      <c r="P806" s="31"/>
      <c r="Q806" s="31"/>
      <c r="R806" s="33"/>
      <c r="S806" s="34" t="str">
        <f>HYPERLINK("http://www.cnpol.ru/covers/16328.jpg","фото на сайте")</f>
        <v>фото на сайте</v>
      </c>
    </row>
    <row r="807" spans="1:19" ht="50.1" customHeight="1">
      <c r="A807" s="31"/>
      <c r="B807" s="32" t="s">
        <v>3331</v>
      </c>
      <c r="C807" s="31" t="s">
        <v>400</v>
      </c>
      <c r="D807" s="31" t="s">
        <v>3332</v>
      </c>
      <c r="E807" s="31" t="s">
        <v>3333</v>
      </c>
      <c r="F807" s="31" t="s">
        <v>31</v>
      </c>
      <c r="G807" s="31">
        <v>503</v>
      </c>
      <c r="H807" s="31">
        <v>10</v>
      </c>
      <c r="I807" s="31">
        <v>14</v>
      </c>
      <c r="J807" s="31" t="s">
        <v>3334</v>
      </c>
      <c r="K807" s="31" t="s">
        <v>33</v>
      </c>
      <c r="L807" s="31" t="s">
        <v>34</v>
      </c>
      <c r="M807" s="31">
        <v>288</v>
      </c>
      <c r="N807" s="31">
        <v>2020</v>
      </c>
      <c r="O807" s="31">
        <v>254</v>
      </c>
      <c r="P807" s="31"/>
      <c r="Q807" s="31"/>
      <c r="R807" s="33"/>
      <c r="S807" s="34" t="str">
        <f>HYPERLINK("http://www.cnpol.ru/covers/19374.jpg","фото на сайте")</f>
        <v>фото на сайте</v>
      </c>
    </row>
    <row r="808" spans="1:19" ht="50.1" customHeight="1">
      <c r="A808" s="31"/>
      <c r="B808" s="32" t="s">
        <v>3335</v>
      </c>
      <c r="C808" s="31" t="s">
        <v>400</v>
      </c>
      <c r="D808" s="31" t="s">
        <v>3336</v>
      </c>
      <c r="E808" s="31" t="s">
        <v>3337</v>
      </c>
      <c r="F808" s="31" t="s">
        <v>31</v>
      </c>
      <c r="G808" s="31">
        <v>503</v>
      </c>
      <c r="H808" s="31">
        <v>10</v>
      </c>
      <c r="I808" s="31">
        <v>12</v>
      </c>
      <c r="J808" s="31" t="s">
        <v>3338</v>
      </c>
      <c r="K808" s="31" t="s">
        <v>33</v>
      </c>
      <c r="L808" s="31" t="s">
        <v>34</v>
      </c>
      <c r="M808" s="31">
        <v>350</v>
      </c>
      <c r="N808" s="31">
        <v>2015</v>
      </c>
      <c r="O808" s="31">
        <v>282</v>
      </c>
      <c r="P808" s="31"/>
      <c r="Q808" s="31"/>
      <c r="R808" s="33"/>
      <c r="S808" s="34" t="str">
        <f>HYPERLINK("http://www.cnpol.ru/covers/15964.jpg","фото на сайте")</f>
        <v>фото на сайте</v>
      </c>
    </row>
    <row r="809" spans="1:19" ht="50.1" customHeight="1">
      <c r="A809" s="31"/>
      <c r="B809" s="32" t="s">
        <v>3339</v>
      </c>
      <c r="C809" s="31" t="s">
        <v>126</v>
      </c>
      <c r="D809" s="31" t="s">
        <v>3340</v>
      </c>
      <c r="E809" s="31" t="s">
        <v>3341</v>
      </c>
      <c r="F809" s="31" t="s">
        <v>31</v>
      </c>
      <c r="G809" s="31">
        <v>162</v>
      </c>
      <c r="H809" s="31">
        <v>10</v>
      </c>
      <c r="I809" s="31">
        <v>32</v>
      </c>
      <c r="J809" s="31" t="s">
        <v>3342</v>
      </c>
      <c r="K809" s="31" t="s">
        <v>130</v>
      </c>
      <c r="L809" s="31" t="s">
        <v>56</v>
      </c>
      <c r="M809" s="31">
        <v>159</v>
      </c>
      <c r="N809" s="31">
        <v>2014</v>
      </c>
      <c r="O809" s="31">
        <v>102</v>
      </c>
      <c r="P809" s="31"/>
      <c r="Q809" s="31"/>
      <c r="R809" s="33"/>
      <c r="S809" s="34" t="str">
        <f>HYPERLINK("http://www.cnpol.ru/covers/15647.jpg","фото на сайте")</f>
        <v>фото на сайте</v>
      </c>
    </row>
    <row r="810" spans="1:19" ht="50.1" customHeight="1">
      <c r="A810" s="31"/>
      <c r="B810" s="32" t="s">
        <v>3343</v>
      </c>
      <c r="C810" s="31" t="s">
        <v>630</v>
      </c>
      <c r="D810" s="31" t="s">
        <v>3344</v>
      </c>
      <c r="E810" s="31" t="s">
        <v>3345</v>
      </c>
      <c r="F810" s="31" t="s">
        <v>31</v>
      </c>
      <c r="G810" s="31">
        <v>73</v>
      </c>
      <c r="H810" s="31">
        <v>10</v>
      </c>
      <c r="I810" s="31">
        <v>30</v>
      </c>
      <c r="J810" s="31" t="s">
        <v>3346</v>
      </c>
      <c r="K810" s="31" t="s">
        <v>130</v>
      </c>
      <c r="L810" s="31" t="s">
        <v>56</v>
      </c>
      <c r="M810" s="31">
        <v>139</v>
      </c>
      <c r="N810" s="31">
        <v>2008</v>
      </c>
      <c r="O810" s="31" t="s">
        <v>220</v>
      </c>
      <c r="P810" s="31"/>
      <c r="Q810" s="31"/>
      <c r="R810" s="33"/>
      <c r="S810" s="34" t="str">
        <f>HYPERLINK("http://www.cnpol.ru/covers/10364.jpg","фото на сайте")</f>
        <v>фото на сайте</v>
      </c>
    </row>
    <row r="811" spans="1:19" ht="50.1" customHeight="1">
      <c r="A811" s="31"/>
      <c r="B811" s="32" t="s">
        <v>3347</v>
      </c>
      <c r="C811" s="31" t="s">
        <v>3348</v>
      </c>
      <c r="D811" s="31" t="s">
        <v>3344</v>
      </c>
      <c r="E811" s="31" t="s">
        <v>3349</v>
      </c>
      <c r="F811" s="31" t="s">
        <v>31</v>
      </c>
      <c r="G811" s="31">
        <v>137</v>
      </c>
      <c r="H811" s="31">
        <v>10</v>
      </c>
      <c r="I811" s="31">
        <v>32</v>
      </c>
      <c r="J811" s="31" t="s">
        <v>3350</v>
      </c>
      <c r="K811" s="31" t="s">
        <v>130</v>
      </c>
      <c r="L811" s="31" t="s">
        <v>56</v>
      </c>
      <c r="M811" s="31">
        <v>127</v>
      </c>
      <c r="N811" s="31">
        <v>2009</v>
      </c>
      <c r="O811" s="31">
        <v>82</v>
      </c>
      <c r="P811" s="31"/>
      <c r="Q811" s="31"/>
      <c r="R811" s="33"/>
      <c r="S811" s="34" t="str">
        <f>HYPERLINK("http://www.cnpol.ru/covers/11323.jpg","фото на сайте")</f>
        <v>фото на сайте</v>
      </c>
    </row>
    <row r="812" spans="1:19" ht="50.1" customHeight="1">
      <c r="A812" s="31"/>
      <c r="B812" s="32" t="s">
        <v>3351</v>
      </c>
      <c r="C812" s="31" t="s">
        <v>3352</v>
      </c>
      <c r="D812" s="31" t="s">
        <v>3353</v>
      </c>
      <c r="E812" s="31" t="s">
        <v>3354</v>
      </c>
      <c r="F812" s="31" t="s">
        <v>31</v>
      </c>
      <c r="G812" s="31">
        <v>144</v>
      </c>
      <c r="H812" s="31">
        <v>10</v>
      </c>
      <c r="I812" s="31">
        <v>30</v>
      </c>
      <c r="J812" s="31" t="s">
        <v>3355</v>
      </c>
      <c r="K812" s="31" t="s">
        <v>130</v>
      </c>
      <c r="L812" s="31" t="s">
        <v>56</v>
      </c>
      <c r="M812" s="31">
        <v>156</v>
      </c>
      <c r="N812" s="31">
        <v>2009</v>
      </c>
      <c r="O812" s="31">
        <v>108</v>
      </c>
      <c r="P812" s="31"/>
      <c r="Q812" s="31"/>
      <c r="R812" s="33"/>
      <c r="S812" s="34" t="str">
        <f>HYPERLINK("http://www.cnpol.ru/covers/11336.jpg","фото на сайте")</f>
        <v>фото на сайте</v>
      </c>
    </row>
    <row r="813" spans="1:19" ht="50.1" customHeight="1">
      <c r="A813" s="31" t="s">
        <v>43</v>
      </c>
      <c r="B813" s="32" t="s">
        <v>3356</v>
      </c>
      <c r="C813" s="31" t="s">
        <v>1050</v>
      </c>
      <c r="D813" s="31" t="s">
        <v>3357</v>
      </c>
      <c r="E813" s="31" t="s">
        <v>3358</v>
      </c>
      <c r="F813" s="31" t="s">
        <v>31</v>
      </c>
      <c r="G813" s="31">
        <v>386</v>
      </c>
      <c r="H813" s="31">
        <v>10</v>
      </c>
      <c r="I813" s="31">
        <v>20</v>
      </c>
      <c r="J813" s="31" t="s">
        <v>3359</v>
      </c>
      <c r="K813" s="31" t="s">
        <v>33</v>
      </c>
      <c r="L813" s="31" t="s">
        <v>210</v>
      </c>
      <c r="M813" s="31">
        <v>253</v>
      </c>
      <c r="N813" s="31">
        <v>2024</v>
      </c>
      <c r="O813" s="31">
        <v>194</v>
      </c>
      <c r="P813" s="31"/>
      <c r="Q813" s="31"/>
      <c r="R813" s="33" t="s">
        <v>3360</v>
      </c>
      <c r="S813" s="34" t="str">
        <f>HYPERLINK("http://www.cnpol.ru/covers/21131.jpg","фото на сайте")</f>
        <v>фото на сайте</v>
      </c>
    </row>
    <row r="814" spans="1:19" ht="50.1" customHeight="1">
      <c r="A814" s="31"/>
      <c r="B814" s="32" t="s">
        <v>3361</v>
      </c>
      <c r="C814" s="31" t="s">
        <v>37</v>
      </c>
      <c r="D814" s="31" t="s">
        <v>3362</v>
      </c>
      <c r="E814" s="31" t="s">
        <v>3363</v>
      </c>
      <c r="F814" s="31" t="s">
        <v>31</v>
      </c>
      <c r="G814" s="31">
        <v>593</v>
      </c>
      <c r="H814" s="31">
        <v>10</v>
      </c>
      <c r="I814" s="31">
        <v>10</v>
      </c>
      <c r="J814" s="31" t="s">
        <v>3364</v>
      </c>
      <c r="K814" s="31" t="s">
        <v>33</v>
      </c>
      <c r="L814" s="31" t="s">
        <v>34</v>
      </c>
      <c r="M814" s="31">
        <v>480</v>
      </c>
      <c r="N814" s="31">
        <v>2015</v>
      </c>
      <c r="O814" s="31">
        <v>382</v>
      </c>
      <c r="P814" s="31"/>
      <c r="Q814" s="31"/>
      <c r="R814" s="33"/>
      <c r="S814" s="34" t="str">
        <f>HYPERLINK("http://www.cnpol.ru/covers/16296.jpg","фото на сайте")</f>
        <v>фото на сайте</v>
      </c>
    </row>
    <row r="815" spans="1:19" ht="50.1" customHeight="1">
      <c r="A815" s="31"/>
      <c r="B815" s="32" t="s">
        <v>3365</v>
      </c>
      <c r="C815" s="31" t="s">
        <v>390</v>
      </c>
      <c r="D815" s="31" t="s">
        <v>547</v>
      </c>
      <c r="E815" s="31" t="s">
        <v>3366</v>
      </c>
      <c r="F815" s="31">
        <v>465</v>
      </c>
      <c r="G815" s="31">
        <v>86</v>
      </c>
      <c r="H815" s="31">
        <v>10</v>
      </c>
      <c r="I815" s="31">
        <v>30</v>
      </c>
      <c r="J815" s="31" t="s">
        <v>3367</v>
      </c>
      <c r="K815" s="31" t="s">
        <v>123</v>
      </c>
      <c r="L815" s="31" t="s">
        <v>56</v>
      </c>
      <c r="M815" s="31">
        <v>158</v>
      </c>
      <c r="N815" s="31">
        <v>2014</v>
      </c>
      <c r="O815" s="31">
        <v>76</v>
      </c>
      <c r="P815" s="31"/>
      <c r="Q815" s="31"/>
      <c r="R815" s="33"/>
      <c r="S815" s="34" t="str">
        <f>HYPERLINK("http://www.cnpol.ru/covers/15594.jpg","фото на сайте")</f>
        <v>фото на сайте</v>
      </c>
    </row>
    <row r="816" spans="1:19" ht="50.1" customHeight="1">
      <c r="A816" s="31"/>
      <c r="B816" s="32" t="s">
        <v>3368</v>
      </c>
      <c r="C816" s="31" t="s">
        <v>546</v>
      </c>
      <c r="D816" s="31" t="s">
        <v>765</v>
      </c>
      <c r="E816" s="31" t="s">
        <v>3369</v>
      </c>
      <c r="F816" s="31">
        <v>173</v>
      </c>
      <c r="G816" s="31">
        <v>93</v>
      </c>
      <c r="H816" s="31">
        <v>10</v>
      </c>
      <c r="I816" s="31">
        <v>30</v>
      </c>
      <c r="J816" s="31" t="s">
        <v>3370</v>
      </c>
      <c r="K816" s="31" t="s">
        <v>123</v>
      </c>
      <c r="L816" s="31" t="s">
        <v>56</v>
      </c>
      <c r="M816" s="31">
        <v>160</v>
      </c>
      <c r="N816" s="31">
        <v>2016</v>
      </c>
      <c r="O816" s="31">
        <v>76</v>
      </c>
      <c r="P816" s="31"/>
      <c r="Q816" s="31"/>
      <c r="R816" s="33"/>
      <c r="S816" s="34" t="str">
        <f>HYPERLINK("http://www.cnpol.ru/covers/16809.jpg","фото на сайте")</f>
        <v>фото на сайте</v>
      </c>
    </row>
    <row r="817" spans="1:19" ht="50.1" customHeight="1">
      <c r="A817" s="31"/>
      <c r="B817" s="32" t="s">
        <v>3371</v>
      </c>
      <c r="C817" s="31" t="s">
        <v>576</v>
      </c>
      <c r="D817" s="31" t="s">
        <v>577</v>
      </c>
      <c r="E817" s="31" t="s">
        <v>3372</v>
      </c>
      <c r="F817" s="31" t="s">
        <v>31</v>
      </c>
      <c r="G817" s="31">
        <v>226</v>
      </c>
      <c r="H817" s="31">
        <v>10</v>
      </c>
      <c r="I817" s="31">
        <v>20</v>
      </c>
      <c r="J817" s="31" t="s">
        <v>3373</v>
      </c>
      <c r="K817" s="31" t="s">
        <v>123</v>
      </c>
      <c r="L817" s="31" t="s">
        <v>56</v>
      </c>
      <c r="M817" s="31">
        <v>320</v>
      </c>
      <c r="N817" s="31">
        <v>2017</v>
      </c>
      <c r="O817" s="31">
        <v>150</v>
      </c>
      <c r="P817" s="31"/>
      <c r="Q817" s="31"/>
      <c r="R817" s="33"/>
      <c r="S817" s="34" t="str">
        <f>HYPERLINK("http://www.cnpol.ru/covers/17569.jpg","фото на сайте")</f>
        <v>фото на сайте</v>
      </c>
    </row>
    <row r="818" spans="1:19" ht="50.1" customHeight="1">
      <c r="A818" s="31" t="s">
        <v>43</v>
      </c>
      <c r="B818" s="32" t="s">
        <v>3374</v>
      </c>
      <c r="C818" s="31" t="s">
        <v>688</v>
      </c>
      <c r="D818" s="31" t="s">
        <v>3375</v>
      </c>
      <c r="E818" s="31" t="s">
        <v>3376</v>
      </c>
      <c r="F818" s="31" t="s">
        <v>31</v>
      </c>
      <c r="G818" s="31">
        <v>917</v>
      </c>
      <c r="H818" s="31">
        <v>10</v>
      </c>
      <c r="I818" s="31">
        <v>8</v>
      </c>
      <c r="J818" s="31" t="s">
        <v>3377</v>
      </c>
      <c r="K818" s="31" t="s">
        <v>33</v>
      </c>
      <c r="L818" s="31" t="s">
        <v>34</v>
      </c>
      <c r="M818" s="31">
        <v>319</v>
      </c>
      <c r="N818" s="31">
        <v>2025</v>
      </c>
      <c r="O818" s="31">
        <v>355</v>
      </c>
      <c r="P818" s="31"/>
      <c r="Q818" s="31"/>
      <c r="R818" s="33" t="s">
        <v>3378</v>
      </c>
      <c r="S818" s="34" t="str">
        <f>HYPERLINK("http://www.cnpol.ru/covers/21731.jpg","фото на сайте")</f>
        <v>фото на сайте</v>
      </c>
    </row>
    <row r="819" spans="1:19" ht="50.1" customHeight="1">
      <c r="A819" s="31"/>
      <c r="B819" s="32" t="s">
        <v>3379</v>
      </c>
      <c r="C819" s="31" t="s">
        <v>1301</v>
      </c>
      <c r="D819" s="31" t="s">
        <v>3380</v>
      </c>
      <c r="E819" s="31" t="s">
        <v>3381</v>
      </c>
      <c r="F819" s="31" t="s">
        <v>31</v>
      </c>
      <c r="G819" s="31">
        <v>486</v>
      </c>
      <c r="H819" s="31">
        <v>10</v>
      </c>
      <c r="I819" s="31">
        <v>12</v>
      </c>
      <c r="J819" s="31" t="s">
        <v>3382</v>
      </c>
      <c r="K819" s="31" t="s">
        <v>33</v>
      </c>
      <c r="L819" s="31" t="s">
        <v>34</v>
      </c>
      <c r="M819" s="31">
        <v>352</v>
      </c>
      <c r="N819" s="31">
        <v>2018</v>
      </c>
      <c r="O819" s="31">
        <v>248</v>
      </c>
      <c r="P819" s="31"/>
      <c r="Q819" s="31"/>
      <c r="R819" s="33"/>
      <c r="S819" s="34" t="str">
        <f>HYPERLINK("http://www.cnpol.ru/covers/18192.jpg","фото на сайте")</f>
        <v>фото на сайте</v>
      </c>
    </row>
    <row r="820" spans="1:19" ht="50.1" customHeight="1">
      <c r="A820" s="31"/>
      <c r="B820" s="32" t="s">
        <v>3383</v>
      </c>
      <c r="C820" s="31" t="s">
        <v>3384</v>
      </c>
      <c r="D820" s="31" t="s">
        <v>3385</v>
      </c>
      <c r="E820" s="31" t="s">
        <v>3386</v>
      </c>
      <c r="F820" s="31" t="s">
        <v>31</v>
      </c>
      <c r="G820" s="31">
        <v>389</v>
      </c>
      <c r="H820" s="31">
        <v>10</v>
      </c>
      <c r="I820" s="31">
        <v>16</v>
      </c>
      <c r="J820" s="31" t="s">
        <v>3387</v>
      </c>
      <c r="K820" s="31" t="s">
        <v>3388</v>
      </c>
      <c r="L820" s="31" t="s">
        <v>34</v>
      </c>
      <c r="M820" s="31">
        <v>416</v>
      </c>
      <c r="N820" s="31">
        <v>2017</v>
      </c>
      <c r="O820" s="31">
        <v>185</v>
      </c>
      <c r="P820" s="31"/>
      <c r="Q820" s="31"/>
      <c r="R820" s="33"/>
      <c r="S820" s="34" t="str">
        <f>HYPERLINK("http://www.cnpol.ru/covers/17857.jpg","фото на сайте")</f>
        <v>фото на сайте</v>
      </c>
    </row>
    <row r="821" spans="1:19" ht="50.1" customHeight="1">
      <c r="A821" s="31" t="s">
        <v>35</v>
      </c>
      <c r="B821" s="32" t="s">
        <v>3389</v>
      </c>
      <c r="C821" s="31" t="s">
        <v>37</v>
      </c>
      <c r="D821" s="31" t="s">
        <v>3390</v>
      </c>
      <c r="E821" s="31" t="s">
        <v>3391</v>
      </c>
      <c r="F821" s="31" t="s">
        <v>31</v>
      </c>
      <c r="G821" s="31">
        <v>985</v>
      </c>
      <c r="H821" s="31">
        <v>10</v>
      </c>
      <c r="I821" s="31">
        <v>10</v>
      </c>
      <c r="J821" s="31" t="s">
        <v>3392</v>
      </c>
      <c r="K821" s="31" t="s">
        <v>33</v>
      </c>
      <c r="L821" s="31" t="s">
        <v>34</v>
      </c>
      <c r="M821" s="31">
        <v>352</v>
      </c>
      <c r="N821" s="31">
        <v>2024</v>
      </c>
      <c r="O821" s="31">
        <v>308</v>
      </c>
      <c r="P821" s="31"/>
      <c r="Q821" s="31"/>
      <c r="R821" s="33" t="s">
        <v>3393</v>
      </c>
      <c r="S821" s="34" t="str">
        <f>HYPERLINK("http://www.cnpol.ru/covers/21276.jpg","фото на сайте")</f>
        <v>фото на сайте</v>
      </c>
    </row>
    <row r="822" spans="1:19" ht="50.1" customHeight="1">
      <c r="A822" s="31"/>
      <c r="B822" s="32" t="s">
        <v>3394</v>
      </c>
      <c r="C822" s="31" t="s">
        <v>28</v>
      </c>
      <c r="D822" s="31" t="s">
        <v>1921</v>
      </c>
      <c r="E822" s="31" t="s">
        <v>3395</v>
      </c>
      <c r="F822" s="31" t="s">
        <v>31</v>
      </c>
      <c r="G822" s="31">
        <v>611</v>
      </c>
      <c r="H822" s="31">
        <v>10</v>
      </c>
      <c r="I822" s="31">
        <v>12</v>
      </c>
      <c r="J822" s="31" t="s">
        <v>3396</v>
      </c>
      <c r="K822" s="31" t="s">
        <v>194</v>
      </c>
      <c r="L822" s="31" t="s">
        <v>34</v>
      </c>
      <c r="M822" s="31">
        <v>352</v>
      </c>
      <c r="N822" s="31">
        <v>2019</v>
      </c>
      <c r="O822" s="31">
        <v>314</v>
      </c>
      <c r="P822" s="31"/>
      <c r="Q822" s="31"/>
      <c r="R822" s="33"/>
      <c r="S822" s="34" t="str">
        <f>HYPERLINK("http://www.cnpol.ru/covers/18889.jpg","фото на сайте")</f>
        <v>фото на сайте</v>
      </c>
    </row>
    <row r="823" spans="1:19" ht="50.1" customHeight="1">
      <c r="A823" s="31" t="s">
        <v>43</v>
      </c>
      <c r="B823" s="32" t="s">
        <v>3397</v>
      </c>
      <c r="C823" s="31" t="s">
        <v>3398</v>
      </c>
      <c r="D823" s="31" t="s">
        <v>3399</v>
      </c>
      <c r="E823" s="31" t="s">
        <v>3400</v>
      </c>
      <c r="F823" s="31" t="s">
        <v>31</v>
      </c>
      <c r="G823" s="35">
        <v>1014</v>
      </c>
      <c r="H823" s="31">
        <v>10</v>
      </c>
      <c r="I823" s="31">
        <v>8</v>
      </c>
      <c r="J823" s="31" t="s">
        <v>3401</v>
      </c>
      <c r="K823" s="31" t="s">
        <v>147</v>
      </c>
      <c r="L823" s="31" t="s">
        <v>34</v>
      </c>
      <c r="M823" s="31">
        <v>335</v>
      </c>
      <c r="N823" s="31">
        <v>2024</v>
      </c>
      <c r="O823" s="31">
        <v>152</v>
      </c>
      <c r="P823" s="31"/>
      <c r="Q823" s="31"/>
      <c r="R823" s="33" t="s">
        <v>3402</v>
      </c>
      <c r="S823" s="34" t="str">
        <f>HYPERLINK("http://www.cnpol.ru/covers/21415.jpg","фото на сайте")</f>
        <v>фото на сайте</v>
      </c>
    </row>
    <row r="824" spans="1:19" ht="50.1" customHeight="1">
      <c r="A824" s="31"/>
      <c r="B824" s="32" t="s">
        <v>3403</v>
      </c>
      <c r="C824" s="31" t="s">
        <v>1668</v>
      </c>
      <c r="D824" s="31" t="s">
        <v>1669</v>
      </c>
      <c r="E824" s="31" t="s">
        <v>3404</v>
      </c>
      <c r="F824" s="31" t="s">
        <v>31</v>
      </c>
      <c r="G824" s="31">
        <v>575</v>
      </c>
      <c r="H824" s="31">
        <v>10</v>
      </c>
      <c r="I824" s="31">
        <v>14</v>
      </c>
      <c r="J824" s="31" t="s">
        <v>3405</v>
      </c>
      <c r="K824" s="31" t="s">
        <v>33</v>
      </c>
      <c r="L824" s="31" t="s">
        <v>34</v>
      </c>
      <c r="M824" s="31">
        <v>319</v>
      </c>
      <c r="N824" s="31">
        <v>2023</v>
      </c>
      <c r="O824" s="31">
        <v>280</v>
      </c>
      <c r="P824" s="31"/>
      <c r="Q824" s="31"/>
      <c r="R824" s="33" t="s">
        <v>3406</v>
      </c>
      <c r="S824" s="34" t="str">
        <f>HYPERLINK("http://www.cnpol.ru/covers/20774.jpg","фото на сайте")</f>
        <v>фото на сайте</v>
      </c>
    </row>
    <row r="825" spans="1:19" ht="50.1" customHeight="1">
      <c r="A825" s="31"/>
      <c r="B825" s="32" t="s">
        <v>3407</v>
      </c>
      <c r="C825" s="31" t="s">
        <v>1390</v>
      </c>
      <c r="D825" s="31" t="s">
        <v>1814</v>
      </c>
      <c r="E825" s="31" t="s">
        <v>3408</v>
      </c>
      <c r="F825" s="31" t="s">
        <v>31</v>
      </c>
      <c r="G825" s="35">
        <v>1465</v>
      </c>
      <c r="H825" s="31">
        <v>10</v>
      </c>
      <c r="I825" s="31">
        <v>3</v>
      </c>
      <c r="J825" s="31" t="s">
        <v>3409</v>
      </c>
      <c r="K825" s="31" t="s">
        <v>319</v>
      </c>
      <c r="L825" s="31" t="s">
        <v>34</v>
      </c>
      <c r="M825" s="31">
        <v>623</v>
      </c>
      <c r="N825" s="31">
        <v>2021</v>
      </c>
      <c r="O825" s="31">
        <v>1258</v>
      </c>
      <c r="P825" s="31"/>
      <c r="Q825" s="31"/>
      <c r="R825" s="33"/>
      <c r="S825" s="34" t="str">
        <f>HYPERLINK("http://www.cnpol.ru/covers/20004.jpg","фото на сайте")</f>
        <v>фото на сайте</v>
      </c>
    </row>
    <row r="826" spans="1:19" ht="50.1" customHeight="1">
      <c r="A826" s="31"/>
      <c r="B826" s="32" t="s">
        <v>3410</v>
      </c>
      <c r="C826" s="31" t="s">
        <v>1390</v>
      </c>
      <c r="D826" s="31" t="s">
        <v>1814</v>
      </c>
      <c r="E826" s="31" t="s">
        <v>3411</v>
      </c>
      <c r="F826" s="31" t="s">
        <v>31</v>
      </c>
      <c r="G826" s="35">
        <v>1547</v>
      </c>
      <c r="H826" s="31">
        <v>20</v>
      </c>
      <c r="I826" s="31">
        <v>3</v>
      </c>
      <c r="J826" s="31" t="s">
        <v>3412</v>
      </c>
      <c r="K826" s="31" t="s">
        <v>319</v>
      </c>
      <c r="L826" s="31" t="s">
        <v>34</v>
      </c>
      <c r="M826" s="31">
        <v>623</v>
      </c>
      <c r="N826" s="31">
        <v>2021</v>
      </c>
      <c r="O826" s="31">
        <v>1250</v>
      </c>
      <c r="P826" s="31"/>
      <c r="Q826" s="31"/>
      <c r="R826" s="33"/>
      <c r="S826" s="34" t="str">
        <f>HYPERLINK("http://www.cnpol.ru/covers/20046.jpg","фото на сайте")</f>
        <v>фото на сайте</v>
      </c>
    </row>
    <row r="827" spans="1:19" ht="50.1" customHeight="1">
      <c r="A827" s="31"/>
      <c r="B827" s="32" t="s">
        <v>3413</v>
      </c>
      <c r="C827" s="31" t="s">
        <v>3414</v>
      </c>
      <c r="D827" s="31" t="s">
        <v>3415</v>
      </c>
      <c r="E827" s="31" t="s">
        <v>3416</v>
      </c>
      <c r="F827" s="31" t="s">
        <v>31</v>
      </c>
      <c r="G827" s="31">
        <v>154</v>
      </c>
      <c r="H827" s="31">
        <v>10</v>
      </c>
      <c r="I827" s="31">
        <v>28</v>
      </c>
      <c r="J827" s="31" t="s">
        <v>3417</v>
      </c>
      <c r="K827" s="31" t="s">
        <v>55</v>
      </c>
      <c r="L827" s="31" t="s">
        <v>56</v>
      </c>
      <c r="M827" s="31">
        <v>365</v>
      </c>
      <c r="N827" s="31">
        <v>2001</v>
      </c>
      <c r="O827" s="31">
        <v>148</v>
      </c>
      <c r="P827" s="31"/>
      <c r="Q827" s="31"/>
      <c r="R827" s="33"/>
      <c r="S827" s="34" t="str">
        <f>HYPERLINK("http://www.cnpol.ru/covers/2745.jpg","фото на сайте")</f>
        <v>фото на сайте</v>
      </c>
    </row>
    <row r="828" spans="1:19" ht="50.1" customHeight="1">
      <c r="A828" s="31"/>
      <c r="B828" s="32" t="s">
        <v>3418</v>
      </c>
      <c r="C828" s="31" t="s">
        <v>3414</v>
      </c>
      <c r="D828" s="31" t="s">
        <v>3415</v>
      </c>
      <c r="E828" s="31" t="s">
        <v>3419</v>
      </c>
      <c r="F828" s="31" t="s">
        <v>31</v>
      </c>
      <c r="G828" s="31">
        <v>56</v>
      </c>
      <c r="H828" s="31">
        <v>10</v>
      </c>
      <c r="I828" s="31">
        <v>28</v>
      </c>
      <c r="J828" s="31" t="s">
        <v>3420</v>
      </c>
      <c r="K828" s="31" t="s">
        <v>55</v>
      </c>
      <c r="L828" s="31" t="s">
        <v>56</v>
      </c>
      <c r="M828" s="31">
        <v>380</v>
      </c>
      <c r="N828" s="31">
        <v>2001</v>
      </c>
      <c r="O828" s="31">
        <v>156</v>
      </c>
      <c r="P828" s="31"/>
      <c r="Q828" s="31"/>
      <c r="R828" s="33"/>
      <c r="S828" s="34" t="str">
        <f>HYPERLINK("http://www.cnpol.ru/covers/2744.jpg","фото на сайте")</f>
        <v>фото на сайте</v>
      </c>
    </row>
    <row r="829" spans="1:19" ht="50.1" customHeight="1">
      <c r="A829" s="31"/>
      <c r="B829" s="32" t="s">
        <v>3421</v>
      </c>
      <c r="C829" s="31" t="s">
        <v>3422</v>
      </c>
      <c r="D829" s="31" t="s">
        <v>3415</v>
      </c>
      <c r="E829" s="31" t="s">
        <v>3423</v>
      </c>
      <c r="F829" s="31" t="s">
        <v>31</v>
      </c>
      <c r="G829" s="31">
        <v>154</v>
      </c>
      <c r="H829" s="31">
        <v>10</v>
      </c>
      <c r="I829" s="31">
        <v>20</v>
      </c>
      <c r="J829" s="31" t="s">
        <v>3424</v>
      </c>
      <c r="K829" s="31" t="s">
        <v>55</v>
      </c>
      <c r="L829" s="31" t="s">
        <v>56</v>
      </c>
      <c r="M829" s="31">
        <v>287</v>
      </c>
      <c r="N829" s="31">
        <v>2008</v>
      </c>
      <c r="O829" s="31">
        <v>120</v>
      </c>
      <c r="P829" s="31"/>
      <c r="Q829" s="31"/>
      <c r="R829" s="33"/>
      <c r="S829" s="34" t="str">
        <f>HYPERLINK("http://www.cnpol.ru/covers/7239.jpg","фото на сайте")</f>
        <v>фото на сайте</v>
      </c>
    </row>
    <row r="830" spans="1:19" ht="50.1" customHeight="1">
      <c r="A830" s="31"/>
      <c r="B830" s="32" t="s">
        <v>3425</v>
      </c>
      <c r="C830" s="31" t="s">
        <v>3422</v>
      </c>
      <c r="D830" s="31" t="s">
        <v>3415</v>
      </c>
      <c r="E830" s="31" t="s">
        <v>3426</v>
      </c>
      <c r="F830" s="31" t="s">
        <v>31</v>
      </c>
      <c r="G830" s="31">
        <v>154</v>
      </c>
      <c r="H830" s="31">
        <v>10</v>
      </c>
      <c r="I830" s="31">
        <v>24</v>
      </c>
      <c r="J830" s="31" t="s">
        <v>3427</v>
      </c>
      <c r="K830" s="31" t="s">
        <v>55</v>
      </c>
      <c r="L830" s="31" t="s">
        <v>56</v>
      </c>
      <c r="M830" s="31">
        <v>316</v>
      </c>
      <c r="N830" s="31">
        <v>2007</v>
      </c>
      <c r="O830" s="31">
        <v>138</v>
      </c>
      <c r="P830" s="31"/>
      <c r="Q830" s="31"/>
      <c r="R830" s="33"/>
      <c r="S830" s="34" t="str">
        <f>HYPERLINK("http://www.cnpol.ru/covers/7401.jpg","фото на сайте")</f>
        <v>фото на сайте</v>
      </c>
    </row>
    <row r="831" spans="1:19" ht="50.1" customHeight="1">
      <c r="A831" s="31"/>
      <c r="B831" s="32" t="s">
        <v>3428</v>
      </c>
      <c r="C831" s="31" t="s">
        <v>3429</v>
      </c>
      <c r="D831" s="31" t="s">
        <v>3430</v>
      </c>
      <c r="E831" s="31" t="s">
        <v>3431</v>
      </c>
      <c r="F831" s="31" t="s">
        <v>31</v>
      </c>
      <c r="G831" s="31">
        <v>105</v>
      </c>
      <c r="H831" s="31">
        <v>10</v>
      </c>
      <c r="I831" s="31">
        <v>34</v>
      </c>
      <c r="J831" s="31" t="s">
        <v>3432</v>
      </c>
      <c r="K831" s="31" t="s">
        <v>130</v>
      </c>
      <c r="L831" s="31" t="s">
        <v>56</v>
      </c>
      <c r="M831" s="31">
        <v>207</v>
      </c>
      <c r="N831" s="31">
        <v>2002</v>
      </c>
      <c r="O831" s="31">
        <v>130</v>
      </c>
      <c r="P831" s="31"/>
      <c r="Q831" s="31"/>
      <c r="R831" s="33"/>
      <c r="S831" s="34" t="str">
        <f>HYPERLINK("http://www.cnpol.ru/covers/3022.jpg","фото на сайте")</f>
        <v>фото на сайте</v>
      </c>
    </row>
    <row r="832" spans="1:19" ht="50.1" customHeight="1">
      <c r="A832" s="31"/>
      <c r="B832" s="32" t="s">
        <v>3433</v>
      </c>
      <c r="C832" s="31" t="s">
        <v>3434</v>
      </c>
      <c r="D832" s="31" t="s">
        <v>3435</v>
      </c>
      <c r="E832" s="31" t="s">
        <v>3436</v>
      </c>
      <c r="F832" s="31" t="s">
        <v>31</v>
      </c>
      <c r="G832" s="31">
        <v>353</v>
      </c>
      <c r="H832" s="31">
        <v>10</v>
      </c>
      <c r="I832" s="31">
        <v>14</v>
      </c>
      <c r="J832" s="31" t="s">
        <v>3437</v>
      </c>
      <c r="K832" s="31" t="s">
        <v>33</v>
      </c>
      <c r="L832" s="31" t="s">
        <v>34</v>
      </c>
      <c r="M832" s="31">
        <v>315</v>
      </c>
      <c r="N832" s="31">
        <v>2014</v>
      </c>
      <c r="O832" s="31">
        <v>270</v>
      </c>
      <c r="P832" s="31"/>
      <c r="Q832" s="31"/>
      <c r="R832" s="33"/>
      <c r="S832" s="34" t="str">
        <f>HYPERLINK("http://www.cnpol.ru/covers/15206.jpg","фото на сайте")</f>
        <v>фото на сайте</v>
      </c>
    </row>
    <row r="833" spans="1:19" ht="50.1" customHeight="1">
      <c r="A833" s="31"/>
      <c r="B833" s="32" t="s">
        <v>3438</v>
      </c>
      <c r="C833" s="31" t="s">
        <v>2420</v>
      </c>
      <c r="D833" s="31" t="s">
        <v>3439</v>
      </c>
      <c r="E833" s="31" t="s">
        <v>3440</v>
      </c>
      <c r="F833" s="31" t="s">
        <v>31</v>
      </c>
      <c r="G833" s="31">
        <v>88</v>
      </c>
      <c r="H833" s="31">
        <v>10</v>
      </c>
      <c r="I833" s="31">
        <v>30</v>
      </c>
      <c r="J833" s="31" t="s">
        <v>3441</v>
      </c>
      <c r="K833" s="31" t="s">
        <v>123</v>
      </c>
      <c r="L833" s="31" t="s">
        <v>56</v>
      </c>
      <c r="M833" s="31">
        <v>175</v>
      </c>
      <c r="N833" s="31">
        <v>2007</v>
      </c>
      <c r="O833" s="31">
        <v>82</v>
      </c>
      <c r="P833" s="31"/>
      <c r="Q833" s="31"/>
      <c r="R833" s="33"/>
      <c r="S833" s="34" t="str">
        <f>HYPERLINK("http://www.cnpol.ru/covers/7325.jpg","фото на сайте")</f>
        <v>фото на сайте</v>
      </c>
    </row>
    <row r="834" spans="1:19" ht="50.1" customHeight="1">
      <c r="A834" s="31"/>
      <c r="B834" s="32" t="s">
        <v>3442</v>
      </c>
      <c r="C834" s="31" t="s">
        <v>400</v>
      </c>
      <c r="D834" s="31" t="s">
        <v>3260</v>
      </c>
      <c r="E834" s="31" t="s">
        <v>3443</v>
      </c>
      <c r="F834" s="31" t="s">
        <v>31</v>
      </c>
      <c r="G834" s="31">
        <v>503</v>
      </c>
      <c r="H834" s="31">
        <v>10</v>
      </c>
      <c r="I834" s="31">
        <v>10</v>
      </c>
      <c r="J834" s="31" t="s">
        <v>3444</v>
      </c>
      <c r="K834" s="31" t="s">
        <v>33</v>
      </c>
      <c r="L834" s="31" t="s">
        <v>34</v>
      </c>
      <c r="M834" s="31">
        <v>448</v>
      </c>
      <c r="N834" s="31">
        <v>2017</v>
      </c>
      <c r="O834" s="31">
        <v>338</v>
      </c>
      <c r="P834" s="31"/>
      <c r="Q834" s="31"/>
      <c r="R834" s="33"/>
      <c r="S834" s="34" t="str">
        <f>HYPERLINK("http://www.cnpol.ru/covers/17760.jpg","фото на сайте")</f>
        <v>фото на сайте</v>
      </c>
    </row>
    <row r="835" spans="1:19" ht="50.1" customHeight="1">
      <c r="A835" s="31"/>
      <c r="B835" s="32" t="s">
        <v>3445</v>
      </c>
      <c r="C835" s="31" t="s">
        <v>3446</v>
      </c>
      <c r="D835" s="31" t="s">
        <v>1324</v>
      </c>
      <c r="E835" s="31" t="s">
        <v>3447</v>
      </c>
      <c r="F835" s="31" t="s">
        <v>31</v>
      </c>
      <c r="G835" s="31">
        <v>675</v>
      </c>
      <c r="H835" s="31">
        <v>10</v>
      </c>
      <c r="I835" s="31">
        <v>12</v>
      </c>
      <c r="J835" s="31" t="s">
        <v>3448</v>
      </c>
      <c r="K835" s="31" t="s">
        <v>33</v>
      </c>
      <c r="L835" s="31" t="s">
        <v>34</v>
      </c>
      <c r="M835" s="31">
        <v>415</v>
      </c>
      <c r="N835" s="31">
        <v>2022</v>
      </c>
      <c r="O835" s="31">
        <v>436</v>
      </c>
      <c r="P835" s="31"/>
      <c r="Q835" s="31"/>
      <c r="R835" s="33" t="s">
        <v>3449</v>
      </c>
      <c r="S835" s="34" t="str">
        <f>HYPERLINK("http://www.cnpol.ru/covers/20471.jpg","фото на сайте")</f>
        <v>фото на сайте</v>
      </c>
    </row>
    <row r="836" spans="1:19" ht="50.1" customHeight="1">
      <c r="A836" s="31"/>
      <c r="B836" s="32" t="s">
        <v>3450</v>
      </c>
      <c r="C836" s="31" t="s">
        <v>390</v>
      </c>
      <c r="D836" s="31" t="s">
        <v>414</v>
      </c>
      <c r="E836" s="31" t="s">
        <v>3451</v>
      </c>
      <c r="F836" s="31">
        <v>625</v>
      </c>
      <c r="G836" s="31">
        <v>86</v>
      </c>
      <c r="H836" s="31">
        <v>10</v>
      </c>
      <c r="I836" s="31">
        <v>30</v>
      </c>
      <c r="J836" s="31" t="s">
        <v>3452</v>
      </c>
      <c r="K836" s="31" t="s">
        <v>123</v>
      </c>
      <c r="L836" s="31" t="s">
        <v>56</v>
      </c>
      <c r="M836" s="31">
        <v>160</v>
      </c>
      <c r="N836" s="31">
        <v>2016</v>
      </c>
      <c r="O836" s="31">
        <v>76</v>
      </c>
      <c r="P836" s="31"/>
      <c r="Q836" s="31"/>
      <c r="R836" s="33"/>
      <c r="S836" s="34" t="str">
        <f>HYPERLINK("http://www.cnpol.ru/covers/16808.jpg","фото на сайте")</f>
        <v>фото на сайте</v>
      </c>
    </row>
    <row r="837" spans="1:19" ht="50.1" customHeight="1">
      <c r="A837" s="31"/>
      <c r="B837" s="32" t="s">
        <v>3453</v>
      </c>
      <c r="C837" s="31" t="s">
        <v>1940</v>
      </c>
      <c r="D837" s="31" t="s">
        <v>3454</v>
      </c>
      <c r="E837" s="31" t="s">
        <v>3455</v>
      </c>
      <c r="F837" s="31" t="s">
        <v>31</v>
      </c>
      <c r="G837" s="31">
        <v>154</v>
      </c>
      <c r="H837" s="31">
        <v>10</v>
      </c>
      <c r="I837" s="31">
        <v>24</v>
      </c>
      <c r="J837" s="31" t="s">
        <v>3456</v>
      </c>
      <c r="K837" s="31" t="s">
        <v>55</v>
      </c>
      <c r="L837" s="31" t="s">
        <v>56</v>
      </c>
      <c r="M837" s="31">
        <v>317</v>
      </c>
      <c r="N837" s="31">
        <v>2008</v>
      </c>
      <c r="O837" s="31">
        <v>132</v>
      </c>
      <c r="P837" s="31"/>
      <c r="Q837" s="31"/>
      <c r="R837" s="33"/>
      <c r="S837" s="34" t="str">
        <f>HYPERLINK("http://www.cnpol.ru/covers/7814.jpg","фото на сайте")</f>
        <v>фото на сайте</v>
      </c>
    </row>
    <row r="838" spans="1:19" ht="50.1" customHeight="1">
      <c r="A838" s="31"/>
      <c r="B838" s="32" t="s">
        <v>3457</v>
      </c>
      <c r="C838" s="31" t="s">
        <v>45</v>
      </c>
      <c r="D838" s="31" t="s">
        <v>3458</v>
      </c>
      <c r="E838" s="31" t="s">
        <v>3459</v>
      </c>
      <c r="F838" s="31" t="s">
        <v>31</v>
      </c>
      <c r="G838" s="31">
        <v>640</v>
      </c>
      <c r="H838" s="31">
        <v>10</v>
      </c>
      <c r="I838" s="31">
        <v>12</v>
      </c>
      <c r="J838" s="31" t="s">
        <v>3460</v>
      </c>
      <c r="K838" s="31" t="s">
        <v>33</v>
      </c>
      <c r="L838" s="31" t="s">
        <v>34</v>
      </c>
      <c r="M838" s="31">
        <v>352</v>
      </c>
      <c r="N838" s="31">
        <v>2014</v>
      </c>
      <c r="O838" s="31">
        <v>274</v>
      </c>
      <c r="P838" s="31"/>
      <c r="Q838" s="31"/>
      <c r="R838" s="33"/>
      <c r="S838" s="34" t="str">
        <f>HYPERLINK("http://www.cnpol.ru/covers/14881.jpg","фото на сайте")</f>
        <v>фото на сайте</v>
      </c>
    </row>
    <row r="839" spans="1:19" ht="50.1" customHeight="1">
      <c r="A839" s="31" t="s">
        <v>43</v>
      </c>
      <c r="B839" s="32" t="s">
        <v>3461</v>
      </c>
      <c r="C839" s="31" t="s">
        <v>746</v>
      </c>
      <c r="D839" s="31" t="s">
        <v>3462</v>
      </c>
      <c r="E839" s="31" t="s">
        <v>3463</v>
      </c>
      <c r="F839" s="31" t="s">
        <v>31</v>
      </c>
      <c r="G839" s="31">
        <v>562</v>
      </c>
      <c r="H839" s="31">
        <v>10</v>
      </c>
      <c r="I839" s="31">
        <v>18</v>
      </c>
      <c r="J839" s="31" t="s">
        <v>3464</v>
      </c>
      <c r="K839" s="31" t="s">
        <v>33</v>
      </c>
      <c r="L839" s="31" t="s">
        <v>34</v>
      </c>
      <c r="M839" s="31">
        <v>287</v>
      </c>
      <c r="N839" s="31">
        <v>2024</v>
      </c>
      <c r="O839" s="31">
        <v>360</v>
      </c>
      <c r="P839" s="31"/>
      <c r="Q839" s="31"/>
      <c r="R839" s="33" t="s">
        <v>3465</v>
      </c>
      <c r="S839" s="34" t="str">
        <f>HYPERLINK("http://www.cnpol.ru/covers/21251.jpg","фото на сайте")</f>
        <v>фото на сайте</v>
      </c>
    </row>
    <row r="840" spans="1:19" ht="50.1" customHeight="1">
      <c r="A840" s="31"/>
      <c r="B840" s="32" t="s">
        <v>3466</v>
      </c>
      <c r="C840" s="31" t="s">
        <v>3384</v>
      </c>
      <c r="D840" s="31" t="s">
        <v>3385</v>
      </c>
      <c r="E840" s="31" t="s">
        <v>3467</v>
      </c>
      <c r="F840" s="31" t="s">
        <v>31</v>
      </c>
      <c r="G840" s="31">
        <v>389</v>
      </c>
      <c r="H840" s="31">
        <v>10</v>
      </c>
      <c r="I840" s="31">
        <v>18</v>
      </c>
      <c r="J840" s="31" t="s">
        <v>3468</v>
      </c>
      <c r="K840" s="31" t="s">
        <v>3388</v>
      </c>
      <c r="L840" s="31" t="s">
        <v>34</v>
      </c>
      <c r="M840" s="31">
        <v>384</v>
      </c>
      <c r="N840" s="31">
        <v>2017</v>
      </c>
      <c r="O840" s="31">
        <v>174</v>
      </c>
      <c r="P840" s="31"/>
      <c r="Q840" s="31"/>
      <c r="R840" s="33"/>
      <c r="S840" s="34" t="str">
        <f>HYPERLINK("http://www.cnpol.ru/covers/17856.jpg","фото на сайте")</f>
        <v>фото на сайте</v>
      </c>
    </row>
    <row r="841" spans="1:19" ht="50.1" customHeight="1">
      <c r="A841" s="31"/>
      <c r="B841" s="32" t="s">
        <v>3469</v>
      </c>
      <c r="C841" s="31" t="s">
        <v>3384</v>
      </c>
      <c r="D841" s="31" t="s">
        <v>3385</v>
      </c>
      <c r="E841" s="31" t="s">
        <v>3470</v>
      </c>
      <c r="F841" s="31" t="s">
        <v>31</v>
      </c>
      <c r="G841" s="31">
        <v>425</v>
      </c>
      <c r="H841" s="31">
        <v>10</v>
      </c>
      <c r="I841" s="31">
        <v>14</v>
      </c>
      <c r="J841" s="31" t="s">
        <v>3471</v>
      </c>
      <c r="K841" s="31" t="s">
        <v>3388</v>
      </c>
      <c r="L841" s="31" t="s">
        <v>34</v>
      </c>
      <c r="M841" s="31">
        <v>512</v>
      </c>
      <c r="N841" s="31">
        <v>2017</v>
      </c>
      <c r="O841" s="31">
        <v>218</v>
      </c>
      <c r="P841" s="31"/>
      <c r="Q841" s="31"/>
      <c r="R841" s="33"/>
      <c r="S841" s="34" t="str">
        <f>HYPERLINK("http://www.cnpol.ru/covers/17873.jpg","фото на сайте")</f>
        <v>фото на сайте</v>
      </c>
    </row>
    <row r="842" spans="1:19" ht="50.1" customHeight="1">
      <c r="A842" s="31"/>
      <c r="B842" s="32" t="s">
        <v>3472</v>
      </c>
      <c r="C842" s="31" t="s">
        <v>479</v>
      </c>
      <c r="D842" s="31" t="s">
        <v>3473</v>
      </c>
      <c r="E842" s="31" t="s">
        <v>3474</v>
      </c>
      <c r="F842" s="31" t="s">
        <v>31</v>
      </c>
      <c r="G842" s="31">
        <v>209</v>
      </c>
      <c r="H842" s="31">
        <v>10</v>
      </c>
      <c r="I842" s="31">
        <v>20</v>
      </c>
      <c r="J842" s="31" t="s">
        <v>3475</v>
      </c>
      <c r="K842" s="31" t="s">
        <v>130</v>
      </c>
      <c r="L842" s="31" t="s">
        <v>56</v>
      </c>
      <c r="M842" s="31">
        <v>319</v>
      </c>
      <c r="N842" s="31">
        <v>2015</v>
      </c>
      <c r="O842" s="31">
        <v>192</v>
      </c>
      <c r="P842" s="31"/>
      <c r="Q842" s="31"/>
      <c r="R842" s="33"/>
      <c r="S842" s="34" t="str">
        <f>HYPERLINK("http://www.cnpol.ru/covers/16145.jpg","фото на сайте")</f>
        <v>фото на сайте</v>
      </c>
    </row>
    <row r="843" spans="1:19" ht="50.1" customHeight="1">
      <c r="A843" s="31"/>
      <c r="B843" s="32" t="s">
        <v>3476</v>
      </c>
      <c r="C843" s="31" t="s">
        <v>143</v>
      </c>
      <c r="D843" s="31" t="s">
        <v>3477</v>
      </c>
      <c r="E843" s="31" t="s">
        <v>3478</v>
      </c>
      <c r="F843" s="31" t="s">
        <v>31</v>
      </c>
      <c r="G843" s="31">
        <v>843</v>
      </c>
      <c r="H843" s="31">
        <v>10</v>
      </c>
      <c r="I843" s="31">
        <v>12</v>
      </c>
      <c r="J843" s="31" t="s">
        <v>3479</v>
      </c>
      <c r="K843" s="31" t="s">
        <v>33</v>
      </c>
      <c r="L843" s="31" t="s">
        <v>34</v>
      </c>
      <c r="M843" s="31">
        <v>479</v>
      </c>
      <c r="N843" s="31">
        <v>2012</v>
      </c>
      <c r="O843" s="31">
        <v>500</v>
      </c>
      <c r="P843" s="31"/>
      <c r="Q843" s="31"/>
      <c r="R843" s="33"/>
      <c r="S843" s="34" t="str">
        <f>HYPERLINK("http://www.cnpol.ru/covers/13439.jpg","фото на сайте")</f>
        <v>фото на сайте</v>
      </c>
    </row>
    <row r="844" spans="1:19" ht="50.1" customHeight="1">
      <c r="A844" s="31" t="s">
        <v>43</v>
      </c>
      <c r="B844" s="32" t="s">
        <v>3480</v>
      </c>
      <c r="C844" s="31" t="s">
        <v>413</v>
      </c>
      <c r="D844" s="31" t="s">
        <v>1435</v>
      </c>
      <c r="E844" s="31" t="s">
        <v>3481</v>
      </c>
      <c r="F844" s="31">
        <v>193</v>
      </c>
      <c r="G844" s="31">
        <v>117</v>
      </c>
      <c r="H844" s="31">
        <v>10</v>
      </c>
      <c r="I844" s="31">
        <v>20</v>
      </c>
      <c r="J844" s="31" t="s">
        <v>3482</v>
      </c>
      <c r="K844" s="31" t="s">
        <v>123</v>
      </c>
      <c r="L844" s="31" t="s">
        <v>56</v>
      </c>
      <c r="M844" s="31">
        <v>191</v>
      </c>
      <c r="N844" s="31">
        <v>2024</v>
      </c>
      <c r="O844" s="31">
        <v>90</v>
      </c>
      <c r="P844" s="31"/>
      <c r="Q844" s="31"/>
      <c r="R844" s="33" t="s">
        <v>3483</v>
      </c>
      <c r="S844" s="34" t="str">
        <f>HYPERLINK("http://www.cnpol.ru/covers/21203.jpg","фото на сайте")</f>
        <v>фото на сайте</v>
      </c>
    </row>
    <row r="845" spans="1:19" ht="50.1" customHeight="1">
      <c r="A845" s="31" t="s">
        <v>43</v>
      </c>
      <c r="B845" s="32" t="s">
        <v>3484</v>
      </c>
      <c r="C845" s="31" t="s">
        <v>454</v>
      </c>
      <c r="D845" s="31" t="s">
        <v>3485</v>
      </c>
      <c r="E845" s="31" t="s">
        <v>3486</v>
      </c>
      <c r="F845" s="31" t="s">
        <v>31</v>
      </c>
      <c r="G845" s="31">
        <v>917</v>
      </c>
      <c r="H845" s="31">
        <v>10</v>
      </c>
      <c r="I845" s="31">
        <v>5</v>
      </c>
      <c r="J845" s="31" t="s">
        <v>3487</v>
      </c>
      <c r="K845" s="31" t="s">
        <v>33</v>
      </c>
      <c r="L845" s="31" t="s">
        <v>34</v>
      </c>
      <c r="M845" s="31">
        <v>286</v>
      </c>
      <c r="N845" s="31">
        <v>2025</v>
      </c>
      <c r="O845" s="31" t="s">
        <v>220</v>
      </c>
      <c r="P845" s="31"/>
      <c r="Q845" s="31"/>
      <c r="R845" s="33" t="s">
        <v>3488</v>
      </c>
      <c r="S845" s="34" t="str">
        <f>HYPERLINK("http://www.cnpol.ru/covers/21793.jpg","фото на сайте")</f>
        <v>фото на сайте</v>
      </c>
    </row>
    <row r="846" spans="1:19" ht="50.1" customHeight="1">
      <c r="A846" s="31"/>
      <c r="B846" s="32" t="s">
        <v>3489</v>
      </c>
      <c r="C846" s="31" t="s">
        <v>37</v>
      </c>
      <c r="D846" s="31" t="s">
        <v>3490</v>
      </c>
      <c r="E846" s="31" t="s">
        <v>3491</v>
      </c>
      <c r="F846" s="31" t="s">
        <v>31</v>
      </c>
      <c r="G846" s="31">
        <v>640</v>
      </c>
      <c r="H846" s="31">
        <v>10</v>
      </c>
      <c r="I846" s="31">
        <v>8</v>
      </c>
      <c r="J846" s="31" t="s">
        <v>3492</v>
      </c>
      <c r="K846" s="31" t="s">
        <v>33</v>
      </c>
      <c r="L846" s="31" t="s">
        <v>34</v>
      </c>
      <c r="M846" s="31">
        <v>480</v>
      </c>
      <c r="N846" s="31">
        <v>2017</v>
      </c>
      <c r="O846" s="31">
        <v>422</v>
      </c>
      <c r="P846" s="31"/>
      <c r="Q846" s="31"/>
      <c r="R846" s="33"/>
      <c r="S846" s="34" t="str">
        <f>HYPERLINK("http://www.cnpol.ru/covers/17413.jpg","фото на сайте")</f>
        <v>фото на сайте</v>
      </c>
    </row>
    <row r="847" spans="1:19" ht="50.1" customHeight="1">
      <c r="A847" s="31"/>
      <c r="B847" s="32" t="s">
        <v>3493</v>
      </c>
      <c r="C847" s="31" t="s">
        <v>37</v>
      </c>
      <c r="D847" s="31" t="s">
        <v>3490</v>
      </c>
      <c r="E847" s="31" t="s">
        <v>3494</v>
      </c>
      <c r="F847" s="31" t="s">
        <v>31</v>
      </c>
      <c r="G847" s="31">
        <v>640</v>
      </c>
      <c r="H847" s="31">
        <v>10</v>
      </c>
      <c r="I847" s="31">
        <v>8</v>
      </c>
      <c r="J847" s="31" t="s">
        <v>3495</v>
      </c>
      <c r="K847" s="31" t="s">
        <v>33</v>
      </c>
      <c r="L847" s="31" t="s">
        <v>34</v>
      </c>
      <c r="M847" s="31">
        <v>608</v>
      </c>
      <c r="N847" s="31">
        <v>2018</v>
      </c>
      <c r="O847" s="31">
        <v>556</v>
      </c>
      <c r="P847" s="31"/>
      <c r="Q847" s="31"/>
      <c r="R847" s="33"/>
      <c r="S847" s="34" t="str">
        <f>HYPERLINK("http://www.cnpol.ru/covers/18355.jpg","фото на сайте")</f>
        <v>фото на сайте</v>
      </c>
    </row>
    <row r="848" spans="1:19" ht="50.1" customHeight="1">
      <c r="A848" s="31"/>
      <c r="B848" s="32" t="s">
        <v>3496</v>
      </c>
      <c r="C848" s="31" t="s">
        <v>3497</v>
      </c>
      <c r="D848" s="31" t="s">
        <v>3498</v>
      </c>
      <c r="E848" s="31" t="s">
        <v>3499</v>
      </c>
      <c r="F848" s="31" t="s">
        <v>31</v>
      </c>
      <c r="G848" s="31">
        <v>685</v>
      </c>
      <c r="H848" s="31">
        <v>10</v>
      </c>
      <c r="I848" s="31">
        <v>16</v>
      </c>
      <c r="J848" s="31" t="s">
        <v>3500</v>
      </c>
      <c r="K848" s="31" t="s">
        <v>158</v>
      </c>
      <c r="L848" s="31" t="s">
        <v>34</v>
      </c>
      <c r="M848" s="31">
        <v>351</v>
      </c>
      <c r="N848" s="31">
        <v>2023</v>
      </c>
      <c r="O848" s="31">
        <v>326</v>
      </c>
      <c r="P848" s="31"/>
      <c r="Q848" s="31"/>
      <c r="R848" s="33" t="s">
        <v>3501</v>
      </c>
      <c r="S848" s="34" t="str">
        <f>HYPERLINK("http://www.cnpol.ru/covers/20687.jpg","фото на сайте")</f>
        <v>фото на сайте</v>
      </c>
    </row>
    <row r="849" spans="1:19" ht="50.1" customHeight="1">
      <c r="A849" s="31"/>
      <c r="B849" s="32" t="s">
        <v>3502</v>
      </c>
      <c r="C849" s="31" t="s">
        <v>400</v>
      </c>
      <c r="D849" s="31" t="s">
        <v>3503</v>
      </c>
      <c r="E849" s="31" t="s">
        <v>3504</v>
      </c>
      <c r="F849" s="31" t="s">
        <v>31</v>
      </c>
      <c r="G849" s="31">
        <v>503</v>
      </c>
      <c r="H849" s="31">
        <v>10</v>
      </c>
      <c r="I849" s="31">
        <v>14</v>
      </c>
      <c r="J849" s="31" t="s">
        <v>3505</v>
      </c>
      <c r="K849" s="31" t="s">
        <v>33</v>
      </c>
      <c r="L849" s="31" t="s">
        <v>34</v>
      </c>
      <c r="M849" s="31">
        <v>287</v>
      </c>
      <c r="N849" s="31">
        <v>2021</v>
      </c>
      <c r="O849" s="31">
        <v>252</v>
      </c>
      <c r="P849" s="31"/>
      <c r="Q849" s="31"/>
      <c r="R849" s="33"/>
      <c r="S849" s="34" t="str">
        <f>HYPERLINK("http://www.cnpol.ru/covers/19454.jpg","фото на сайте")</f>
        <v>фото на сайте</v>
      </c>
    </row>
    <row r="850" spans="1:19" ht="50.1" customHeight="1">
      <c r="A850" s="31"/>
      <c r="B850" s="32" t="s">
        <v>3506</v>
      </c>
      <c r="C850" s="31" t="s">
        <v>390</v>
      </c>
      <c r="D850" s="31" t="s">
        <v>3507</v>
      </c>
      <c r="E850" s="31" t="s">
        <v>3508</v>
      </c>
      <c r="F850" s="31">
        <v>783</v>
      </c>
      <c r="G850" s="31">
        <v>86</v>
      </c>
      <c r="H850" s="31">
        <v>10</v>
      </c>
      <c r="I850" s="31">
        <v>30</v>
      </c>
      <c r="J850" s="31" t="s">
        <v>3509</v>
      </c>
      <c r="K850" s="31" t="s">
        <v>123</v>
      </c>
      <c r="L850" s="31" t="s">
        <v>56</v>
      </c>
      <c r="M850" s="31">
        <v>160</v>
      </c>
      <c r="N850" s="31">
        <v>2018</v>
      </c>
      <c r="O850" s="31">
        <v>76</v>
      </c>
      <c r="P850" s="31"/>
      <c r="Q850" s="31"/>
      <c r="R850" s="33"/>
      <c r="S850" s="34" t="str">
        <f>HYPERLINK("http://www.cnpol.ru/covers/17902.jpg","фото на сайте")</f>
        <v>фото на сайте</v>
      </c>
    </row>
    <row r="851" spans="1:19" ht="50.1" customHeight="1">
      <c r="A851" s="31"/>
      <c r="B851" s="32" t="s">
        <v>3510</v>
      </c>
      <c r="C851" s="31" t="s">
        <v>143</v>
      </c>
      <c r="D851" s="31" t="s">
        <v>3511</v>
      </c>
      <c r="E851" s="31" t="s">
        <v>3512</v>
      </c>
      <c r="F851" s="31" t="s">
        <v>31</v>
      </c>
      <c r="G851" s="31">
        <v>917</v>
      </c>
      <c r="H851" s="31">
        <v>10</v>
      </c>
      <c r="I851" s="31">
        <v>8</v>
      </c>
      <c r="J851" s="31" t="s">
        <v>3513</v>
      </c>
      <c r="K851" s="31" t="s">
        <v>33</v>
      </c>
      <c r="L851" s="31" t="s">
        <v>34</v>
      </c>
      <c r="M851" s="31">
        <v>319</v>
      </c>
      <c r="N851" s="31">
        <v>2023</v>
      </c>
      <c r="O851" s="31">
        <v>315</v>
      </c>
      <c r="P851" s="31"/>
      <c r="Q851" s="31"/>
      <c r="R851" s="33" t="s">
        <v>3514</v>
      </c>
      <c r="S851" s="34" t="str">
        <f>HYPERLINK("http://www.cnpol.ru/covers/20574.jpg","фото на сайте")</f>
        <v>фото на сайте</v>
      </c>
    </row>
    <row r="852" spans="1:19" ht="50.1" customHeight="1">
      <c r="A852" s="31"/>
      <c r="B852" s="32" t="s">
        <v>3515</v>
      </c>
      <c r="C852" s="31" t="s">
        <v>143</v>
      </c>
      <c r="D852" s="31" t="s">
        <v>3516</v>
      </c>
      <c r="E852" s="31" t="s">
        <v>3517</v>
      </c>
      <c r="F852" s="31" t="s">
        <v>31</v>
      </c>
      <c r="G852" s="35">
        <v>1075</v>
      </c>
      <c r="H852" s="31">
        <v>10</v>
      </c>
      <c r="I852" s="31">
        <v>6</v>
      </c>
      <c r="J852" s="31" t="s">
        <v>3518</v>
      </c>
      <c r="K852" s="31" t="s">
        <v>41</v>
      </c>
      <c r="L852" s="31" t="s">
        <v>34</v>
      </c>
      <c r="M852" s="31">
        <v>720</v>
      </c>
      <c r="N852" s="31">
        <v>2021</v>
      </c>
      <c r="O852" s="31">
        <v>754</v>
      </c>
      <c r="P852" s="31"/>
      <c r="Q852" s="31"/>
      <c r="R852" s="33"/>
      <c r="S852" s="34" t="str">
        <f>HYPERLINK("http://www.cnpol.ru/covers/19604.jpg","фото на сайте")</f>
        <v>фото на сайте</v>
      </c>
    </row>
    <row r="853" spans="1:19" ht="50.1" customHeight="1">
      <c r="A853" s="31"/>
      <c r="B853" s="32" t="s">
        <v>3519</v>
      </c>
      <c r="C853" s="31" t="s">
        <v>400</v>
      </c>
      <c r="D853" s="31" t="s">
        <v>3520</v>
      </c>
      <c r="E853" s="31" t="s">
        <v>3521</v>
      </c>
      <c r="F853" s="31" t="s">
        <v>31</v>
      </c>
      <c r="G853" s="31">
        <v>503</v>
      </c>
      <c r="H853" s="31">
        <v>10</v>
      </c>
      <c r="I853" s="31">
        <v>14</v>
      </c>
      <c r="J853" s="31" t="s">
        <v>3522</v>
      </c>
      <c r="K853" s="31" t="s">
        <v>33</v>
      </c>
      <c r="L853" s="31" t="s">
        <v>34</v>
      </c>
      <c r="M853" s="31">
        <v>288</v>
      </c>
      <c r="N853" s="31">
        <v>2020</v>
      </c>
      <c r="O853" s="31">
        <v>238</v>
      </c>
      <c r="P853" s="31"/>
      <c r="Q853" s="31"/>
      <c r="R853" s="33"/>
      <c r="S853" s="34" t="str">
        <f>HYPERLINK("http://www.cnpol.ru/covers/19054.jpg","фото на сайте")</f>
        <v>фото на сайте</v>
      </c>
    </row>
    <row r="854" spans="1:19" ht="50.1" customHeight="1">
      <c r="A854" s="31" t="s">
        <v>43</v>
      </c>
      <c r="B854" s="32" t="s">
        <v>3523</v>
      </c>
      <c r="C854" s="31" t="s">
        <v>37</v>
      </c>
      <c r="D854" s="31" t="s">
        <v>3524</v>
      </c>
      <c r="E854" s="31" t="s">
        <v>3525</v>
      </c>
      <c r="F854" s="31" t="s">
        <v>31</v>
      </c>
      <c r="G854" s="35">
        <v>1046</v>
      </c>
      <c r="H854" s="31">
        <v>10</v>
      </c>
      <c r="I854" s="31">
        <v>5</v>
      </c>
      <c r="J854" s="31" t="s">
        <v>3526</v>
      </c>
      <c r="K854" s="31" t="s">
        <v>33</v>
      </c>
      <c r="L854" s="31" t="s">
        <v>34</v>
      </c>
      <c r="M854" s="31">
        <v>394</v>
      </c>
      <c r="N854" s="31">
        <v>2023</v>
      </c>
      <c r="O854" s="31">
        <v>376</v>
      </c>
      <c r="P854" s="31"/>
      <c r="Q854" s="31"/>
      <c r="R854" s="33" t="s">
        <v>3527</v>
      </c>
      <c r="S854" s="34" t="str">
        <f>HYPERLINK("http://www.cnpol.ru/covers/21702.jpg","фото на сайте")</f>
        <v>фото на сайте</v>
      </c>
    </row>
    <row r="855" spans="1:19" ht="50.1" customHeight="1">
      <c r="A855" s="31"/>
      <c r="B855" s="32" t="s">
        <v>3528</v>
      </c>
      <c r="C855" s="31" t="s">
        <v>1611</v>
      </c>
      <c r="D855" s="31" t="s">
        <v>236</v>
      </c>
      <c r="E855" s="31" t="s">
        <v>3529</v>
      </c>
      <c r="F855" s="31" t="s">
        <v>31</v>
      </c>
      <c r="G855" s="31">
        <v>268</v>
      </c>
      <c r="H855" s="31">
        <v>10</v>
      </c>
      <c r="I855" s="31">
        <v>20</v>
      </c>
      <c r="J855" s="31" t="s">
        <v>3530</v>
      </c>
      <c r="K855" s="31" t="s">
        <v>130</v>
      </c>
      <c r="L855" s="31" t="s">
        <v>56</v>
      </c>
      <c r="M855" s="31">
        <v>317</v>
      </c>
      <c r="N855" s="31">
        <v>2012</v>
      </c>
      <c r="O855" s="31">
        <v>192</v>
      </c>
      <c r="P855" s="31"/>
      <c r="Q855" s="31"/>
      <c r="R855" s="33"/>
      <c r="S855" s="34" t="str">
        <f>HYPERLINK("http://www.cnpol.ru/covers/13678.jpg","фото на сайте")</f>
        <v>фото на сайте</v>
      </c>
    </row>
    <row r="856" spans="1:19" ht="50.1" customHeight="1">
      <c r="A856" s="31"/>
      <c r="B856" s="32" t="s">
        <v>3531</v>
      </c>
      <c r="C856" s="31" t="s">
        <v>1611</v>
      </c>
      <c r="D856" s="31" t="s">
        <v>236</v>
      </c>
      <c r="E856" s="31" t="s">
        <v>3529</v>
      </c>
      <c r="F856" s="31" t="s">
        <v>31</v>
      </c>
      <c r="G856" s="31">
        <v>268</v>
      </c>
      <c r="H856" s="31">
        <v>10</v>
      </c>
      <c r="I856" s="31">
        <v>16</v>
      </c>
      <c r="J856" s="31" t="s">
        <v>3532</v>
      </c>
      <c r="K856" s="31" t="s">
        <v>130</v>
      </c>
      <c r="L856" s="31" t="s">
        <v>56</v>
      </c>
      <c r="M856" s="31">
        <v>320</v>
      </c>
      <c r="N856" s="31">
        <v>2021</v>
      </c>
      <c r="O856" s="31">
        <v>200</v>
      </c>
      <c r="P856" s="31"/>
      <c r="Q856" s="31"/>
      <c r="R856" s="33"/>
      <c r="S856" s="34" t="str">
        <f>HYPERLINK("http://www.cnpol.ru/covers/19587.jpg","фото на сайте")</f>
        <v>фото на сайте</v>
      </c>
    </row>
    <row r="857" spans="1:19" ht="50.1" customHeight="1">
      <c r="A857" s="31" t="s">
        <v>35</v>
      </c>
      <c r="B857" s="32" t="s">
        <v>3533</v>
      </c>
      <c r="C857" s="31" t="s">
        <v>1016</v>
      </c>
      <c r="D857" s="31" t="s">
        <v>3534</v>
      </c>
      <c r="E857" s="31" t="s">
        <v>3535</v>
      </c>
      <c r="F857" s="31" t="s">
        <v>31</v>
      </c>
      <c r="G857" s="31">
        <v>771</v>
      </c>
      <c r="H857" s="31">
        <v>10</v>
      </c>
      <c r="I857" s="31">
        <v>6</v>
      </c>
      <c r="J857" s="31" t="s">
        <v>3536</v>
      </c>
      <c r="K857" s="31" t="s">
        <v>33</v>
      </c>
      <c r="L857" s="31" t="s">
        <v>34</v>
      </c>
      <c r="M857" s="31">
        <v>318</v>
      </c>
      <c r="N857" s="31">
        <v>2025</v>
      </c>
      <c r="O857" s="31">
        <v>320</v>
      </c>
      <c r="P857" s="31"/>
      <c r="Q857" s="31"/>
      <c r="R857" s="33" t="s">
        <v>3537</v>
      </c>
      <c r="S857" s="34" t="str">
        <f>HYPERLINK("http://www.cnpol.ru/covers/21736.jpg","фото на сайте")</f>
        <v>фото на сайте</v>
      </c>
    </row>
    <row r="858" spans="1:19" ht="50.1" customHeight="1">
      <c r="A858" s="31"/>
      <c r="B858" s="32" t="s">
        <v>3538</v>
      </c>
      <c r="C858" s="31" t="s">
        <v>479</v>
      </c>
      <c r="D858" s="31" t="s">
        <v>3539</v>
      </c>
      <c r="E858" s="31" t="s">
        <v>3540</v>
      </c>
      <c r="F858" s="31" t="s">
        <v>31</v>
      </c>
      <c r="G858" s="31">
        <v>539</v>
      </c>
      <c r="H858" s="31">
        <v>10</v>
      </c>
      <c r="I858" s="31">
        <v>14</v>
      </c>
      <c r="J858" s="31" t="s">
        <v>3541</v>
      </c>
      <c r="K858" s="31" t="s">
        <v>33</v>
      </c>
      <c r="L858" s="31" t="s">
        <v>34</v>
      </c>
      <c r="M858" s="31">
        <v>320</v>
      </c>
      <c r="N858" s="31">
        <v>2017</v>
      </c>
      <c r="O858" s="31">
        <v>272</v>
      </c>
      <c r="P858" s="31"/>
      <c r="Q858" s="31"/>
      <c r="R858" s="33"/>
      <c r="S858" s="34" t="str">
        <f>HYPERLINK("http://www.cnpol.ru/covers/17808.jpg","фото на сайте")</f>
        <v>фото на сайте</v>
      </c>
    </row>
    <row r="859" spans="1:19" ht="50.1" customHeight="1">
      <c r="A859" s="31" t="s">
        <v>43</v>
      </c>
      <c r="B859" s="32" t="s">
        <v>3542</v>
      </c>
      <c r="C859" s="31" t="s">
        <v>37</v>
      </c>
      <c r="D859" s="31" t="s">
        <v>3543</v>
      </c>
      <c r="E859" s="31" t="s">
        <v>3544</v>
      </c>
      <c r="F859" s="31" t="s">
        <v>31</v>
      </c>
      <c r="G859" s="35">
        <v>1350</v>
      </c>
      <c r="H859" s="31">
        <v>10</v>
      </c>
      <c r="I859" s="31">
        <v>8</v>
      </c>
      <c r="J859" s="31" t="s">
        <v>3545</v>
      </c>
      <c r="K859" s="31" t="s">
        <v>33</v>
      </c>
      <c r="L859" s="31" t="s">
        <v>34</v>
      </c>
      <c r="M859" s="31">
        <v>573</v>
      </c>
      <c r="N859" s="31">
        <v>2025</v>
      </c>
      <c r="O859" s="31">
        <v>410</v>
      </c>
      <c r="P859" s="31"/>
      <c r="Q859" s="31"/>
      <c r="R859" s="33" t="s">
        <v>3546</v>
      </c>
      <c r="S859" s="34" t="str">
        <f>HYPERLINK("http://www.cnpol.ru/covers/21407.jpg","фото на сайте")</f>
        <v>фото на сайте</v>
      </c>
    </row>
    <row r="860" spans="1:19" ht="50.1" customHeight="1">
      <c r="A860" s="31"/>
      <c r="B860" s="32" t="s">
        <v>3547</v>
      </c>
      <c r="C860" s="31" t="s">
        <v>400</v>
      </c>
      <c r="D860" s="31" t="s">
        <v>785</v>
      </c>
      <c r="E860" s="31" t="s">
        <v>3548</v>
      </c>
      <c r="F860" s="31" t="s">
        <v>31</v>
      </c>
      <c r="G860" s="31">
        <v>503</v>
      </c>
      <c r="H860" s="31">
        <v>10</v>
      </c>
      <c r="I860" s="31">
        <v>14</v>
      </c>
      <c r="J860" s="31" t="s">
        <v>3549</v>
      </c>
      <c r="K860" s="31" t="s">
        <v>33</v>
      </c>
      <c r="L860" s="31" t="s">
        <v>34</v>
      </c>
      <c r="M860" s="31">
        <v>288</v>
      </c>
      <c r="N860" s="31">
        <v>2016</v>
      </c>
      <c r="O860" s="31">
        <v>254</v>
      </c>
      <c r="P860" s="31"/>
      <c r="Q860" s="31"/>
      <c r="R860" s="33"/>
      <c r="S860" s="34" t="str">
        <f>HYPERLINK("http://www.cnpol.ru/covers/16856.jpg","фото на сайте")</f>
        <v>фото на сайте</v>
      </c>
    </row>
    <row r="861" spans="1:19" ht="50.1" customHeight="1">
      <c r="A861" s="31" t="s">
        <v>43</v>
      </c>
      <c r="B861" s="32" t="s">
        <v>3550</v>
      </c>
      <c r="C861" s="31" t="s">
        <v>688</v>
      </c>
      <c r="D861" s="31" t="s">
        <v>3551</v>
      </c>
      <c r="E861" s="31" t="s">
        <v>3552</v>
      </c>
      <c r="F861" s="31" t="s">
        <v>31</v>
      </c>
      <c r="G861" s="31">
        <v>771</v>
      </c>
      <c r="H861" s="31">
        <v>10</v>
      </c>
      <c r="I861" s="31">
        <v>10</v>
      </c>
      <c r="J861" s="31" t="s">
        <v>3553</v>
      </c>
      <c r="K861" s="31" t="s">
        <v>33</v>
      </c>
      <c r="L861" s="31" t="s">
        <v>34</v>
      </c>
      <c r="M861" s="31">
        <v>255</v>
      </c>
      <c r="N861" s="31">
        <v>2025</v>
      </c>
      <c r="O861" s="31">
        <v>445</v>
      </c>
      <c r="P861" s="31"/>
      <c r="Q861" s="31"/>
      <c r="R861" s="33" t="s">
        <v>3554</v>
      </c>
      <c r="S861" s="34" t="str">
        <f>HYPERLINK("http://www.cnpol.ru/covers/21733.jpg","фото на сайте")</f>
        <v>фото на сайте</v>
      </c>
    </row>
    <row r="862" spans="1:19" ht="50.1" customHeight="1">
      <c r="A862" s="31"/>
      <c r="B862" s="32" t="s">
        <v>3555</v>
      </c>
      <c r="C862" s="31" t="s">
        <v>400</v>
      </c>
      <c r="D862" s="31" t="s">
        <v>1369</v>
      </c>
      <c r="E862" s="31" t="s">
        <v>3556</v>
      </c>
      <c r="F862" s="31" t="s">
        <v>31</v>
      </c>
      <c r="G862" s="31">
        <v>503</v>
      </c>
      <c r="H862" s="31">
        <v>10</v>
      </c>
      <c r="I862" s="31">
        <v>12</v>
      </c>
      <c r="J862" s="31" t="s">
        <v>3557</v>
      </c>
      <c r="K862" s="31" t="s">
        <v>1938</v>
      </c>
      <c r="L862" s="31" t="s">
        <v>34</v>
      </c>
      <c r="M862" s="31">
        <v>317</v>
      </c>
      <c r="N862" s="31">
        <v>2014</v>
      </c>
      <c r="O862" s="31">
        <v>262</v>
      </c>
      <c r="P862" s="31"/>
      <c r="Q862" s="31"/>
      <c r="R862" s="33"/>
      <c r="S862" s="34" t="str">
        <f>HYPERLINK("http://www.cnpol.ru/covers/15016.jpg","фото на сайте")</f>
        <v>фото на сайте</v>
      </c>
    </row>
    <row r="863" spans="1:19" ht="50.1" customHeight="1">
      <c r="A863" s="31"/>
      <c r="B863" s="32" t="s">
        <v>3558</v>
      </c>
      <c r="C863" s="31" t="s">
        <v>418</v>
      </c>
      <c r="D863" s="31" t="s">
        <v>2343</v>
      </c>
      <c r="E863" s="31" t="s">
        <v>3559</v>
      </c>
      <c r="F863" s="31">
        <v>103</v>
      </c>
      <c r="G863" s="31">
        <v>153</v>
      </c>
      <c r="H863" s="31">
        <v>10</v>
      </c>
      <c r="I863" s="31">
        <v>28</v>
      </c>
      <c r="J863" s="31" t="s">
        <v>3560</v>
      </c>
      <c r="K863" s="31" t="s">
        <v>123</v>
      </c>
      <c r="L863" s="31" t="s">
        <v>56</v>
      </c>
      <c r="M863" s="31">
        <v>256</v>
      </c>
      <c r="N863" s="31">
        <v>2019</v>
      </c>
      <c r="O863" s="31">
        <v>116</v>
      </c>
      <c r="P863" s="31"/>
      <c r="Q863" s="31"/>
      <c r="R863" s="33"/>
      <c r="S863" s="34" t="str">
        <f>HYPERLINK("http://www.cnpol.ru/covers/18895.jpg","фото на сайте")</f>
        <v>фото на сайте</v>
      </c>
    </row>
    <row r="864" spans="1:19" ht="50.1" customHeight="1">
      <c r="A864" s="31"/>
      <c r="B864" s="32" t="s">
        <v>3561</v>
      </c>
      <c r="C864" s="31" t="s">
        <v>546</v>
      </c>
      <c r="D864" s="31" t="s">
        <v>1842</v>
      </c>
      <c r="E864" s="31" t="s">
        <v>3562</v>
      </c>
      <c r="F864" s="31">
        <v>157</v>
      </c>
      <c r="G864" s="31">
        <v>93</v>
      </c>
      <c r="H864" s="31">
        <v>10</v>
      </c>
      <c r="I864" s="31">
        <v>30</v>
      </c>
      <c r="J864" s="31" t="s">
        <v>3563</v>
      </c>
      <c r="K864" s="31" t="s">
        <v>123</v>
      </c>
      <c r="L864" s="31" t="s">
        <v>56</v>
      </c>
      <c r="M864" s="31">
        <v>160</v>
      </c>
      <c r="N864" s="31">
        <v>2016</v>
      </c>
      <c r="O864" s="31">
        <v>76</v>
      </c>
      <c r="P864" s="31"/>
      <c r="Q864" s="31"/>
      <c r="R864" s="33"/>
      <c r="S864" s="34" t="str">
        <f>HYPERLINK("http://www.cnpol.ru/covers/16574.jpg","фото на сайте")</f>
        <v>фото на сайте</v>
      </c>
    </row>
    <row r="865" spans="1:19" ht="50.1" customHeight="1">
      <c r="A865" s="31"/>
      <c r="B865" s="32" t="s">
        <v>3564</v>
      </c>
      <c r="C865" s="31" t="s">
        <v>413</v>
      </c>
      <c r="D865" s="31" t="s">
        <v>2285</v>
      </c>
      <c r="E865" s="31" t="s">
        <v>3565</v>
      </c>
      <c r="F865" s="31">
        <v>101</v>
      </c>
      <c r="G865" s="31">
        <v>117</v>
      </c>
      <c r="H865" s="31">
        <v>10</v>
      </c>
      <c r="I865" s="31">
        <v>36</v>
      </c>
      <c r="J865" s="31" t="s">
        <v>3566</v>
      </c>
      <c r="K865" s="31" t="s">
        <v>55</v>
      </c>
      <c r="L865" s="31" t="s">
        <v>56</v>
      </c>
      <c r="M865" s="31">
        <v>192</v>
      </c>
      <c r="N865" s="31">
        <v>2016</v>
      </c>
      <c r="O865" s="31">
        <v>90</v>
      </c>
      <c r="P865" s="31"/>
      <c r="Q865" s="31"/>
      <c r="R865" s="33"/>
      <c r="S865" s="34" t="str">
        <f>HYPERLINK("http://www.cnpol.ru/covers/16693.jpg","фото на сайте")</f>
        <v>фото на сайте</v>
      </c>
    </row>
    <row r="866" spans="1:19" ht="50.1" customHeight="1">
      <c r="A866" s="31"/>
      <c r="B866" s="32" t="s">
        <v>3567</v>
      </c>
      <c r="C866" s="31" t="s">
        <v>828</v>
      </c>
      <c r="D866" s="31" t="s">
        <v>182</v>
      </c>
      <c r="E866" s="31" t="s">
        <v>3568</v>
      </c>
      <c r="F866" s="31" t="s">
        <v>31</v>
      </c>
      <c r="G866" s="31">
        <v>640</v>
      </c>
      <c r="H866" s="31">
        <v>10</v>
      </c>
      <c r="I866" s="31">
        <v>16</v>
      </c>
      <c r="J866" s="31" t="s">
        <v>3569</v>
      </c>
      <c r="K866" s="31" t="s">
        <v>33</v>
      </c>
      <c r="L866" s="31" t="s">
        <v>34</v>
      </c>
      <c r="M866" s="31">
        <v>266</v>
      </c>
      <c r="N866" s="31">
        <v>2008</v>
      </c>
      <c r="O866" s="31">
        <v>352</v>
      </c>
      <c r="P866" s="31"/>
      <c r="Q866" s="31"/>
      <c r="R866" s="33"/>
      <c r="S866" s="34" t="str">
        <f>HYPERLINK("http://www.cnpol.ru/covers/10245.jpg","фото на сайте")</f>
        <v>фото на сайте</v>
      </c>
    </row>
    <row r="867" spans="1:19" ht="50.1" customHeight="1">
      <c r="A867" s="31"/>
      <c r="B867" s="32" t="s">
        <v>3570</v>
      </c>
      <c r="C867" s="31" t="s">
        <v>418</v>
      </c>
      <c r="D867" s="31" t="s">
        <v>2501</v>
      </c>
      <c r="E867" s="31" t="s">
        <v>3571</v>
      </c>
      <c r="F867" s="31">
        <v>69</v>
      </c>
      <c r="G867" s="31">
        <v>153</v>
      </c>
      <c r="H867" s="31">
        <v>10</v>
      </c>
      <c r="I867" s="31">
        <v>26</v>
      </c>
      <c r="J867" s="31" t="s">
        <v>3572</v>
      </c>
      <c r="K867" s="31" t="s">
        <v>123</v>
      </c>
      <c r="L867" s="31" t="s">
        <v>56</v>
      </c>
      <c r="M867" s="31">
        <v>256</v>
      </c>
      <c r="N867" s="31">
        <v>2017</v>
      </c>
      <c r="O867" s="31">
        <v>118</v>
      </c>
      <c r="P867" s="31"/>
      <c r="Q867" s="31"/>
      <c r="R867" s="33"/>
      <c r="S867" s="34" t="str">
        <f>HYPERLINK("http://www.cnpol.ru/covers/17382.jpg","фото на сайте")</f>
        <v>фото на сайте</v>
      </c>
    </row>
    <row r="868" spans="1:19" ht="50.1" customHeight="1">
      <c r="A868" s="31"/>
      <c r="B868" s="32" t="s">
        <v>3573</v>
      </c>
      <c r="C868" s="31" t="s">
        <v>1611</v>
      </c>
      <c r="D868" s="31" t="s">
        <v>534</v>
      </c>
      <c r="E868" s="31" t="s">
        <v>3574</v>
      </c>
      <c r="F868" s="31" t="s">
        <v>31</v>
      </c>
      <c r="G868" s="31">
        <v>441</v>
      </c>
      <c r="H868" s="31">
        <v>10</v>
      </c>
      <c r="I868" s="31">
        <v>24</v>
      </c>
      <c r="J868" s="31" t="s">
        <v>3575</v>
      </c>
      <c r="K868" s="31" t="s">
        <v>3388</v>
      </c>
      <c r="L868" s="31" t="s">
        <v>34</v>
      </c>
      <c r="M868" s="31">
        <v>416</v>
      </c>
      <c r="N868" s="31">
        <v>2016</v>
      </c>
      <c r="O868" s="31">
        <v>226</v>
      </c>
      <c r="P868" s="31"/>
      <c r="Q868" s="31"/>
      <c r="R868" s="33"/>
      <c r="S868" s="34" t="str">
        <f>HYPERLINK("http://www.cnpol.ru/covers/16962.jpg","фото на сайте")</f>
        <v>фото на сайте</v>
      </c>
    </row>
    <row r="869" spans="1:19" ht="50.1" customHeight="1">
      <c r="A869" s="31"/>
      <c r="B869" s="32" t="s">
        <v>3576</v>
      </c>
      <c r="C869" s="31" t="s">
        <v>1003</v>
      </c>
      <c r="D869" s="31" t="s">
        <v>1004</v>
      </c>
      <c r="E869" s="31" t="s">
        <v>3577</v>
      </c>
      <c r="F869" s="31" t="s">
        <v>31</v>
      </c>
      <c r="G869" s="31">
        <v>122</v>
      </c>
      <c r="H869" s="31">
        <v>10</v>
      </c>
      <c r="I869" s="31">
        <v>40</v>
      </c>
      <c r="J869" s="31" t="s">
        <v>3578</v>
      </c>
      <c r="K869" s="31" t="s">
        <v>123</v>
      </c>
      <c r="L869" s="31" t="s">
        <v>56</v>
      </c>
      <c r="M869" s="31">
        <v>128</v>
      </c>
      <c r="N869" s="31">
        <v>2016</v>
      </c>
      <c r="O869" s="31">
        <v>60</v>
      </c>
      <c r="P869" s="31"/>
      <c r="Q869" s="31"/>
      <c r="R869" s="33"/>
      <c r="S869" s="34" t="str">
        <f>HYPERLINK("http://www.cnpol.ru/covers/16835.jpg","фото на сайте")</f>
        <v>фото на сайте</v>
      </c>
    </row>
    <row r="870" spans="1:19" ht="50.1" customHeight="1">
      <c r="A870" s="31"/>
      <c r="B870" s="32" t="s">
        <v>3579</v>
      </c>
      <c r="C870" s="31" t="s">
        <v>1265</v>
      </c>
      <c r="D870" s="31" t="s">
        <v>1266</v>
      </c>
      <c r="E870" s="31" t="s">
        <v>3580</v>
      </c>
      <c r="F870" s="31" t="s">
        <v>31</v>
      </c>
      <c r="G870" s="31">
        <v>88</v>
      </c>
      <c r="H870" s="31">
        <v>10</v>
      </c>
      <c r="I870" s="31">
        <v>40</v>
      </c>
      <c r="J870" s="31" t="s">
        <v>3581</v>
      </c>
      <c r="K870" s="31" t="s">
        <v>123</v>
      </c>
      <c r="L870" s="31" t="s">
        <v>56</v>
      </c>
      <c r="M870" s="31">
        <v>125</v>
      </c>
      <c r="N870" s="31">
        <v>2009</v>
      </c>
      <c r="O870" s="31">
        <v>62</v>
      </c>
      <c r="P870" s="31"/>
      <c r="Q870" s="31"/>
      <c r="R870" s="33"/>
      <c r="S870" s="34" t="str">
        <f>HYPERLINK("http://www.cnpol.ru/covers/11279.jpg","фото на сайте")</f>
        <v>фото на сайте</v>
      </c>
    </row>
    <row r="871" spans="1:19" ht="50.1" customHeight="1">
      <c r="A871" s="31"/>
      <c r="B871" s="32" t="s">
        <v>3582</v>
      </c>
      <c r="C871" s="31" t="s">
        <v>143</v>
      </c>
      <c r="D871" s="31" t="s">
        <v>3583</v>
      </c>
      <c r="E871" s="31" t="s">
        <v>3584</v>
      </c>
      <c r="F871" s="31" t="s">
        <v>31</v>
      </c>
      <c r="G871" s="31">
        <v>468</v>
      </c>
      <c r="H871" s="31">
        <v>10</v>
      </c>
      <c r="I871" s="31">
        <v>14</v>
      </c>
      <c r="J871" s="31" t="s">
        <v>3585</v>
      </c>
      <c r="K871" s="31" t="s">
        <v>33</v>
      </c>
      <c r="L871" s="31" t="s">
        <v>34</v>
      </c>
      <c r="M871" s="31">
        <v>287</v>
      </c>
      <c r="N871" s="31">
        <v>2022</v>
      </c>
      <c r="O871" s="31">
        <v>370</v>
      </c>
      <c r="P871" s="31"/>
      <c r="Q871" s="31"/>
      <c r="R871" s="33" t="s">
        <v>3586</v>
      </c>
      <c r="S871" s="34" t="str">
        <f>HYPERLINK("http://www.cnpol.ru/covers/20430.jpg","фото на сайте")</f>
        <v>фото на сайте</v>
      </c>
    </row>
    <row r="872" spans="1:19" ht="50.1" customHeight="1">
      <c r="A872" s="31"/>
      <c r="B872" s="32" t="s">
        <v>3587</v>
      </c>
      <c r="C872" s="31" t="s">
        <v>385</v>
      </c>
      <c r="D872" s="31" t="s">
        <v>386</v>
      </c>
      <c r="E872" s="31" t="s">
        <v>3588</v>
      </c>
      <c r="F872" s="31" t="s">
        <v>31</v>
      </c>
      <c r="G872" s="31">
        <v>162</v>
      </c>
      <c r="H872" s="31">
        <v>10</v>
      </c>
      <c r="I872" s="31">
        <v>32</v>
      </c>
      <c r="J872" s="31" t="s">
        <v>3589</v>
      </c>
      <c r="K872" s="31" t="s">
        <v>55</v>
      </c>
      <c r="L872" s="31" t="s">
        <v>56</v>
      </c>
      <c r="M872" s="31">
        <v>256</v>
      </c>
      <c r="N872" s="31">
        <v>2016</v>
      </c>
      <c r="O872" s="31">
        <v>108</v>
      </c>
      <c r="P872" s="31"/>
      <c r="Q872" s="31"/>
      <c r="R872" s="33"/>
      <c r="S872" s="34" t="str">
        <f>HYPERLINK("http://www.cnpol.ru/covers/0172.jpg","фото на сайте")</f>
        <v>фото на сайте</v>
      </c>
    </row>
    <row r="873" spans="1:19" ht="50.1" customHeight="1">
      <c r="A873" s="31"/>
      <c r="B873" s="32" t="s">
        <v>3590</v>
      </c>
      <c r="C873" s="31" t="s">
        <v>297</v>
      </c>
      <c r="D873" s="31" t="s">
        <v>1096</v>
      </c>
      <c r="E873" s="31" t="s">
        <v>3591</v>
      </c>
      <c r="F873" s="31" t="s">
        <v>31</v>
      </c>
      <c r="G873" s="31">
        <v>300</v>
      </c>
      <c r="H873" s="31">
        <v>10</v>
      </c>
      <c r="I873" s="31">
        <v>18</v>
      </c>
      <c r="J873" s="31" t="s">
        <v>3592</v>
      </c>
      <c r="K873" s="31" t="s">
        <v>300</v>
      </c>
      <c r="L873" s="31" t="s">
        <v>56</v>
      </c>
      <c r="M873" s="31">
        <v>384</v>
      </c>
      <c r="N873" s="31">
        <v>2018</v>
      </c>
      <c r="O873" s="31">
        <v>192</v>
      </c>
      <c r="P873" s="31"/>
      <c r="Q873" s="31"/>
      <c r="R873" s="33"/>
      <c r="S873" s="34" t="str">
        <f>HYPERLINK("http://www.cnpol.ru/covers/18185.jpg","фото на сайте")</f>
        <v>фото на сайте</v>
      </c>
    </row>
    <row r="874" spans="1:19" ht="50.1" customHeight="1">
      <c r="A874" s="31"/>
      <c r="B874" s="32" t="s">
        <v>3593</v>
      </c>
      <c r="C874" s="31" t="s">
        <v>302</v>
      </c>
      <c r="D874" s="31" t="s">
        <v>1096</v>
      </c>
      <c r="E874" s="31" t="s">
        <v>3591</v>
      </c>
      <c r="F874" s="31" t="s">
        <v>31</v>
      </c>
      <c r="G874" s="31">
        <v>917</v>
      </c>
      <c r="H874" s="31">
        <v>10</v>
      </c>
      <c r="I874" s="31">
        <v>14</v>
      </c>
      <c r="J874" s="31" t="s">
        <v>3594</v>
      </c>
      <c r="K874" s="31" t="s">
        <v>41</v>
      </c>
      <c r="L874" s="31" t="s">
        <v>304</v>
      </c>
      <c r="M874" s="31">
        <v>352</v>
      </c>
      <c r="N874" s="31">
        <v>2016</v>
      </c>
      <c r="O874" s="31">
        <v>474</v>
      </c>
      <c r="P874" s="31"/>
      <c r="Q874" s="31"/>
      <c r="R874" s="33"/>
      <c r="S874" s="34" t="str">
        <f>HYPERLINK("http://www.cnpol.ru/covers/16646.jpg","фото на сайте")</f>
        <v>фото на сайте</v>
      </c>
    </row>
    <row r="875" spans="1:19" ht="50.1" customHeight="1">
      <c r="A875" s="31"/>
      <c r="B875" s="32" t="s">
        <v>3595</v>
      </c>
      <c r="C875" s="31" t="s">
        <v>408</v>
      </c>
      <c r="D875" s="31" t="s">
        <v>757</v>
      </c>
      <c r="E875" s="31" t="s">
        <v>3596</v>
      </c>
      <c r="F875" s="31" t="s">
        <v>31</v>
      </c>
      <c r="G875" s="31">
        <v>640</v>
      </c>
      <c r="H875" s="31">
        <v>10</v>
      </c>
      <c r="I875" s="31">
        <v>16</v>
      </c>
      <c r="J875" s="31" t="s">
        <v>3597</v>
      </c>
      <c r="K875" s="31" t="s">
        <v>33</v>
      </c>
      <c r="L875" s="31" t="s">
        <v>34</v>
      </c>
      <c r="M875" s="31">
        <v>224</v>
      </c>
      <c r="N875" s="31">
        <v>2021</v>
      </c>
      <c r="O875" s="31">
        <v>310</v>
      </c>
      <c r="P875" s="31"/>
      <c r="Q875" s="31"/>
      <c r="R875" s="33"/>
      <c r="S875" s="34" t="str">
        <f>HYPERLINK("http://www.cnpol.ru/covers/19516.jpg","фото на сайте")</f>
        <v>фото на сайте</v>
      </c>
    </row>
    <row r="876" spans="1:19" ht="50.1" customHeight="1">
      <c r="A876" s="31"/>
      <c r="B876" s="32" t="s">
        <v>3598</v>
      </c>
      <c r="C876" s="31" t="s">
        <v>479</v>
      </c>
      <c r="D876" s="31" t="s">
        <v>3599</v>
      </c>
      <c r="E876" s="31" t="s">
        <v>3600</v>
      </c>
      <c r="F876" s="31" t="s">
        <v>31</v>
      </c>
      <c r="G876" s="31">
        <v>730</v>
      </c>
      <c r="H876" s="31">
        <v>10</v>
      </c>
      <c r="I876" s="31">
        <v>14</v>
      </c>
      <c r="J876" s="31" t="s">
        <v>3601</v>
      </c>
      <c r="K876" s="31" t="s">
        <v>33</v>
      </c>
      <c r="L876" s="31" t="s">
        <v>34</v>
      </c>
      <c r="M876" s="31">
        <v>352</v>
      </c>
      <c r="N876" s="31">
        <v>2016</v>
      </c>
      <c r="O876" s="31">
        <v>388</v>
      </c>
      <c r="P876" s="31"/>
      <c r="Q876" s="31"/>
      <c r="R876" s="33"/>
      <c r="S876" s="34" t="str">
        <f>HYPERLINK("http://www.cnpol.ru/covers/16913.jpg","фото на сайте")</f>
        <v>фото на сайте</v>
      </c>
    </row>
    <row r="877" spans="1:19" ht="50.1" customHeight="1">
      <c r="A877" s="31"/>
      <c r="B877" s="32" t="s">
        <v>3602</v>
      </c>
      <c r="C877" s="31" t="s">
        <v>28</v>
      </c>
      <c r="D877" s="31" t="s">
        <v>2822</v>
      </c>
      <c r="E877" s="31" t="s">
        <v>3603</v>
      </c>
      <c r="F877" s="31" t="s">
        <v>31</v>
      </c>
      <c r="G877" s="31">
        <v>773</v>
      </c>
      <c r="H877" s="31">
        <v>10</v>
      </c>
      <c r="I877" s="31">
        <v>18</v>
      </c>
      <c r="J877" s="31" t="s">
        <v>3604</v>
      </c>
      <c r="K877" s="31" t="s">
        <v>33</v>
      </c>
      <c r="L877" s="31" t="s">
        <v>34</v>
      </c>
      <c r="M877" s="31">
        <v>320</v>
      </c>
      <c r="N877" s="31">
        <v>2016</v>
      </c>
      <c r="O877" s="31">
        <v>354</v>
      </c>
      <c r="P877" s="31"/>
      <c r="Q877" s="31"/>
      <c r="R877" s="33"/>
      <c r="S877" s="34" t="str">
        <f>HYPERLINK("http://www.cnpol.ru/covers/16591.jpg","фото на сайте")</f>
        <v>фото на сайте</v>
      </c>
    </row>
    <row r="878" spans="1:19" ht="50.1" customHeight="1">
      <c r="A878" s="31"/>
      <c r="B878" s="32" t="s">
        <v>3605</v>
      </c>
      <c r="C878" s="31" t="s">
        <v>546</v>
      </c>
      <c r="D878" s="31" t="s">
        <v>3606</v>
      </c>
      <c r="E878" s="31" t="s">
        <v>3607</v>
      </c>
      <c r="F878" s="31">
        <v>308</v>
      </c>
      <c r="G878" s="31">
        <v>93</v>
      </c>
      <c r="H878" s="31">
        <v>10</v>
      </c>
      <c r="I878" s="31">
        <v>30</v>
      </c>
      <c r="J878" s="31" t="s">
        <v>3608</v>
      </c>
      <c r="K878" s="31" t="s">
        <v>123</v>
      </c>
      <c r="L878" s="31" t="s">
        <v>56</v>
      </c>
      <c r="M878" s="31">
        <v>160</v>
      </c>
      <c r="N878" s="31">
        <v>2019</v>
      </c>
      <c r="O878" s="31">
        <v>78</v>
      </c>
      <c r="P878" s="31"/>
      <c r="Q878" s="31"/>
      <c r="R878" s="33"/>
      <c r="S878" s="34" t="str">
        <f>HYPERLINK("http://www.cnpol.ru/covers/18676.jpg","фото на сайте")</f>
        <v>фото на сайте</v>
      </c>
    </row>
    <row r="879" spans="1:19" ht="50.1" customHeight="1">
      <c r="A879" s="31"/>
      <c r="B879" s="32" t="s">
        <v>3609</v>
      </c>
      <c r="C879" s="31" t="s">
        <v>390</v>
      </c>
      <c r="D879" s="31" t="s">
        <v>3610</v>
      </c>
      <c r="E879" s="31" t="s">
        <v>3611</v>
      </c>
      <c r="F879" s="31">
        <v>744</v>
      </c>
      <c r="G879" s="31">
        <v>86</v>
      </c>
      <c r="H879" s="31">
        <v>10</v>
      </c>
      <c r="I879" s="31">
        <v>30</v>
      </c>
      <c r="J879" s="31" t="s">
        <v>3612</v>
      </c>
      <c r="K879" s="31" t="s">
        <v>123</v>
      </c>
      <c r="L879" s="31" t="s">
        <v>56</v>
      </c>
      <c r="M879" s="31">
        <v>160</v>
      </c>
      <c r="N879" s="31">
        <v>2017</v>
      </c>
      <c r="O879" s="31">
        <v>76</v>
      </c>
      <c r="P879" s="31"/>
      <c r="Q879" s="31"/>
      <c r="R879" s="33"/>
      <c r="S879" s="34" t="str">
        <f>HYPERLINK("http://www.cnpol.ru/covers/17647.jpg","фото на сайте")</f>
        <v>фото на сайте</v>
      </c>
    </row>
    <row r="880" spans="1:19" ht="50.1" customHeight="1">
      <c r="A880" s="31"/>
      <c r="B880" s="32" t="s">
        <v>3613</v>
      </c>
      <c r="C880" s="31" t="s">
        <v>408</v>
      </c>
      <c r="D880" s="31" t="s">
        <v>3614</v>
      </c>
      <c r="E880" s="31" t="s">
        <v>3615</v>
      </c>
      <c r="F880" s="31" t="s">
        <v>31</v>
      </c>
      <c r="G880" s="31">
        <v>640</v>
      </c>
      <c r="H880" s="31">
        <v>10</v>
      </c>
      <c r="I880" s="31">
        <v>14</v>
      </c>
      <c r="J880" s="31" t="s">
        <v>3616</v>
      </c>
      <c r="K880" s="31" t="s">
        <v>33</v>
      </c>
      <c r="L880" s="31" t="s">
        <v>34</v>
      </c>
      <c r="M880" s="31">
        <v>256</v>
      </c>
      <c r="N880" s="31">
        <v>2021</v>
      </c>
      <c r="O880" s="31">
        <v>160</v>
      </c>
      <c r="P880" s="31"/>
      <c r="Q880" s="31"/>
      <c r="R880" s="33"/>
      <c r="S880" s="34" t="str">
        <f>HYPERLINK("http://www.cnpol.ru/covers/19781.jpg","фото на сайте")</f>
        <v>фото на сайте</v>
      </c>
    </row>
    <row r="881" spans="1:19" ht="50.1" customHeight="1">
      <c r="A881" s="31"/>
      <c r="B881" s="32" t="s">
        <v>3617</v>
      </c>
      <c r="C881" s="31" t="s">
        <v>998</v>
      </c>
      <c r="D881" s="31" t="s">
        <v>999</v>
      </c>
      <c r="E881" s="31" t="s">
        <v>3618</v>
      </c>
      <c r="F881" s="31" t="s">
        <v>31</v>
      </c>
      <c r="G881" s="31">
        <v>389</v>
      </c>
      <c r="H881" s="31">
        <v>10</v>
      </c>
      <c r="I881" s="31">
        <v>16</v>
      </c>
      <c r="J881" s="31" t="s">
        <v>3619</v>
      </c>
      <c r="K881" s="31" t="s">
        <v>33</v>
      </c>
      <c r="L881" s="31" t="s">
        <v>34</v>
      </c>
      <c r="M881" s="31">
        <v>190</v>
      </c>
      <c r="N881" s="31">
        <v>2009</v>
      </c>
      <c r="O881" s="31">
        <v>222</v>
      </c>
      <c r="P881" s="31"/>
      <c r="Q881" s="31"/>
      <c r="R881" s="33"/>
      <c r="S881" s="34" t="str">
        <f>HYPERLINK("http://www.cnpol.ru/covers/11243.jpg","фото на сайте")</f>
        <v>фото на сайте</v>
      </c>
    </row>
    <row r="882" spans="1:19" ht="50.1" customHeight="1">
      <c r="A882" s="31"/>
      <c r="B882" s="32" t="s">
        <v>3620</v>
      </c>
      <c r="C882" s="31" t="s">
        <v>1668</v>
      </c>
      <c r="D882" s="31" t="s">
        <v>1669</v>
      </c>
      <c r="E882" s="31" t="s">
        <v>3621</v>
      </c>
      <c r="F882" s="31" t="s">
        <v>31</v>
      </c>
      <c r="G882" s="31">
        <v>575</v>
      </c>
      <c r="H882" s="31">
        <v>10</v>
      </c>
      <c r="I882" s="31">
        <v>12</v>
      </c>
      <c r="J882" s="31" t="s">
        <v>3622</v>
      </c>
      <c r="K882" s="31" t="s">
        <v>33</v>
      </c>
      <c r="L882" s="31" t="s">
        <v>34</v>
      </c>
      <c r="M882" s="31">
        <v>351</v>
      </c>
      <c r="N882" s="31">
        <v>2022</v>
      </c>
      <c r="O882" s="31">
        <v>296</v>
      </c>
      <c r="P882" s="31"/>
      <c r="Q882" s="31"/>
      <c r="R882" s="33" t="s">
        <v>3623</v>
      </c>
      <c r="S882" s="34" t="str">
        <f>HYPERLINK("http://www.cnpol.ru/covers/20426.jpg","фото на сайте")</f>
        <v>фото на сайте</v>
      </c>
    </row>
    <row r="883" spans="1:19" ht="50.1" customHeight="1">
      <c r="A883" s="31"/>
      <c r="B883" s="32" t="s">
        <v>3624</v>
      </c>
      <c r="C883" s="31" t="s">
        <v>380</v>
      </c>
      <c r="D883" s="31" t="s">
        <v>3625</v>
      </c>
      <c r="E883" s="31" t="s">
        <v>3626</v>
      </c>
      <c r="F883" s="31" t="s">
        <v>31</v>
      </c>
      <c r="G883" s="35">
        <v>1102</v>
      </c>
      <c r="H883" s="31">
        <v>10</v>
      </c>
      <c r="I883" s="31">
        <v>6</v>
      </c>
      <c r="J883" s="31" t="s">
        <v>3627</v>
      </c>
      <c r="K883" s="31" t="s">
        <v>41</v>
      </c>
      <c r="L883" s="31" t="s">
        <v>304</v>
      </c>
      <c r="M883" s="31">
        <v>592</v>
      </c>
      <c r="N883" s="31">
        <v>2016</v>
      </c>
      <c r="O883" s="31">
        <v>634</v>
      </c>
      <c r="P883" s="31"/>
      <c r="Q883" s="31"/>
      <c r="R883" s="33"/>
      <c r="S883" s="34" t="str">
        <f>HYPERLINK("http://www.cnpol.ru/covers/16804.jpg","фото на сайте")</f>
        <v>фото на сайте</v>
      </c>
    </row>
    <row r="884" spans="1:19" ht="50.1" customHeight="1">
      <c r="A884" s="31"/>
      <c r="B884" s="32" t="s">
        <v>3628</v>
      </c>
      <c r="C884" s="31" t="s">
        <v>1594</v>
      </c>
      <c r="D884" s="31" t="s">
        <v>1595</v>
      </c>
      <c r="E884" s="31" t="s">
        <v>3629</v>
      </c>
      <c r="F884" s="31" t="s">
        <v>31</v>
      </c>
      <c r="G884" s="31">
        <v>169</v>
      </c>
      <c r="H884" s="31">
        <v>10</v>
      </c>
      <c r="I884" s="31">
        <v>40</v>
      </c>
      <c r="J884" s="31" t="s">
        <v>3630</v>
      </c>
      <c r="K884" s="31" t="s">
        <v>55</v>
      </c>
      <c r="L884" s="31" t="s">
        <v>56</v>
      </c>
      <c r="M884" s="31">
        <v>256</v>
      </c>
      <c r="N884" s="31">
        <v>2019</v>
      </c>
      <c r="O884" s="31">
        <v>110</v>
      </c>
      <c r="P884" s="31"/>
      <c r="Q884" s="31"/>
      <c r="R884" s="33"/>
      <c r="S884" s="34" t="str">
        <f>HYPERLINK("http://www.cnpol.ru/covers/18654.jpg","фото на сайте")</f>
        <v>фото на сайте</v>
      </c>
    </row>
    <row r="885" spans="1:19" ht="50.1" customHeight="1">
      <c r="A885" s="31"/>
      <c r="B885" s="32" t="s">
        <v>3631</v>
      </c>
      <c r="C885" s="31" t="s">
        <v>390</v>
      </c>
      <c r="D885" s="31" t="s">
        <v>414</v>
      </c>
      <c r="E885" s="31" t="s">
        <v>3632</v>
      </c>
      <c r="F885" s="31">
        <v>1078</v>
      </c>
      <c r="G885" s="31">
        <v>86</v>
      </c>
      <c r="H885" s="31">
        <v>10</v>
      </c>
      <c r="I885" s="31">
        <v>30</v>
      </c>
      <c r="J885" s="31" t="s">
        <v>3633</v>
      </c>
      <c r="K885" s="31" t="s">
        <v>123</v>
      </c>
      <c r="L885" s="31" t="s">
        <v>56</v>
      </c>
      <c r="M885" s="31">
        <v>159</v>
      </c>
      <c r="N885" s="31">
        <v>2022</v>
      </c>
      <c r="O885" s="31">
        <v>76</v>
      </c>
      <c r="P885" s="31"/>
      <c r="Q885" s="31"/>
      <c r="R885" s="33"/>
      <c r="S885" s="34" t="str">
        <f>HYPERLINK("http://www.cnpol.ru/covers/20088.jpg","фото на сайте")</f>
        <v>фото на сайте</v>
      </c>
    </row>
    <row r="886" spans="1:19" ht="50.1" customHeight="1">
      <c r="A886" s="31"/>
      <c r="B886" s="32" t="s">
        <v>3634</v>
      </c>
      <c r="C886" s="31" t="s">
        <v>390</v>
      </c>
      <c r="D886" s="31" t="s">
        <v>3180</v>
      </c>
      <c r="E886" s="31" t="s">
        <v>3635</v>
      </c>
      <c r="F886" s="31">
        <v>867</v>
      </c>
      <c r="G886" s="31">
        <v>86</v>
      </c>
      <c r="H886" s="31">
        <v>10</v>
      </c>
      <c r="I886" s="31">
        <v>30</v>
      </c>
      <c r="J886" s="31" t="s">
        <v>3636</v>
      </c>
      <c r="K886" s="31" t="s">
        <v>123</v>
      </c>
      <c r="L886" s="31" t="s">
        <v>56</v>
      </c>
      <c r="M886" s="31">
        <v>160</v>
      </c>
      <c r="N886" s="31">
        <v>2019</v>
      </c>
      <c r="O886" s="31">
        <v>76</v>
      </c>
      <c r="P886" s="31"/>
      <c r="Q886" s="31"/>
      <c r="R886" s="33"/>
      <c r="S886" s="34" t="str">
        <f>HYPERLINK("http://www.cnpol.ru/covers/18499.jpg","фото на сайте")</f>
        <v>фото на сайте</v>
      </c>
    </row>
    <row r="887" spans="1:19" ht="50.1" customHeight="1">
      <c r="A887" s="31"/>
      <c r="B887" s="32" t="s">
        <v>3637</v>
      </c>
      <c r="C887" s="31" t="s">
        <v>546</v>
      </c>
      <c r="D887" s="31" t="s">
        <v>1656</v>
      </c>
      <c r="E887" s="31" t="s">
        <v>3638</v>
      </c>
      <c r="F887" s="31">
        <v>239</v>
      </c>
      <c r="G887" s="31">
        <v>93</v>
      </c>
      <c r="H887" s="31">
        <v>10</v>
      </c>
      <c r="I887" s="31">
        <v>30</v>
      </c>
      <c r="J887" s="31" t="s">
        <v>3639</v>
      </c>
      <c r="K887" s="31" t="s">
        <v>123</v>
      </c>
      <c r="L887" s="31" t="s">
        <v>56</v>
      </c>
      <c r="M887" s="31">
        <v>160</v>
      </c>
      <c r="N887" s="31">
        <v>2017</v>
      </c>
      <c r="O887" s="31">
        <v>76</v>
      </c>
      <c r="P887" s="31"/>
      <c r="Q887" s="31"/>
      <c r="R887" s="33"/>
      <c r="S887" s="34" t="str">
        <f>HYPERLINK("http://www.cnpol.ru/covers/17726.jpg","фото на сайте")</f>
        <v>фото на сайте</v>
      </c>
    </row>
    <row r="888" spans="1:19" ht="50.1" customHeight="1">
      <c r="A888" s="31"/>
      <c r="B888" s="32" t="s">
        <v>3640</v>
      </c>
      <c r="C888" s="31" t="s">
        <v>390</v>
      </c>
      <c r="D888" s="31" t="s">
        <v>3641</v>
      </c>
      <c r="E888" s="31" t="s">
        <v>3642</v>
      </c>
      <c r="F888" s="31">
        <v>933</v>
      </c>
      <c r="G888" s="31">
        <v>86</v>
      </c>
      <c r="H888" s="31">
        <v>10</v>
      </c>
      <c r="I888" s="31">
        <v>30</v>
      </c>
      <c r="J888" s="31" t="s">
        <v>3643</v>
      </c>
      <c r="K888" s="31" t="s">
        <v>123</v>
      </c>
      <c r="L888" s="31" t="s">
        <v>56</v>
      </c>
      <c r="M888" s="31">
        <v>160</v>
      </c>
      <c r="N888" s="31">
        <v>2019</v>
      </c>
      <c r="O888" s="31">
        <v>76</v>
      </c>
      <c r="P888" s="31"/>
      <c r="Q888" s="31"/>
      <c r="R888" s="33"/>
      <c r="S888" s="34" t="str">
        <f>HYPERLINK("http://www.cnpol.ru/covers/18906.jpg","фото на сайте")</f>
        <v>фото на сайте</v>
      </c>
    </row>
    <row r="889" spans="1:19" ht="50.1" customHeight="1">
      <c r="A889" s="31"/>
      <c r="B889" s="32" t="s">
        <v>3644</v>
      </c>
      <c r="C889" s="31" t="s">
        <v>390</v>
      </c>
      <c r="D889" s="31" t="s">
        <v>1461</v>
      </c>
      <c r="E889" s="31" t="s">
        <v>3645</v>
      </c>
      <c r="F889" s="31">
        <v>770</v>
      </c>
      <c r="G889" s="31">
        <v>86</v>
      </c>
      <c r="H889" s="31">
        <v>10</v>
      </c>
      <c r="I889" s="31">
        <v>30</v>
      </c>
      <c r="J889" s="31" t="s">
        <v>3646</v>
      </c>
      <c r="K889" s="31" t="s">
        <v>123</v>
      </c>
      <c r="L889" s="31" t="s">
        <v>56</v>
      </c>
      <c r="M889" s="31">
        <v>160</v>
      </c>
      <c r="N889" s="31">
        <v>2017</v>
      </c>
      <c r="O889" s="31">
        <v>76</v>
      </c>
      <c r="P889" s="31"/>
      <c r="Q889" s="31"/>
      <c r="R889" s="33"/>
      <c r="S889" s="34" t="str">
        <f>HYPERLINK("http://www.cnpol.ru/covers/17815.jpg","фото на сайте")</f>
        <v>фото на сайте</v>
      </c>
    </row>
    <row r="890" spans="1:19" ht="50.1" customHeight="1">
      <c r="A890" s="31" t="s">
        <v>35</v>
      </c>
      <c r="B890" s="32" t="s">
        <v>3647</v>
      </c>
      <c r="C890" s="31" t="s">
        <v>2124</v>
      </c>
      <c r="D890" s="31" t="s">
        <v>2125</v>
      </c>
      <c r="E890" s="31" t="s">
        <v>3648</v>
      </c>
      <c r="F890" s="31" t="s">
        <v>31</v>
      </c>
      <c r="G890" s="31">
        <v>366</v>
      </c>
      <c r="H890" s="31">
        <v>10</v>
      </c>
      <c r="I890" s="31">
        <v>6</v>
      </c>
      <c r="J890" s="31" t="s">
        <v>3649</v>
      </c>
      <c r="K890" s="31" t="s">
        <v>123</v>
      </c>
      <c r="L890" s="31" t="s">
        <v>56</v>
      </c>
      <c r="M890" s="31">
        <v>512</v>
      </c>
      <c r="N890" s="31">
        <v>2024</v>
      </c>
      <c r="O890" s="31" t="s">
        <v>220</v>
      </c>
      <c r="P890" s="31"/>
      <c r="Q890" s="31"/>
      <c r="R890" s="33" t="s">
        <v>3650</v>
      </c>
      <c r="S890" s="34" t="str">
        <f>HYPERLINK("http://www.cnpol.ru/covers/21485.jpg","фото на сайте")</f>
        <v>фото на сайте</v>
      </c>
    </row>
    <row r="891" spans="1:19" ht="50.1" customHeight="1">
      <c r="A891" s="31"/>
      <c r="B891" s="32" t="s">
        <v>3651</v>
      </c>
      <c r="C891" s="31" t="s">
        <v>563</v>
      </c>
      <c r="D891" s="31" t="s">
        <v>564</v>
      </c>
      <c r="E891" s="31" t="s">
        <v>3652</v>
      </c>
      <c r="F891" s="31" t="s">
        <v>31</v>
      </c>
      <c r="G891" s="31">
        <v>73</v>
      </c>
      <c r="H891" s="31">
        <v>10</v>
      </c>
      <c r="I891" s="31">
        <v>40</v>
      </c>
      <c r="J891" s="31" t="s">
        <v>3653</v>
      </c>
      <c r="K891" s="31" t="s">
        <v>130</v>
      </c>
      <c r="L891" s="31" t="s">
        <v>56</v>
      </c>
      <c r="M891" s="31" t="s">
        <v>431</v>
      </c>
      <c r="N891" s="31" t="s">
        <v>431</v>
      </c>
      <c r="O891" s="31" t="s">
        <v>220</v>
      </c>
      <c r="P891" s="31"/>
      <c r="Q891" s="31"/>
      <c r="R891" s="33"/>
      <c r="S891" s="34" t="str">
        <f>HYPERLINK("http://www.cnpol.ru/covers/2120.jpg","фото на сайте")</f>
        <v>фото на сайте</v>
      </c>
    </row>
    <row r="892" spans="1:19" ht="50.1" customHeight="1">
      <c r="A892" s="31"/>
      <c r="B892" s="32" t="s">
        <v>3654</v>
      </c>
      <c r="C892" s="31" t="s">
        <v>563</v>
      </c>
      <c r="D892" s="31" t="s">
        <v>564</v>
      </c>
      <c r="E892" s="31" t="s">
        <v>3652</v>
      </c>
      <c r="F892" s="31" t="s">
        <v>31</v>
      </c>
      <c r="G892" s="31">
        <v>194</v>
      </c>
      <c r="H892" s="31">
        <v>10</v>
      </c>
      <c r="I892" s="31">
        <v>40</v>
      </c>
      <c r="J892" s="31" t="s">
        <v>3653</v>
      </c>
      <c r="K892" s="31" t="s">
        <v>130</v>
      </c>
      <c r="L892" s="31" t="s">
        <v>56</v>
      </c>
      <c r="M892" s="31">
        <v>139</v>
      </c>
      <c r="N892" s="31">
        <v>2003</v>
      </c>
      <c r="O892" s="31">
        <v>92</v>
      </c>
      <c r="P892" s="31"/>
      <c r="Q892" s="31"/>
      <c r="R892" s="33"/>
      <c r="S892" s="34" t="str">
        <f>HYPERLINK("http://www.cnpol.ru/covers/4304.jpg","фото на сайте")</f>
        <v>фото на сайте</v>
      </c>
    </row>
    <row r="893" spans="1:19" ht="50.1" customHeight="1">
      <c r="A893" s="31"/>
      <c r="B893" s="32" t="s">
        <v>3655</v>
      </c>
      <c r="C893" s="31" t="s">
        <v>400</v>
      </c>
      <c r="D893" s="31" t="s">
        <v>3656</v>
      </c>
      <c r="E893" s="31" t="s">
        <v>3657</v>
      </c>
      <c r="F893" s="31" t="s">
        <v>31</v>
      </c>
      <c r="G893" s="31">
        <v>503</v>
      </c>
      <c r="H893" s="31">
        <v>10</v>
      </c>
      <c r="I893" s="31">
        <v>14</v>
      </c>
      <c r="J893" s="31" t="s">
        <v>3658</v>
      </c>
      <c r="K893" s="31" t="s">
        <v>33</v>
      </c>
      <c r="L893" s="31" t="s">
        <v>34</v>
      </c>
      <c r="M893" s="31">
        <v>288</v>
      </c>
      <c r="N893" s="31">
        <v>2021</v>
      </c>
      <c r="O893" s="31">
        <v>254</v>
      </c>
      <c r="P893" s="31"/>
      <c r="Q893" s="31"/>
      <c r="R893" s="33"/>
      <c r="S893" s="34" t="str">
        <f>HYPERLINK("http://www.cnpol.ru/covers/19666.jpg","фото на сайте")</f>
        <v>фото на сайте</v>
      </c>
    </row>
    <row r="894" spans="1:19" ht="50.1" customHeight="1">
      <c r="A894" s="31" t="s">
        <v>35</v>
      </c>
      <c r="B894" s="32" t="s">
        <v>3659</v>
      </c>
      <c r="C894" s="31" t="s">
        <v>380</v>
      </c>
      <c r="D894" s="31" t="s">
        <v>3660</v>
      </c>
      <c r="E894" s="31" t="s">
        <v>3661</v>
      </c>
      <c r="F894" s="31" t="s">
        <v>31</v>
      </c>
      <c r="G894" s="35">
        <v>1466</v>
      </c>
      <c r="H894" s="31">
        <v>10</v>
      </c>
      <c r="I894" s="31">
        <v>8</v>
      </c>
      <c r="J894" s="31" t="s">
        <v>3662</v>
      </c>
      <c r="K894" s="31" t="s">
        <v>41</v>
      </c>
      <c r="L894" s="31" t="s">
        <v>304</v>
      </c>
      <c r="M894" s="31">
        <v>591</v>
      </c>
      <c r="N894" s="31">
        <v>2024</v>
      </c>
      <c r="O894" s="31">
        <v>762</v>
      </c>
      <c r="P894" s="31"/>
      <c r="Q894" s="31"/>
      <c r="R894" s="33" t="s">
        <v>3663</v>
      </c>
      <c r="S894" s="34" t="str">
        <f>HYPERLINK("http://www.cnpol.ru/covers/21297.jpg","фото на сайте")</f>
        <v>фото на сайте</v>
      </c>
    </row>
    <row r="895" spans="1:19" ht="50.1" customHeight="1">
      <c r="A895" s="31"/>
      <c r="B895" s="32" t="s">
        <v>3664</v>
      </c>
      <c r="C895" s="31" t="s">
        <v>400</v>
      </c>
      <c r="D895" s="31" t="s">
        <v>3260</v>
      </c>
      <c r="E895" s="31" t="s">
        <v>3665</v>
      </c>
      <c r="F895" s="31" t="s">
        <v>31</v>
      </c>
      <c r="G895" s="31">
        <v>503</v>
      </c>
      <c r="H895" s="31">
        <v>10</v>
      </c>
      <c r="I895" s="31">
        <v>12</v>
      </c>
      <c r="J895" s="31" t="s">
        <v>3666</v>
      </c>
      <c r="K895" s="31" t="s">
        <v>33</v>
      </c>
      <c r="L895" s="31" t="s">
        <v>34</v>
      </c>
      <c r="M895" s="31">
        <v>320</v>
      </c>
      <c r="N895" s="31">
        <v>2017</v>
      </c>
      <c r="O895" s="31">
        <v>258</v>
      </c>
      <c r="P895" s="31"/>
      <c r="Q895" s="31"/>
      <c r="R895" s="33"/>
      <c r="S895" s="34" t="str">
        <f>HYPERLINK("http://www.cnpol.ru/covers/17259.jpg","фото на сайте")</f>
        <v>фото на сайте</v>
      </c>
    </row>
    <row r="896" spans="1:19" ht="50.1" customHeight="1">
      <c r="A896" s="31"/>
      <c r="B896" s="32" t="s">
        <v>3667</v>
      </c>
      <c r="C896" s="31" t="s">
        <v>418</v>
      </c>
      <c r="D896" s="31" t="s">
        <v>3668</v>
      </c>
      <c r="E896" s="31" t="s">
        <v>3669</v>
      </c>
      <c r="F896" s="31">
        <v>87</v>
      </c>
      <c r="G896" s="31">
        <v>153</v>
      </c>
      <c r="H896" s="31">
        <v>10</v>
      </c>
      <c r="I896" s="31">
        <v>24</v>
      </c>
      <c r="J896" s="31" t="s">
        <v>3670</v>
      </c>
      <c r="K896" s="31" t="s">
        <v>123</v>
      </c>
      <c r="L896" s="31" t="s">
        <v>56</v>
      </c>
      <c r="M896" s="31">
        <v>256</v>
      </c>
      <c r="N896" s="31">
        <v>2018</v>
      </c>
      <c r="O896" s="31">
        <v>117</v>
      </c>
      <c r="P896" s="31"/>
      <c r="Q896" s="31"/>
      <c r="R896" s="33"/>
      <c r="S896" s="34" t="str">
        <f>HYPERLINK("http://www.cnpol.ru/covers/18126.jpg","фото на сайте")</f>
        <v>фото на сайте</v>
      </c>
    </row>
    <row r="897" spans="1:19" ht="50.1" customHeight="1">
      <c r="A897" s="31"/>
      <c r="B897" s="32" t="s">
        <v>3671</v>
      </c>
      <c r="C897" s="31" t="s">
        <v>37</v>
      </c>
      <c r="D897" s="31" t="s">
        <v>3672</v>
      </c>
      <c r="E897" s="31" t="s">
        <v>3673</v>
      </c>
      <c r="F897" s="31" t="s">
        <v>31</v>
      </c>
      <c r="G897" s="31">
        <v>559</v>
      </c>
      <c r="H897" s="31">
        <v>10</v>
      </c>
      <c r="I897" s="31">
        <v>22</v>
      </c>
      <c r="J897" s="31" t="s">
        <v>3674</v>
      </c>
      <c r="K897" s="31" t="s">
        <v>33</v>
      </c>
      <c r="L897" s="31" t="s">
        <v>34</v>
      </c>
      <c r="M897" s="31">
        <v>254</v>
      </c>
      <c r="N897" s="31">
        <v>2015</v>
      </c>
      <c r="O897" s="31">
        <v>240</v>
      </c>
      <c r="P897" s="31"/>
      <c r="Q897" s="31"/>
      <c r="R897" s="33"/>
      <c r="S897" s="34" t="str">
        <f>HYPERLINK("http://www.cnpol.ru/covers/15892.jpg","фото на сайте")</f>
        <v>фото на сайте</v>
      </c>
    </row>
    <row r="898" spans="1:19" ht="50.1" customHeight="1">
      <c r="A898" s="31"/>
      <c r="B898" s="32" t="s">
        <v>3675</v>
      </c>
      <c r="C898" s="31" t="s">
        <v>119</v>
      </c>
      <c r="D898" s="31" t="s">
        <v>3676</v>
      </c>
      <c r="E898" s="31" t="s">
        <v>3677</v>
      </c>
      <c r="F898" s="31" t="s">
        <v>31</v>
      </c>
      <c r="G898" s="31">
        <v>451</v>
      </c>
      <c r="H898" s="31">
        <v>10</v>
      </c>
      <c r="I898" s="31">
        <v>16</v>
      </c>
      <c r="J898" s="31" t="s">
        <v>3678</v>
      </c>
      <c r="K898" s="31" t="s">
        <v>194</v>
      </c>
      <c r="L898" s="31" t="s">
        <v>34</v>
      </c>
      <c r="M898" s="31">
        <v>224</v>
      </c>
      <c r="N898" s="31">
        <v>2020</v>
      </c>
      <c r="O898" s="31">
        <v>230</v>
      </c>
      <c r="P898" s="31"/>
      <c r="Q898" s="31"/>
      <c r="R898" s="33"/>
      <c r="S898" s="34" t="str">
        <f>HYPERLINK("http://www.cnpol.ru/covers/19263.jpg","фото на сайте")</f>
        <v>фото на сайте</v>
      </c>
    </row>
    <row r="899" spans="1:19" ht="50.1" customHeight="1">
      <c r="A899" s="31" t="s">
        <v>43</v>
      </c>
      <c r="B899" s="32" t="s">
        <v>3679</v>
      </c>
      <c r="C899" s="31" t="s">
        <v>434</v>
      </c>
      <c r="D899" s="31" t="s">
        <v>3680</v>
      </c>
      <c r="E899" s="31" t="s">
        <v>3681</v>
      </c>
      <c r="F899" s="31" t="s">
        <v>31</v>
      </c>
      <c r="G899" s="31">
        <v>661</v>
      </c>
      <c r="H899" s="31">
        <v>10</v>
      </c>
      <c r="I899" s="31">
        <v>18</v>
      </c>
      <c r="J899" s="31" t="s">
        <v>3682</v>
      </c>
      <c r="K899" s="31" t="s">
        <v>33</v>
      </c>
      <c r="L899" s="31" t="s">
        <v>34</v>
      </c>
      <c r="M899" s="31">
        <v>191</v>
      </c>
      <c r="N899" s="31">
        <v>2024</v>
      </c>
      <c r="O899" s="31">
        <v>260</v>
      </c>
      <c r="P899" s="31"/>
      <c r="Q899" s="31"/>
      <c r="R899" s="33" t="s">
        <v>3683</v>
      </c>
      <c r="S899" s="34" t="str">
        <f>HYPERLINK("http://www.cnpol.ru/covers/21071.jpg","фото на сайте")</f>
        <v>фото на сайте</v>
      </c>
    </row>
    <row r="900" spans="1:19" ht="50.1" customHeight="1">
      <c r="A900" s="31"/>
      <c r="B900" s="32" t="s">
        <v>3684</v>
      </c>
      <c r="C900" s="31" t="s">
        <v>390</v>
      </c>
      <c r="D900" s="31" t="s">
        <v>1115</v>
      </c>
      <c r="E900" s="31" t="s">
        <v>3685</v>
      </c>
      <c r="F900" s="31">
        <v>629</v>
      </c>
      <c r="G900" s="31">
        <v>86</v>
      </c>
      <c r="H900" s="31">
        <v>10</v>
      </c>
      <c r="I900" s="31">
        <v>30</v>
      </c>
      <c r="J900" s="31" t="s">
        <v>3686</v>
      </c>
      <c r="K900" s="31" t="s">
        <v>123</v>
      </c>
      <c r="L900" s="31" t="s">
        <v>56</v>
      </c>
      <c r="M900" s="31">
        <v>160</v>
      </c>
      <c r="N900" s="31">
        <v>2016</v>
      </c>
      <c r="O900" s="31">
        <v>76</v>
      </c>
      <c r="P900" s="31"/>
      <c r="Q900" s="31"/>
      <c r="R900" s="33"/>
      <c r="S900" s="34" t="str">
        <f>HYPERLINK("http://www.cnpol.ru/covers/16846.jpg","фото на сайте")</f>
        <v>фото на сайте</v>
      </c>
    </row>
    <row r="901" spans="1:19" ht="50.1" customHeight="1">
      <c r="A901" s="31"/>
      <c r="B901" s="32" t="s">
        <v>3687</v>
      </c>
      <c r="C901" s="31" t="s">
        <v>390</v>
      </c>
      <c r="D901" s="31" t="s">
        <v>2440</v>
      </c>
      <c r="E901" s="31" t="s">
        <v>3688</v>
      </c>
      <c r="F901" s="31">
        <v>511</v>
      </c>
      <c r="G901" s="31">
        <v>86</v>
      </c>
      <c r="H901" s="31">
        <v>10</v>
      </c>
      <c r="I901" s="31">
        <v>30</v>
      </c>
      <c r="J901" s="31" t="s">
        <v>3689</v>
      </c>
      <c r="K901" s="31" t="s">
        <v>123</v>
      </c>
      <c r="L901" s="31" t="s">
        <v>56</v>
      </c>
      <c r="M901" s="31">
        <v>158</v>
      </c>
      <c r="N901" s="31">
        <v>2015</v>
      </c>
      <c r="O901" s="31">
        <v>78</v>
      </c>
      <c r="P901" s="31"/>
      <c r="Q901" s="31"/>
      <c r="R901" s="33"/>
      <c r="S901" s="34" t="str">
        <f>HYPERLINK("http://www.cnpol.ru/covers/15959.jpg","фото на сайте")</f>
        <v>фото на сайте</v>
      </c>
    </row>
    <row r="902" spans="1:19" ht="50.1" customHeight="1">
      <c r="A902" s="31"/>
      <c r="B902" s="32" t="s">
        <v>3690</v>
      </c>
      <c r="C902" s="31" t="s">
        <v>390</v>
      </c>
      <c r="D902" s="31" t="s">
        <v>3691</v>
      </c>
      <c r="E902" s="31" t="s">
        <v>3692</v>
      </c>
      <c r="F902" s="31">
        <v>917</v>
      </c>
      <c r="G902" s="31">
        <v>86</v>
      </c>
      <c r="H902" s="31">
        <v>10</v>
      </c>
      <c r="I902" s="31">
        <v>30</v>
      </c>
      <c r="J902" s="31" t="s">
        <v>3693</v>
      </c>
      <c r="K902" s="31" t="s">
        <v>123</v>
      </c>
      <c r="L902" s="31" t="s">
        <v>56</v>
      </c>
      <c r="M902" s="31">
        <v>160</v>
      </c>
      <c r="N902" s="31">
        <v>2019</v>
      </c>
      <c r="O902" s="31">
        <v>76</v>
      </c>
      <c r="P902" s="31"/>
      <c r="Q902" s="31"/>
      <c r="R902" s="33"/>
      <c r="S902" s="34" t="str">
        <f>HYPERLINK("http://www.cnpol.ru/covers/18819.jpg","фото на сайте")</f>
        <v>фото на сайте</v>
      </c>
    </row>
    <row r="903" spans="1:19" ht="50.1" customHeight="1">
      <c r="A903" s="31"/>
      <c r="B903" s="32" t="s">
        <v>3694</v>
      </c>
      <c r="C903" s="31" t="s">
        <v>390</v>
      </c>
      <c r="D903" s="31" t="s">
        <v>391</v>
      </c>
      <c r="E903" s="31" t="s">
        <v>3695</v>
      </c>
      <c r="F903" s="31">
        <v>1010</v>
      </c>
      <c r="G903" s="31">
        <v>86</v>
      </c>
      <c r="H903" s="31">
        <v>10</v>
      </c>
      <c r="I903" s="31">
        <v>30</v>
      </c>
      <c r="J903" s="31" t="s">
        <v>3696</v>
      </c>
      <c r="K903" s="31" t="s">
        <v>123</v>
      </c>
      <c r="L903" s="31" t="s">
        <v>56</v>
      </c>
      <c r="M903" s="31">
        <v>160</v>
      </c>
      <c r="N903" s="31">
        <v>2020</v>
      </c>
      <c r="O903" s="31">
        <v>76</v>
      </c>
      <c r="P903" s="31"/>
      <c r="Q903" s="31"/>
      <c r="R903" s="33"/>
      <c r="S903" s="34" t="str">
        <f>HYPERLINK("http://www.cnpol.ru/covers/19444.jpg","фото на сайте")</f>
        <v>фото на сайте</v>
      </c>
    </row>
    <row r="904" spans="1:19" ht="50.1" customHeight="1">
      <c r="A904" s="31"/>
      <c r="B904" s="32" t="s">
        <v>3697</v>
      </c>
      <c r="C904" s="31" t="s">
        <v>546</v>
      </c>
      <c r="D904" s="31" t="s">
        <v>594</v>
      </c>
      <c r="E904" s="31" t="s">
        <v>3698</v>
      </c>
      <c r="F904" s="31">
        <v>200</v>
      </c>
      <c r="G904" s="31">
        <v>93</v>
      </c>
      <c r="H904" s="31">
        <v>10</v>
      </c>
      <c r="I904" s="31">
        <v>30</v>
      </c>
      <c r="J904" s="31" t="s">
        <v>3699</v>
      </c>
      <c r="K904" s="31" t="s">
        <v>123</v>
      </c>
      <c r="L904" s="31" t="s">
        <v>56</v>
      </c>
      <c r="M904" s="31">
        <v>160</v>
      </c>
      <c r="N904" s="31">
        <v>2016</v>
      </c>
      <c r="O904" s="31">
        <v>76</v>
      </c>
      <c r="P904" s="31"/>
      <c r="Q904" s="31"/>
      <c r="R904" s="33"/>
      <c r="S904" s="34" t="str">
        <f>HYPERLINK("http://www.cnpol.ru/covers/17209.jpg","фото на сайте")</f>
        <v>фото на сайте</v>
      </c>
    </row>
    <row r="905" spans="1:19" ht="50.1" customHeight="1">
      <c r="A905" s="31" t="s">
        <v>43</v>
      </c>
      <c r="B905" s="32" t="s">
        <v>3700</v>
      </c>
      <c r="C905" s="31" t="s">
        <v>413</v>
      </c>
      <c r="D905" s="31" t="s">
        <v>1435</v>
      </c>
      <c r="E905" s="31" t="s">
        <v>3701</v>
      </c>
      <c r="F905" s="31">
        <v>194</v>
      </c>
      <c r="G905" s="31">
        <v>117</v>
      </c>
      <c r="H905" s="31">
        <v>10</v>
      </c>
      <c r="I905" s="31">
        <v>30</v>
      </c>
      <c r="J905" s="31" t="s">
        <v>3702</v>
      </c>
      <c r="K905" s="31" t="s">
        <v>123</v>
      </c>
      <c r="L905" s="31" t="s">
        <v>56</v>
      </c>
      <c r="M905" s="31">
        <v>191</v>
      </c>
      <c r="N905" s="31">
        <v>2024</v>
      </c>
      <c r="O905" s="31">
        <v>76</v>
      </c>
      <c r="P905" s="31"/>
      <c r="Q905" s="31"/>
      <c r="R905" s="33" t="s">
        <v>3703</v>
      </c>
      <c r="S905" s="34" t="str">
        <f>HYPERLINK("http://www.cnpol.ru/covers/21325.jpg","фото на сайте")</f>
        <v>фото на сайте</v>
      </c>
    </row>
    <row r="906" spans="1:19" ht="50.1" customHeight="1">
      <c r="A906" s="31"/>
      <c r="B906" s="32" t="s">
        <v>3704</v>
      </c>
      <c r="C906" s="31" t="s">
        <v>297</v>
      </c>
      <c r="D906" s="31" t="s">
        <v>872</v>
      </c>
      <c r="E906" s="31" t="s">
        <v>3705</v>
      </c>
      <c r="F906" s="31" t="s">
        <v>31</v>
      </c>
      <c r="G906" s="31">
        <v>300</v>
      </c>
      <c r="H906" s="31">
        <v>10</v>
      </c>
      <c r="I906" s="31">
        <v>18</v>
      </c>
      <c r="J906" s="31" t="s">
        <v>3706</v>
      </c>
      <c r="K906" s="31" t="s">
        <v>300</v>
      </c>
      <c r="L906" s="31" t="s">
        <v>56</v>
      </c>
      <c r="M906" s="31">
        <v>352</v>
      </c>
      <c r="N906" s="31">
        <v>2021</v>
      </c>
      <c r="O906" s="31">
        <v>180</v>
      </c>
      <c r="P906" s="31"/>
      <c r="Q906" s="31"/>
      <c r="R906" s="33"/>
      <c r="S906" s="34" t="str">
        <f>HYPERLINK("http://www.cnpol.ru/covers/19602.jpg","фото на сайте")</f>
        <v>фото на сайте</v>
      </c>
    </row>
    <row r="907" spans="1:19" ht="50.1" customHeight="1">
      <c r="A907" s="31" t="s">
        <v>35</v>
      </c>
      <c r="B907" s="32" t="s">
        <v>3707</v>
      </c>
      <c r="C907" s="31" t="s">
        <v>302</v>
      </c>
      <c r="D907" s="31" t="s">
        <v>872</v>
      </c>
      <c r="E907" s="31" t="s">
        <v>3705</v>
      </c>
      <c r="F907" s="31" t="s">
        <v>31</v>
      </c>
      <c r="G907" s="31">
        <v>977</v>
      </c>
      <c r="H907" s="31">
        <v>10</v>
      </c>
      <c r="I907" s="31">
        <v>14</v>
      </c>
      <c r="J907" s="31" t="s">
        <v>3708</v>
      </c>
      <c r="K907" s="31" t="s">
        <v>41</v>
      </c>
      <c r="L907" s="31" t="s">
        <v>304</v>
      </c>
      <c r="M907" s="31">
        <v>368</v>
      </c>
      <c r="N907" s="31">
        <v>2020</v>
      </c>
      <c r="O907" s="31">
        <v>488</v>
      </c>
      <c r="P907" s="31"/>
      <c r="Q907" s="31"/>
      <c r="R907" s="33" t="s">
        <v>3709</v>
      </c>
      <c r="S907" s="34" t="str">
        <f>HYPERLINK("http://www.cnpol.ru/covers/21420.jpg","фото на сайте")</f>
        <v>фото на сайте</v>
      </c>
    </row>
    <row r="908" spans="1:19" ht="50.1" customHeight="1">
      <c r="A908" s="31"/>
      <c r="B908" s="32" t="s">
        <v>3710</v>
      </c>
      <c r="C908" s="31" t="s">
        <v>3711</v>
      </c>
      <c r="D908" s="31" t="s">
        <v>3712</v>
      </c>
      <c r="E908" s="31" t="s">
        <v>3713</v>
      </c>
      <c r="F908" s="31" t="s">
        <v>31</v>
      </c>
      <c r="G908" s="31">
        <v>456</v>
      </c>
      <c r="H908" s="31">
        <v>10</v>
      </c>
      <c r="I908" s="31">
        <v>16</v>
      </c>
      <c r="J908" s="31" t="s">
        <v>3714</v>
      </c>
      <c r="K908" s="31" t="s">
        <v>33</v>
      </c>
      <c r="L908" s="31" t="s">
        <v>34</v>
      </c>
      <c r="M908" s="31">
        <v>318</v>
      </c>
      <c r="N908" s="31">
        <v>2010</v>
      </c>
      <c r="O908" s="31">
        <v>340</v>
      </c>
      <c r="P908" s="31"/>
      <c r="Q908" s="31"/>
      <c r="R908" s="33"/>
      <c r="S908" s="34" t="str">
        <f>HYPERLINK("http://www.cnpol.ru/covers/11956.jpg","фото на сайте")</f>
        <v>фото на сайте</v>
      </c>
    </row>
    <row r="909" spans="1:19" ht="50.1" customHeight="1">
      <c r="A909" s="31"/>
      <c r="B909" s="32" t="s">
        <v>3715</v>
      </c>
      <c r="C909" s="31" t="s">
        <v>390</v>
      </c>
      <c r="D909" s="31" t="s">
        <v>1435</v>
      </c>
      <c r="E909" s="31" t="s">
        <v>3716</v>
      </c>
      <c r="F909" s="31">
        <v>902</v>
      </c>
      <c r="G909" s="31">
        <v>86</v>
      </c>
      <c r="H909" s="31">
        <v>10</v>
      </c>
      <c r="I909" s="31">
        <v>30</v>
      </c>
      <c r="J909" s="31" t="s">
        <v>3717</v>
      </c>
      <c r="K909" s="31" t="s">
        <v>123</v>
      </c>
      <c r="L909" s="31" t="s">
        <v>56</v>
      </c>
      <c r="M909" s="31">
        <v>160</v>
      </c>
      <c r="N909" s="31">
        <v>2019</v>
      </c>
      <c r="O909" s="31">
        <v>78</v>
      </c>
      <c r="P909" s="31"/>
      <c r="Q909" s="31"/>
      <c r="R909" s="33"/>
      <c r="S909" s="34" t="str">
        <f>HYPERLINK("http://www.cnpol.ru/covers/18723.jpg","фото на сайте")</f>
        <v>фото на сайте</v>
      </c>
    </row>
    <row r="910" spans="1:19" ht="50.1" customHeight="1">
      <c r="A910" s="31"/>
      <c r="B910" s="32" t="s">
        <v>3718</v>
      </c>
      <c r="C910" s="31" t="s">
        <v>390</v>
      </c>
      <c r="D910" s="31" t="s">
        <v>1187</v>
      </c>
      <c r="E910" s="31" t="s">
        <v>3719</v>
      </c>
      <c r="F910" s="31">
        <v>454</v>
      </c>
      <c r="G910" s="31">
        <v>86</v>
      </c>
      <c r="H910" s="31">
        <v>10</v>
      </c>
      <c r="I910" s="31">
        <v>30</v>
      </c>
      <c r="J910" s="31" t="s">
        <v>3720</v>
      </c>
      <c r="K910" s="31" t="s">
        <v>123</v>
      </c>
      <c r="L910" s="31" t="s">
        <v>56</v>
      </c>
      <c r="M910" s="31">
        <v>158</v>
      </c>
      <c r="N910" s="31">
        <v>2014</v>
      </c>
      <c r="O910" s="31">
        <v>78</v>
      </c>
      <c r="P910" s="31"/>
      <c r="Q910" s="31"/>
      <c r="R910" s="33"/>
      <c r="S910" s="34" t="str">
        <f>HYPERLINK("http://www.cnpol.ru/covers/15501.jpg","фото на сайте")</f>
        <v>фото на сайте</v>
      </c>
    </row>
    <row r="911" spans="1:19" ht="50.1" customHeight="1">
      <c r="A911" s="31"/>
      <c r="B911" s="32" t="s">
        <v>3721</v>
      </c>
      <c r="C911" s="31" t="s">
        <v>390</v>
      </c>
      <c r="D911" s="31" t="s">
        <v>2285</v>
      </c>
      <c r="E911" s="31" t="s">
        <v>3722</v>
      </c>
      <c r="F911" s="31">
        <v>376</v>
      </c>
      <c r="G911" s="31">
        <v>86</v>
      </c>
      <c r="H911" s="31">
        <v>10</v>
      </c>
      <c r="I911" s="31">
        <v>30</v>
      </c>
      <c r="J911" s="31" t="s">
        <v>3723</v>
      </c>
      <c r="K911" s="31" t="s">
        <v>123</v>
      </c>
      <c r="L911" s="31" t="s">
        <v>56</v>
      </c>
      <c r="M911" s="31">
        <v>158</v>
      </c>
      <c r="N911" s="31">
        <v>2014</v>
      </c>
      <c r="O911" s="31">
        <v>76</v>
      </c>
      <c r="P911" s="31"/>
      <c r="Q911" s="31"/>
      <c r="R911" s="33"/>
      <c r="S911" s="34" t="str">
        <f>HYPERLINK("http://www.cnpol.ru/covers/14822.jpg","фото на сайте")</f>
        <v>фото на сайте</v>
      </c>
    </row>
    <row r="912" spans="1:19" ht="50.1" customHeight="1">
      <c r="A912" s="31"/>
      <c r="B912" s="32" t="s">
        <v>3724</v>
      </c>
      <c r="C912" s="31" t="s">
        <v>390</v>
      </c>
      <c r="D912" s="31" t="s">
        <v>3725</v>
      </c>
      <c r="E912" s="31" t="s">
        <v>3726</v>
      </c>
      <c r="F912" s="31">
        <v>508</v>
      </c>
      <c r="G912" s="31">
        <v>86</v>
      </c>
      <c r="H912" s="31">
        <v>10</v>
      </c>
      <c r="I912" s="31">
        <v>30</v>
      </c>
      <c r="J912" s="31" t="s">
        <v>3727</v>
      </c>
      <c r="K912" s="31" t="s">
        <v>123</v>
      </c>
      <c r="L912" s="31" t="s">
        <v>56</v>
      </c>
      <c r="M912" s="31">
        <v>158</v>
      </c>
      <c r="N912" s="31">
        <v>2015</v>
      </c>
      <c r="O912" s="31">
        <v>78</v>
      </c>
      <c r="P912" s="31"/>
      <c r="Q912" s="31"/>
      <c r="R912" s="33"/>
      <c r="S912" s="34" t="str">
        <f>HYPERLINK("http://www.cnpol.ru/covers/15952.jpg","фото на сайте")</f>
        <v>фото на сайте</v>
      </c>
    </row>
    <row r="913" spans="1:19" ht="50.1" customHeight="1">
      <c r="A913" s="31"/>
      <c r="B913" s="32" t="s">
        <v>3728</v>
      </c>
      <c r="C913" s="31" t="s">
        <v>546</v>
      </c>
      <c r="D913" s="31" t="s">
        <v>765</v>
      </c>
      <c r="E913" s="31" t="s">
        <v>3729</v>
      </c>
      <c r="F913" s="31">
        <v>305</v>
      </c>
      <c r="G913" s="31">
        <v>93</v>
      </c>
      <c r="H913" s="31">
        <v>10</v>
      </c>
      <c r="I913" s="31">
        <v>30</v>
      </c>
      <c r="J913" s="31" t="s">
        <v>3730</v>
      </c>
      <c r="K913" s="31" t="s">
        <v>123</v>
      </c>
      <c r="L913" s="31" t="s">
        <v>56</v>
      </c>
      <c r="M913" s="31">
        <v>160</v>
      </c>
      <c r="N913" s="31">
        <v>2019</v>
      </c>
      <c r="O913" s="31">
        <v>78</v>
      </c>
      <c r="P913" s="31"/>
      <c r="Q913" s="31"/>
      <c r="R913" s="33"/>
      <c r="S913" s="34" t="str">
        <f>HYPERLINK("http://www.cnpol.ru/covers/18639.jpg","фото на сайте")</f>
        <v>фото на сайте</v>
      </c>
    </row>
    <row r="914" spans="1:19" ht="50.1" customHeight="1">
      <c r="A914" s="31"/>
      <c r="B914" s="32" t="s">
        <v>3731</v>
      </c>
      <c r="C914" s="31" t="s">
        <v>413</v>
      </c>
      <c r="D914" s="31" t="s">
        <v>414</v>
      </c>
      <c r="E914" s="31" t="s">
        <v>3732</v>
      </c>
      <c r="F914" s="31">
        <v>102</v>
      </c>
      <c r="G914" s="31">
        <v>117</v>
      </c>
      <c r="H914" s="31">
        <v>10</v>
      </c>
      <c r="I914" s="31">
        <v>36</v>
      </c>
      <c r="J914" s="31" t="s">
        <v>3733</v>
      </c>
      <c r="K914" s="31" t="s">
        <v>123</v>
      </c>
      <c r="L914" s="31" t="s">
        <v>56</v>
      </c>
      <c r="M914" s="31">
        <v>192</v>
      </c>
      <c r="N914" s="31">
        <v>2016</v>
      </c>
      <c r="O914" s="31">
        <v>90</v>
      </c>
      <c r="P914" s="31"/>
      <c r="Q914" s="31"/>
      <c r="R914" s="33"/>
      <c r="S914" s="34" t="str">
        <f>HYPERLINK("http://www.cnpol.ru/covers/16708.jpg","фото на сайте")</f>
        <v>фото на сайте</v>
      </c>
    </row>
    <row r="915" spans="1:19" ht="50.1" customHeight="1">
      <c r="A915" s="31"/>
      <c r="B915" s="32" t="s">
        <v>3734</v>
      </c>
      <c r="C915" s="31" t="s">
        <v>546</v>
      </c>
      <c r="D915" s="31" t="s">
        <v>814</v>
      </c>
      <c r="E915" s="31" t="s">
        <v>3735</v>
      </c>
      <c r="F915" s="31">
        <v>296</v>
      </c>
      <c r="G915" s="31">
        <v>93</v>
      </c>
      <c r="H915" s="31">
        <v>10</v>
      </c>
      <c r="I915" s="31">
        <v>30</v>
      </c>
      <c r="J915" s="31" t="s">
        <v>3736</v>
      </c>
      <c r="K915" s="31" t="s">
        <v>123</v>
      </c>
      <c r="L915" s="31" t="s">
        <v>56</v>
      </c>
      <c r="M915" s="31">
        <v>160</v>
      </c>
      <c r="N915" s="31">
        <v>2019</v>
      </c>
      <c r="O915" s="31">
        <v>74</v>
      </c>
      <c r="P915" s="31"/>
      <c r="Q915" s="31"/>
      <c r="R915" s="33"/>
      <c r="S915" s="34" t="str">
        <f>HYPERLINK("http://www.cnpol.ru/covers/18524.jpg","фото на сайте")</f>
        <v>фото на сайте</v>
      </c>
    </row>
    <row r="916" spans="1:19" ht="50.1" customHeight="1">
      <c r="A916" s="31"/>
      <c r="B916" s="32" t="s">
        <v>3737</v>
      </c>
      <c r="C916" s="31" t="s">
        <v>1338</v>
      </c>
      <c r="D916" s="31" t="s">
        <v>1831</v>
      </c>
      <c r="E916" s="31" t="s">
        <v>3738</v>
      </c>
      <c r="F916" s="31" t="s">
        <v>31</v>
      </c>
      <c r="G916" s="31">
        <v>154</v>
      </c>
      <c r="H916" s="31">
        <v>10</v>
      </c>
      <c r="I916" s="31">
        <v>24</v>
      </c>
      <c r="J916" s="31" t="s">
        <v>3739</v>
      </c>
      <c r="K916" s="31" t="s">
        <v>55</v>
      </c>
      <c r="L916" s="31" t="s">
        <v>56</v>
      </c>
      <c r="M916" s="31">
        <v>333</v>
      </c>
      <c r="N916" s="31">
        <v>2008</v>
      </c>
      <c r="O916" s="31">
        <v>140</v>
      </c>
      <c r="P916" s="31"/>
      <c r="Q916" s="31"/>
      <c r="R916" s="33"/>
      <c r="S916" s="34" t="str">
        <f>HYPERLINK("http://www.cnpol.ru/covers/7797.jpg","фото на сайте")</f>
        <v>фото на сайте</v>
      </c>
    </row>
    <row r="917" spans="1:19" ht="50.1" customHeight="1">
      <c r="A917" s="31"/>
      <c r="B917" s="32" t="s">
        <v>3740</v>
      </c>
      <c r="C917" s="31" t="s">
        <v>413</v>
      </c>
      <c r="D917" s="31" t="s">
        <v>3741</v>
      </c>
      <c r="E917" s="31" t="s">
        <v>3742</v>
      </c>
      <c r="F917" s="31">
        <v>78</v>
      </c>
      <c r="G917" s="31">
        <v>117</v>
      </c>
      <c r="H917" s="31">
        <v>10</v>
      </c>
      <c r="I917" s="31">
        <v>36</v>
      </c>
      <c r="J917" s="31" t="s">
        <v>3743</v>
      </c>
      <c r="K917" s="31" t="s">
        <v>123</v>
      </c>
      <c r="L917" s="31" t="s">
        <v>56</v>
      </c>
      <c r="M917" s="31">
        <v>158</v>
      </c>
      <c r="N917" s="31">
        <v>2015</v>
      </c>
      <c r="O917" s="31">
        <v>90</v>
      </c>
      <c r="P917" s="31"/>
      <c r="Q917" s="31"/>
      <c r="R917" s="33"/>
      <c r="S917" s="34" t="str">
        <f>HYPERLINK("http://www.cnpol.ru/covers/16343.jpg","фото на сайте")</f>
        <v>фото на сайте</v>
      </c>
    </row>
    <row r="918" spans="1:19" ht="50.1" customHeight="1">
      <c r="A918" s="31"/>
      <c r="B918" s="32" t="s">
        <v>3744</v>
      </c>
      <c r="C918" s="31" t="s">
        <v>538</v>
      </c>
      <c r="D918" s="31" t="s">
        <v>3745</v>
      </c>
      <c r="E918" s="31" t="s">
        <v>3746</v>
      </c>
      <c r="F918" s="31" t="s">
        <v>31</v>
      </c>
      <c r="G918" s="31">
        <v>559</v>
      </c>
      <c r="H918" s="31">
        <v>10</v>
      </c>
      <c r="I918" s="31">
        <v>12</v>
      </c>
      <c r="J918" s="31" t="s">
        <v>3747</v>
      </c>
      <c r="K918" s="31" t="s">
        <v>33</v>
      </c>
      <c r="L918" s="31" t="s">
        <v>34</v>
      </c>
      <c r="M918" s="31">
        <v>350</v>
      </c>
      <c r="N918" s="31">
        <v>2009</v>
      </c>
      <c r="O918" s="31">
        <v>338</v>
      </c>
      <c r="P918" s="31"/>
      <c r="Q918" s="31"/>
      <c r="R918" s="33"/>
      <c r="S918" s="34" t="str">
        <f>HYPERLINK("http://www.cnpol.ru/covers/11083.jpg","фото на сайте")</f>
        <v>фото на сайте</v>
      </c>
    </row>
    <row r="919" spans="1:19" ht="50.1" customHeight="1">
      <c r="A919" s="31"/>
      <c r="B919" s="32" t="s">
        <v>3748</v>
      </c>
      <c r="C919" s="31" t="s">
        <v>520</v>
      </c>
      <c r="D919" s="31" t="s">
        <v>3749</v>
      </c>
      <c r="E919" s="31" t="s">
        <v>3750</v>
      </c>
      <c r="F919" s="31">
        <v>17</v>
      </c>
      <c r="G919" s="31">
        <v>117</v>
      </c>
      <c r="H919" s="31">
        <v>10</v>
      </c>
      <c r="I919" s="31">
        <v>30</v>
      </c>
      <c r="J919" s="31" t="s">
        <v>3751</v>
      </c>
      <c r="K919" s="31" t="s">
        <v>123</v>
      </c>
      <c r="L919" s="31" t="s">
        <v>56</v>
      </c>
      <c r="M919" s="31">
        <v>192</v>
      </c>
      <c r="N919" s="31">
        <v>2016</v>
      </c>
      <c r="O919" s="31">
        <v>90</v>
      </c>
      <c r="P919" s="31"/>
      <c r="Q919" s="31"/>
      <c r="R919" s="33"/>
      <c r="S919" s="34" t="str">
        <f>HYPERLINK("http://www.cnpol.ru/covers/16489.jpg","фото на сайте")</f>
        <v>фото на сайте</v>
      </c>
    </row>
    <row r="920" spans="1:19" ht="50.1" customHeight="1">
      <c r="A920" s="31"/>
      <c r="B920" s="32" t="s">
        <v>3752</v>
      </c>
      <c r="C920" s="31" t="s">
        <v>3753</v>
      </c>
      <c r="D920" s="31" t="s">
        <v>3754</v>
      </c>
      <c r="E920" s="31" t="s">
        <v>3755</v>
      </c>
      <c r="F920" s="31" t="s">
        <v>31</v>
      </c>
      <c r="G920" s="31">
        <v>154</v>
      </c>
      <c r="H920" s="31">
        <v>10</v>
      </c>
      <c r="I920" s="31">
        <v>40</v>
      </c>
      <c r="J920" s="31" t="s">
        <v>3756</v>
      </c>
      <c r="K920" s="31" t="s">
        <v>123</v>
      </c>
      <c r="L920" s="31" t="s">
        <v>56</v>
      </c>
      <c r="M920" s="31">
        <v>379</v>
      </c>
      <c r="N920" s="31">
        <v>2014</v>
      </c>
      <c r="O920" s="31">
        <v>180</v>
      </c>
      <c r="P920" s="31"/>
      <c r="Q920" s="31"/>
      <c r="R920" s="33"/>
      <c r="S920" s="34" t="str">
        <f>HYPERLINK("http://www.cnpol.ru/covers/15127.jpg","фото на сайте")</f>
        <v>фото на сайте</v>
      </c>
    </row>
    <row r="921" spans="1:19" ht="50.1" customHeight="1">
      <c r="A921" s="31"/>
      <c r="B921" s="32" t="s">
        <v>3757</v>
      </c>
      <c r="C921" s="31" t="s">
        <v>520</v>
      </c>
      <c r="D921" s="31" t="s">
        <v>3606</v>
      </c>
      <c r="E921" s="31" t="s">
        <v>3758</v>
      </c>
      <c r="F921" s="31">
        <v>25</v>
      </c>
      <c r="G921" s="31">
        <v>117</v>
      </c>
      <c r="H921" s="31">
        <v>10</v>
      </c>
      <c r="I921" s="31">
        <v>30</v>
      </c>
      <c r="J921" s="31" t="s">
        <v>3759</v>
      </c>
      <c r="K921" s="31" t="s">
        <v>123</v>
      </c>
      <c r="L921" s="31" t="s">
        <v>56</v>
      </c>
      <c r="M921" s="31">
        <v>192</v>
      </c>
      <c r="N921" s="31">
        <v>2016</v>
      </c>
      <c r="O921" s="31">
        <v>90</v>
      </c>
      <c r="P921" s="31"/>
      <c r="Q921" s="31"/>
      <c r="R921" s="33"/>
      <c r="S921" s="34" t="str">
        <f>HYPERLINK("http://www.cnpol.ru/covers/16723.jpg","фото на сайте")</f>
        <v>фото на сайте</v>
      </c>
    </row>
    <row r="922" spans="1:19" ht="50.1" customHeight="1">
      <c r="A922" s="31"/>
      <c r="B922" s="32" t="s">
        <v>3760</v>
      </c>
      <c r="C922" s="31" t="s">
        <v>385</v>
      </c>
      <c r="D922" s="31" t="s">
        <v>386</v>
      </c>
      <c r="E922" s="31" t="s">
        <v>3761</v>
      </c>
      <c r="F922" s="31" t="s">
        <v>31</v>
      </c>
      <c r="G922" s="31">
        <v>162</v>
      </c>
      <c r="H922" s="31">
        <v>10</v>
      </c>
      <c r="I922" s="31">
        <v>32</v>
      </c>
      <c r="J922" s="31" t="s">
        <v>3762</v>
      </c>
      <c r="K922" s="31" t="s">
        <v>55</v>
      </c>
      <c r="L922" s="31" t="s">
        <v>56</v>
      </c>
      <c r="M922" s="31">
        <v>256</v>
      </c>
      <c r="N922" s="31">
        <v>2016</v>
      </c>
      <c r="O922" s="31">
        <v>108</v>
      </c>
      <c r="P922" s="31"/>
      <c r="Q922" s="31"/>
      <c r="R922" s="33"/>
      <c r="S922" s="34" t="str">
        <f>HYPERLINK("http://www.cnpol.ru/covers/0135.jpg","фото на сайте")</f>
        <v>фото на сайте</v>
      </c>
    </row>
    <row r="923" spans="1:19" ht="50.1" customHeight="1">
      <c r="A923" s="31"/>
      <c r="B923" s="32" t="s">
        <v>3763</v>
      </c>
      <c r="C923" s="31" t="s">
        <v>390</v>
      </c>
      <c r="D923" s="31" t="s">
        <v>653</v>
      </c>
      <c r="E923" s="31" t="s">
        <v>3764</v>
      </c>
      <c r="F923" s="31">
        <v>1082</v>
      </c>
      <c r="G923" s="31">
        <v>86</v>
      </c>
      <c r="H923" s="31">
        <v>10</v>
      </c>
      <c r="I923" s="31">
        <v>30</v>
      </c>
      <c r="J923" s="31" t="s">
        <v>3765</v>
      </c>
      <c r="K923" s="31" t="s">
        <v>123</v>
      </c>
      <c r="L923" s="31" t="s">
        <v>56</v>
      </c>
      <c r="M923" s="31">
        <v>159</v>
      </c>
      <c r="N923" s="31">
        <v>2022</v>
      </c>
      <c r="O923" s="31">
        <v>76</v>
      </c>
      <c r="P923" s="31"/>
      <c r="Q923" s="31"/>
      <c r="R923" s="33"/>
      <c r="S923" s="34" t="str">
        <f>HYPERLINK("http://www.cnpol.ru/covers/20118.jpg","фото на сайте")</f>
        <v>фото на сайте</v>
      </c>
    </row>
    <row r="924" spans="1:19" ht="50.1" customHeight="1">
      <c r="A924" s="31"/>
      <c r="B924" s="32" t="s">
        <v>3766</v>
      </c>
      <c r="C924" s="31" t="s">
        <v>3767</v>
      </c>
      <c r="D924" s="31" t="s">
        <v>3768</v>
      </c>
      <c r="E924" s="31" t="s">
        <v>3769</v>
      </c>
      <c r="F924" s="31" t="s">
        <v>31</v>
      </c>
      <c r="G924" s="35">
        <v>1058</v>
      </c>
      <c r="H924" s="31">
        <v>10</v>
      </c>
      <c r="I924" s="31">
        <v>10</v>
      </c>
      <c r="J924" s="31" t="s">
        <v>3770</v>
      </c>
      <c r="K924" s="31" t="s">
        <v>33</v>
      </c>
      <c r="L924" s="31" t="s">
        <v>34</v>
      </c>
      <c r="M924" s="31">
        <v>512</v>
      </c>
      <c r="N924" s="31">
        <v>2019</v>
      </c>
      <c r="O924" s="31">
        <v>604</v>
      </c>
      <c r="P924" s="31"/>
      <c r="Q924" s="31"/>
      <c r="R924" s="33"/>
      <c r="S924" s="34" t="str">
        <f>HYPERLINK("http://www.cnpol.ru/covers/18617.jpg","фото на сайте")</f>
        <v>фото на сайте</v>
      </c>
    </row>
    <row r="925" spans="1:19" ht="50.1" customHeight="1">
      <c r="A925" s="31"/>
      <c r="B925" s="32" t="s">
        <v>3771</v>
      </c>
      <c r="C925" s="31" t="s">
        <v>2228</v>
      </c>
      <c r="D925" s="31" t="s">
        <v>3772</v>
      </c>
      <c r="E925" s="31" t="s">
        <v>3773</v>
      </c>
      <c r="F925" s="31">
        <v>9</v>
      </c>
      <c r="G925" s="31">
        <v>290</v>
      </c>
      <c r="H925" s="31">
        <v>10</v>
      </c>
      <c r="I925" s="31">
        <v>20</v>
      </c>
      <c r="J925" s="31" t="s">
        <v>3774</v>
      </c>
      <c r="K925" s="31" t="s">
        <v>2231</v>
      </c>
      <c r="L925" s="31" t="s">
        <v>34</v>
      </c>
      <c r="M925" s="31">
        <v>160</v>
      </c>
      <c r="N925" s="31">
        <v>2010</v>
      </c>
      <c r="O925" s="31">
        <v>300</v>
      </c>
      <c r="P925" s="31"/>
      <c r="Q925" s="31"/>
      <c r="R925" s="33"/>
      <c r="S925" s="34" t="str">
        <f>HYPERLINK("http://www.cnpol.ru/covers/11747.jpg","фото на сайте")</f>
        <v>фото на сайте</v>
      </c>
    </row>
    <row r="926" spans="1:19" ht="50.1" customHeight="1">
      <c r="A926" s="31"/>
      <c r="B926" s="32" t="s">
        <v>3775</v>
      </c>
      <c r="C926" s="31" t="s">
        <v>2228</v>
      </c>
      <c r="D926" s="31" t="s">
        <v>3772</v>
      </c>
      <c r="E926" s="31" t="s">
        <v>3776</v>
      </c>
      <c r="F926" s="31">
        <v>3</v>
      </c>
      <c r="G926" s="31">
        <v>290</v>
      </c>
      <c r="H926" s="31">
        <v>10</v>
      </c>
      <c r="I926" s="31">
        <v>20</v>
      </c>
      <c r="J926" s="31" t="s">
        <v>3777</v>
      </c>
      <c r="K926" s="31" t="s">
        <v>2231</v>
      </c>
      <c r="L926" s="31" t="s">
        <v>34</v>
      </c>
      <c r="M926" s="31">
        <v>160</v>
      </c>
      <c r="N926" s="31">
        <v>2010</v>
      </c>
      <c r="O926" s="31">
        <v>300</v>
      </c>
      <c r="P926" s="31"/>
      <c r="Q926" s="31"/>
      <c r="R926" s="33"/>
      <c r="S926" s="34" t="str">
        <f>HYPERLINK("http://www.cnpol.ru/covers/11744.jpg","фото на сайте")</f>
        <v>фото на сайте</v>
      </c>
    </row>
    <row r="927" spans="1:19" ht="50.1" customHeight="1">
      <c r="A927" s="31"/>
      <c r="B927" s="32" t="s">
        <v>3778</v>
      </c>
      <c r="C927" s="31" t="s">
        <v>3779</v>
      </c>
      <c r="D927" s="31" t="s">
        <v>3780</v>
      </c>
      <c r="E927" s="31" t="s">
        <v>3781</v>
      </c>
      <c r="F927" s="31" t="s">
        <v>31</v>
      </c>
      <c r="G927" s="31">
        <v>389</v>
      </c>
      <c r="H927" s="31">
        <v>10</v>
      </c>
      <c r="I927" s="31">
        <v>16</v>
      </c>
      <c r="J927" s="31" t="s">
        <v>3782</v>
      </c>
      <c r="K927" s="31" t="s">
        <v>33</v>
      </c>
      <c r="L927" s="31" t="s">
        <v>34</v>
      </c>
      <c r="M927" s="31">
        <v>255</v>
      </c>
      <c r="N927" s="31">
        <v>2012</v>
      </c>
      <c r="O927" s="31">
        <v>238</v>
      </c>
      <c r="P927" s="31"/>
      <c r="Q927" s="31"/>
      <c r="R927" s="33"/>
      <c r="S927" s="34" t="str">
        <f>HYPERLINK("http://www.cnpol.ru/covers/13959.jpg","фото на сайте")</f>
        <v>фото на сайте</v>
      </c>
    </row>
    <row r="928" spans="1:19" ht="50.1" customHeight="1">
      <c r="A928" s="31"/>
      <c r="B928" s="32" t="s">
        <v>3783</v>
      </c>
      <c r="C928" s="31" t="s">
        <v>3779</v>
      </c>
      <c r="D928" s="31" t="s">
        <v>3780</v>
      </c>
      <c r="E928" s="31" t="s">
        <v>3784</v>
      </c>
      <c r="F928" s="31" t="s">
        <v>31</v>
      </c>
      <c r="G928" s="31">
        <v>389</v>
      </c>
      <c r="H928" s="31">
        <v>10</v>
      </c>
      <c r="I928" s="31">
        <v>16</v>
      </c>
      <c r="J928" s="31" t="s">
        <v>3785</v>
      </c>
      <c r="K928" s="31" t="s">
        <v>33</v>
      </c>
      <c r="L928" s="31" t="s">
        <v>34</v>
      </c>
      <c r="M928" s="31">
        <v>256</v>
      </c>
      <c r="N928" s="31">
        <v>2013</v>
      </c>
      <c r="O928" s="31">
        <v>238</v>
      </c>
      <c r="P928" s="31"/>
      <c r="Q928" s="31"/>
      <c r="R928" s="33"/>
      <c r="S928" s="34" t="str">
        <f>HYPERLINK("http://www.cnpol.ru/covers/14092.jpg","фото на сайте")</f>
        <v>фото на сайте</v>
      </c>
    </row>
    <row r="929" spans="1:19" ht="50.1" customHeight="1">
      <c r="A929" s="31"/>
      <c r="B929" s="32" t="s">
        <v>3786</v>
      </c>
      <c r="C929" s="31" t="s">
        <v>1323</v>
      </c>
      <c r="D929" s="31" t="s">
        <v>1835</v>
      </c>
      <c r="E929" s="31" t="s">
        <v>3787</v>
      </c>
      <c r="F929" s="31" t="s">
        <v>31</v>
      </c>
      <c r="G929" s="31">
        <v>169</v>
      </c>
      <c r="H929" s="31">
        <v>10</v>
      </c>
      <c r="I929" s="31">
        <v>16</v>
      </c>
      <c r="J929" s="31" t="s">
        <v>3788</v>
      </c>
      <c r="K929" s="31" t="s">
        <v>55</v>
      </c>
      <c r="L929" s="31" t="s">
        <v>56</v>
      </c>
      <c r="M929" s="31">
        <v>287</v>
      </c>
      <c r="N929" s="31">
        <v>2021</v>
      </c>
      <c r="O929" s="31">
        <v>136</v>
      </c>
      <c r="P929" s="31"/>
      <c r="Q929" s="31"/>
      <c r="R929" s="33"/>
      <c r="S929" s="34" t="str">
        <f>HYPERLINK("http://www.cnpol.ru/covers/20007.jpg","фото на сайте")</f>
        <v>фото на сайте</v>
      </c>
    </row>
    <row r="930" spans="1:19" ht="50.1" customHeight="1">
      <c r="A930" s="31"/>
      <c r="B930" s="32" t="s">
        <v>3789</v>
      </c>
      <c r="C930" s="31" t="s">
        <v>3790</v>
      </c>
      <c r="D930" s="31" t="s">
        <v>3791</v>
      </c>
      <c r="E930" s="31" t="s">
        <v>3792</v>
      </c>
      <c r="F930" s="31" t="s">
        <v>31</v>
      </c>
      <c r="G930" s="31">
        <v>441</v>
      </c>
      <c r="H930" s="31">
        <v>10</v>
      </c>
      <c r="I930" s="31">
        <v>24</v>
      </c>
      <c r="J930" s="31" t="s">
        <v>3793</v>
      </c>
      <c r="K930" s="31" t="s">
        <v>33</v>
      </c>
      <c r="L930" s="31" t="s">
        <v>34</v>
      </c>
      <c r="M930" s="31">
        <v>233</v>
      </c>
      <c r="N930" s="31">
        <v>2008</v>
      </c>
      <c r="O930" s="31">
        <v>238</v>
      </c>
      <c r="P930" s="31"/>
      <c r="Q930" s="31"/>
      <c r="R930" s="33"/>
      <c r="S930" s="34" t="str">
        <f>HYPERLINK("http://www.cnpol.ru/covers/10678.jpg","фото на сайте")</f>
        <v>фото на сайте</v>
      </c>
    </row>
    <row r="931" spans="1:19" ht="50.1" customHeight="1">
      <c r="A931" s="31"/>
      <c r="B931" s="32" t="s">
        <v>3794</v>
      </c>
      <c r="C931" s="31" t="s">
        <v>390</v>
      </c>
      <c r="D931" s="31" t="s">
        <v>2285</v>
      </c>
      <c r="E931" s="31" t="s">
        <v>3795</v>
      </c>
      <c r="F931" s="31">
        <v>261</v>
      </c>
      <c r="G931" s="31">
        <v>86</v>
      </c>
      <c r="H931" s="31">
        <v>10</v>
      </c>
      <c r="I931" s="31">
        <v>30</v>
      </c>
      <c r="J931" s="31" t="s">
        <v>3796</v>
      </c>
      <c r="K931" s="31" t="s">
        <v>123</v>
      </c>
      <c r="L931" s="31" t="s">
        <v>56</v>
      </c>
      <c r="M931" s="31">
        <v>158</v>
      </c>
      <c r="N931" s="31">
        <v>2012</v>
      </c>
      <c r="O931" s="31">
        <v>78</v>
      </c>
      <c r="P931" s="31"/>
      <c r="Q931" s="31"/>
      <c r="R931" s="33"/>
      <c r="S931" s="34" t="str">
        <f>HYPERLINK("http://www.cnpol.ru/covers/13771.jpg","фото на сайте")</f>
        <v>фото на сайте</v>
      </c>
    </row>
    <row r="932" spans="1:19" ht="50.1" customHeight="1">
      <c r="A932" s="31"/>
      <c r="B932" s="32" t="s">
        <v>3797</v>
      </c>
      <c r="C932" s="31" t="s">
        <v>390</v>
      </c>
      <c r="D932" s="31" t="s">
        <v>3798</v>
      </c>
      <c r="E932" s="31" t="s">
        <v>3799</v>
      </c>
      <c r="F932" s="31">
        <v>538</v>
      </c>
      <c r="G932" s="31">
        <v>86</v>
      </c>
      <c r="H932" s="31">
        <v>10</v>
      </c>
      <c r="I932" s="31">
        <v>30</v>
      </c>
      <c r="J932" s="31" t="s">
        <v>3800</v>
      </c>
      <c r="K932" s="31" t="s">
        <v>123</v>
      </c>
      <c r="L932" s="31" t="s">
        <v>56</v>
      </c>
      <c r="M932" s="31">
        <v>158</v>
      </c>
      <c r="N932" s="31">
        <v>2015</v>
      </c>
      <c r="O932" s="31">
        <v>76</v>
      </c>
      <c r="P932" s="31"/>
      <c r="Q932" s="31"/>
      <c r="R932" s="33"/>
      <c r="S932" s="34" t="str">
        <f>HYPERLINK("http://www.cnpol.ru/covers/16155.jpg","фото на сайте")</f>
        <v>фото на сайте</v>
      </c>
    </row>
    <row r="933" spans="1:19" ht="50.1" customHeight="1">
      <c r="A933" s="31"/>
      <c r="B933" s="32" t="s">
        <v>3801</v>
      </c>
      <c r="C933" s="31" t="s">
        <v>520</v>
      </c>
      <c r="D933" s="31" t="s">
        <v>3091</v>
      </c>
      <c r="E933" s="31" t="s">
        <v>3802</v>
      </c>
      <c r="F933" s="31">
        <v>42</v>
      </c>
      <c r="G933" s="31">
        <v>117</v>
      </c>
      <c r="H933" s="31">
        <v>10</v>
      </c>
      <c r="I933" s="31">
        <v>30</v>
      </c>
      <c r="J933" s="31" t="s">
        <v>3803</v>
      </c>
      <c r="K933" s="31" t="s">
        <v>123</v>
      </c>
      <c r="L933" s="31" t="s">
        <v>56</v>
      </c>
      <c r="M933" s="31">
        <v>192</v>
      </c>
      <c r="N933" s="31">
        <v>2017</v>
      </c>
      <c r="O933" s="31">
        <v>90</v>
      </c>
      <c r="P933" s="31"/>
      <c r="Q933" s="31"/>
      <c r="R933" s="33"/>
      <c r="S933" s="34" t="str">
        <f>HYPERLINK("http://www.cnpol.ru/covers/17303.jpg","фото на сайте")</f>
        <v>фото на сайте</v>
      </c>
    </row>
    <row r="934" spans="1:19" ht="50.1" customHeight="1">
      <c r="A934" s="31"/>
      <c r="B934" s="32" t="s">
        <v>3804</v>
      </c>
      <c r="C934" s="31" t="s">
        <v>297</v>
      </c>
      <c r="D934" s="31" t="s">
        <v>3805</v>
      </c>
      <c r="E934" s="31" t="s">
        <v>3806</v>
      </c>
      <c r="F934" s="31" t="s">
        <v>31</v>
      </c>
      <c r="G934" s="31">
        <v>300</v>
      </c>
      <c r="H934" s="31">
        <v>10</v>
      </c>
      <c r="I934" s="31">
        <v>12</v>
      </c>
      <c r="J934" s="31" t="s">
        <v>3807</v>
      </c>
      <c r="K934" s="31" t="s">
        <v>300</v>
      </c>
      <c r="L934" s="31" t="s">
        <v>56</v>
      </c>
      <c r="M934" s="31">
        <v>544</v>
      </c>
      <c r="N934" s="31">
        <v>2020</v>
      </c>
      <c r="O934" s="31">
        <v>270</v>
      </c>
      <c r="P934" s="31"/>
      <c r="Q934" s="31"/>
      <c r="R934" s="33"/>
      <c r="S934" s="34" t="str">
        <f>HYPERLINK("http://www.cnpol.ru/covers/19389.jpg","фото на сайте")</f>
        <v>фото на сайте</v>
      </c>
    </row>
    <row r="935" spans="1:19" ht="50.1" customHeight="1">
      <c r="A935" s="31"/>
      <c r="B935" s="32" t="s">
        <v>3808</v>
      </c>
      <c r="C935" s="31" t="s">
        <v>302</v>
      </c>
      <c r="D935" s="31" t="s">
        <v>3805</v>
      </c>
      <c r="E935" s="31" t="s">
        <v>3806</v>
      </c>
      <c r="F935" s="31" t="s">
        <v>31</v>
      </c>
      <c r="G935" s="31">
        <v>917</v>
      </c>
      <c r="H935" s="31">
        <v>10</v>
      </c>
      <c r="I935" s="31">
        <v>8</v>
      </c>
      <c r="J935" s="31" t="s">
        <v>3809</v>
      </c>
      <c r="K935" s="31" t="s">
        <v>41</v>
      </c>
      <c r="L935" s="31" t="s">
        <v>304</v>
      </c>
      <c r="M935" s="31">
        <v>544</v>
      </c>
      <c r="N935" s="31">
        <v>2016</v>
      </c>
      <c r="O935" s="31">
        <v>614</v>
      </c>
      <c r="P935" s="31"/>
      <c r="Q935" s="31"/>
      <c r="R935" s="33"/>
      <c r="S935" s="34" t="str">
        <f>HYPERLINK("http://www.cnpol.ru/covers/16891.jpg","фото на сайте")</f>
        <v>фото на сайте</v>
      </c>
    </row>
    <row r="936" spans="1:19" ht="50.1" customHeight="1">
      <c r="A936" s="31"/>
      <c r="B936" s="32" t="s">
        <v>3810</v>
      </c>
      <c r="C936" s="31" t="s">
        <v>1527</v>
      </c>
      <c r="D936" s="31" t="s">
        <v>1528</v>
      </c>
      <c r="E936" s="31" t="s">
        <v>3811</v>
      </c>
      <c r="F936" s="31">
        <v>2</v>
      </c>
      <c r="G936" s="31">
        <v>559</v>
      </c>
      <c r="H936" s="31">
        <v>10</v>
      </c>
      <c r="I936" s="31">
        <v>10</v>
      </c>
      <c r="J936" s="31" t="s">
        <v>3812</v>
      </c>
      <c r="K936" s="31" t="s">
        <v>158</v>
      </c>
      <c r="L936" s="31" t="s">
        <v>34</v>
      </c>
      <c r="M936" s="31">
        <v>446</v>
      </c>
      <c r="N936" s="31">
        <v>2016</v>
      </c>
      <c r="O936" s="31">
        <v>388</v>
      </c>
      <c r="P936" s="31"/>
      <c r="Q936" s="31"/>
      <c r="R936" s="33"/>
      <c r="S936" s="34" t="str">
        <f>HYPERLINK("http://www.cnpol.ru/covers/16694.jpg","фото на сайте")</f>
        <v>фото на сайте</v>
      </c>
    </row>
    <row r="937" spans="1:19" ht="50.1" customHeight="1">
      <c r="A937" s="31"/>
      <c r="B937" s="32" t="s">
        <v>3813</v>
      </c>
      <c r="C937" s="31" t="s">
        <v>390</v>
      </c>
      <c r="D937" s="31" t="s">
        <v>547</v>
      </c>
      <c r="E937" s="31" t="s">
        <v>3814</v>
      </c>
      <c r="F937" s="31">
        <v>330</v>
      </c>
      <c r="G937" s="31">
        <v>86</v>
      </c>
      <c r="H937" s="31">
        <v>10</v>
      </c>
      <c r="I937" s="31">
        <v>30</v>
      </c>
      <c r="J937" s="31" t="s">
        <v>3815</v>
      </c>
      <c r="K937" s="31" t="s">
        <v>123</v>
      </c>
      <c r="L937" s="31" t="s">
        <v>56</v>
      </c>
      <c r="M937" s="31">
        <v>158</v>
      </c>
      <c r="N937" s="31">
        <v>2013</v>
      </c>
      <c r="O937" s="31">
        <v>78</v>
      </c>
      <c r="P937" s="31"/>
      <c r="Q937" s="31"/>
      <c r="R937" s="33"/>
      <c r="S937" s="34" t="str">
        <f>HYPERLINK("http://www.cnpol.ru/covers/14382.jpg","фото на сайте")</f>
        <v>фото на сайте</v>
      </c>
    </row>
    <row r="938" spans="1:19" ht="50.1" customHeight="1">
      <c r="A938" s="31"/>
      <c r="B938" s="32" t="s">
        <v>3816</v>
      </c>
      <c r="C938" s="31" t="s">
        <v>413</v>
      </c>
      <c r="D938" s="31" t="s">
        <v>3817</v>
      </c>
      <c r="E938" s="31" t="s">
        <v>3818</v>
      </c>
      <c r="F938" s="31">
        <v>56</v>
      </c>
      <c r="G938" s="31">
        <v>117</v>
      </c>
      <c r="H938" s="31">
        <v>10</v>
      </c>
      <c r="I938" s="31">
        <v>36</v>
      </c>
      <c r="J938" s="31" t="s">
        <v>3819</v>
      </c>
      <c r="K938" s="31" t="s">
        <v>123</v>
      </c>
      <c r="L938" s="31" t="s">
        <v>56</v>
      </c>
      <c r="M938" s="31">
        <v>190</v>
      </c>
      <c r="N938" s="31">
        <v>2015</v>
      </c>
      <c r="O938" s="31">
        <v>90</v>
      </c>
      <c r="P938" s="31"/>
      <c r="Q938" s="31"/>
      <c r="R938" s="33"/>
      <c r="S938" s="34" t="str">
        <f>HYPERLINK("http://www.cnpol.ru/covers/15996.jpg","фото на сайте")</f>
        <v>фото на сайте</v>
      </c>
    </row>
    <row r="939" spans="1:19" ht="50.1" customHeight="1">
      <c r="A939" s="31" t="s">
        <v>43</v>
      </c>
      <c r="B939" s="32" t="s">
        <v>3820</v>
      </c>
      <c r="C939" s="31" t="s">
        <v>37</v>
      </c>
      <c r="D939" s="31" t="s">
        <v>3821</v>
      </c>
      <c r="E939" s="31" t="s">
        <v>3822</v>
      </c>
      <c r="F939" s="31" t="s">
        <v>31</v>
      </c>
      <c r="G939" s="31">
        <v>850</v>
      </c>
      <c r="H939" s="31">
        <v>10</v>
      </c>
      <c r="I939" s="31">
        <v>14</v>
      </c>
      <c r="J939" s="31" t="s">
        <v>3823</v>
      </c>
      <c r="K939" s="31" t="s">
        <v>33</v>
      </c>
      <c r="L939" s="31" t="s">
        <v>34</v>
      </c>
      <c r="M939" s="31">
        <v>271</v>
      </c>
      <c r="N939" s="31">
        <v>2025</v>
      </c>
      <c r="O939" s="31">
        <v>232</v>
      </c>
      <c r="P939" s="31"/>
      <c r="Q939" s="31"/>
      <c r="R939" s="33" t="s">
        <v>3824</v>
      </c>
      <c r="S939" s="34" t="str">
        <f>HYPERLINK("http://www.cnpol.ru/covers/21442.jpg","фото на сайте")</f>
        <v>фото на сайте</v>
      </c>
    </row>
    <row r="940" spans="1:19" ht="50.1" customHeight="1">
      <c r="A940" s="31"/>
      <c r="B940" s="32" t="s">
        <v>3825</v>
      </c>
      <c r="C940" s="31" t="s">
        <v>400</v>
      </c>
      <c r="D940" s="31" t="s">
        <v>3826</v>
      </c>
      <c r="E940" s="31" t="s">
        <v>3827</v>
      </c>
      <c r="F940" s="31" t="s">
        <v>31</v>
      </c>
      <c r="G940" s="31">
        <v>503</v>
      </c>
      <c r="H940" s="31">
        <v>10</v>
      </c>
      <c r="I940" s="31">
        <v>14</v>
      </c>
      <c r="J940" s="31" t="s">
        <v>3828</v>
      </c>
      <c r="K940" s="31" t="s">
        <v>33</v>
      </c>
      <c r="L940" s="31" t="s">
        <v>34</v>
      </c>
      <c r="M940" s="31">
        <v>288</v>
      </c>
      <c r="N940" s="31">
        <v>2019</v>
      </c>
      <c r="O940" s="31">
        <v>254</v>
      </c>
      <c r="P940" s="31"/>
      <c r="Q940" s="31"/>
      <c r="R940" s="33"/>
      <c r="S940" s="34" t="str">
        <f>HYPERLINK("http://www.cnpol.ru/covers/18720.jpg","фото на сайте")</f>
        <v>фото на сайте</v>
      </c>
    </row>
    <row r="941" spans="1:19" ht="50.1" customHeight="1">
      <c r="A941" s="31"/>
      <c r="B941" s="32" t="s">
        <v>3829</v>
      </c>
      <c r="C941" s="31" t="s">
        <v>846</v>
      </c>
      <c r="D941" s="31" t="s">
        <v>3830</v>
      </c>
      <c r="E941" s="31" t="s">
        <v>3831</v>
      </c>
      <c r="F941" s="31" t="s">
        <v>31</v>
      </c>
      <c r="G941" s="31">
        <v>370</v>
      </c>
      <c r="H941" s="31">
        <v>10</v>
      </c>
      <c r="I941" s="31">
        <v>18</v>
      </c>
      <c r="J941" s="31" t="s">
        <v>3832</v>
      </c>
      <c r="K941" s="31" t="s">
        <v>33</v>
      </c>
      <c r="L941" s="31" t="s">
        <v>34</v>
      </c>
      <c r="M941" s="31">
        <v>255</v>
      </c>
      <c r="N941" s="31">
        <v>2008</v>
      </c>
      <c r="O941" s="31">
        <v>256</v>
      </c>
      <c r="P941" s="31"/>
      <c r="Q941" s="31"/>
      <c r="R941" s="33"/>
      <c r="S941" s="34" t="str">
        <f>HYPERLINK("http://www.cnpol.ru/covers/8787.jpg","фото на сайте")</f>
        <v>фото на сайте</v>
      </c>
    </row>
    <row r="942" spans="1:19" ht="50.1" customHeight="1">
      <c r="A942" s="31"/>
      <c r="B942" s="32" t="s">
        <v>3833</v>
      </c>
      <c r="C942" s="31" t="s">
        <v>1338</v>
      </c>
      <c r="D942" s="31" t="s">
        <v>1339</v>
      </c>
      <c r="E942" s="31" t="s">
        <v>3834</v>
      </c>
      <c r="F942" s="31" t="s">
        <v>31</v>
      </c>
      <c r="G942" s="31">
        <v>154</v>
      </c>
      <c r="H942" s="31">
        <v>10</v>
      </c>
      <c r="I942" s="31">
        <v>24</v>
      </c>
      <c r="J942" s="31" t="s">
        <v>3835</v>
      </c>
      <c r="K942" s="31" t="s">
        <v>55</v>
      </c>
      <c r="L942" s="31" t="s">
        <v>56</v>
      </c>
      <c r="M942" s="31">
        <v>334</v>
      </c>
      <c r="N942" s="31">
        <v>2008</v>
      </c>
      <c r="O942" s="31">
        <v>140</v>
      </c>
      <c r="P942" s="31"/>
      <c r="Q942" s="31"/>
      <c r="R942" s="33"/>
      <c r="S942" s="34" t="str">
        <f>HYPERLINK("http://www.cnpol.ru/covers/7692.jpg","фото на сайте")</f>
        <v>фото на сайте</v>
      </c>
    </row>
    <row r="943" spans="1:19" ht="50.1" customHeight="1">
      <c r="A943" s="31"/>
      <c r="B943" s="32" t="s">
        <v>3836</v>
      </c>
      <c r="C943" s="31" t="s">
        <v>1102</v>
      </c>
      <c r="D943" s="31" t="s">
        <v>1103</v>
      </c>
      <c r="E943" s="31" t="s">
        <v>3837</v>
      </c>
      <c r="F943" s="31" t="s">
        <v>31</v>
      </c>
      <c r="G943" s="31">
        <v>611</v>
      </c>
      <c r="H943" s="31">
        <v>10</v>
      </c>
      <c r="I943" s="31">
        <v>12</v>
      </c>
      <c r="J943" s="31" t="s">
        <v>3838</v>
      </c>
      <c r="K943" s="31" t="s">
        <v>33</v>
      </c>
      <c r="L943" s="31" t="s">
        <v>34</v>
      </c>
      <c r="M943" s="31">
        <v>384</v>
      </c>
      <c r="N943" s="31">
        <v>2018</v>
      </c>
      <c r="O943" s="31">
        <v>300</v>
      </c>
      <c r="P943" s="31"/>
      <c r="Q943" s="31"/>
      <c r="R943" s="33"/>
      <c r="S943" s="34" t="str">
        <f>HYPERLINK("http://www.cnpol.ru/covers/17941.jpg","фото на сайте")</f>
        <v>фото на сайте</v>
      </c>
    </row>
    <row r="944" spans="1:19" ht="50.1" customHeight="1">
      <c r="A944" s="31"/>
      <c r="B944" s="32" t="s">
        <v>3839</v>
      </c>
      <c r="C944" s="31" t="s">
        <v>1003</v>
      </c>
      <c r="D944" s="31" t="s">
        <v>1004</v>
      </c>
      <c r="E944" s="31" t="s">
        <v>3840</v>
      </c>
      <c r="F944" s="31" t="s">
        <v>31</v>
      </c>
      <c r="G944" s="31">
        <v>122</v>
      </c>
      <c r="H944" s="31">
        <v>10</v>
      </c>
      <c r="I944" s="31">
        <v>20</v>
      </c>
      <c r="J944" s="31" t="s">
        <v>3841</v>
      </c>
      <c r="K944" s="31" t="s">
        <v>123</v>
      </c>
      <c r="L944" s="31" t="s">
        <v>56</v>
      </c>
      <c r="M944" s="31">
        <v>128</v>
      </c>
      <c r="N944" s="31">
        <v>2016</v>
      </c>
      <c r="O944" s="31">
        <v>60</v>
      </c>
      <c r="P944" s="31"/>
      <c r="Q944" s="31"/>
      <c r="R944" s="33"/>
      <c r="S944" s="34" t="str">
        <f>HYPERLINK("http://www.cnpol.ru/covers/16787.jpg","фото на сайте")</f>
        <v>фото на сайте</v>
      </c>
    </row>
    <row r="945" spans="1:19" ht="50.1" customHeight="1">
      <c r="A945" s="31"/>
      <c r="B945" s="32" t="s">
        <v>3842</v>
      </c>
      <c r="C945" s="31" t="s">
        <v>1003</v>
      </c>
      <c r="D945" s="31" t="s">
        <v>1004</v>
      </c>
      <c r="E945" s="31" t="s">
        <v>3843</v>
      </c>
      <c r="F945" s="31" t="s">
        <v>31</v>
      </c>
      <c r="G945" s="31">
        <v>122</v>
      </c>
      <c r="H945" s="31">
        <v>10</v>
      </c>
      <c r="I945" s="31">
        <v>20</v>
      </c>
      <c r="J945" s="31" t="s">
        <v>3844</v>
      </c>
      <c r="K945" s="31" t="s">
        <v>123</v>
      </c>
      <c r="L945" s="31" t="s">
        <v>56</v>
      </c>
      <c r="M945" s="31">
        <v>128</v>
      </c>
      <c r="N945" s="31">
        <v>2016</v>
      </c>
      <c r="O945" s="31">
        <v>60</v>
      </c>
      <c r="P945" s="31"/>
      <c r="Q945" s="31"/>
      <c r="R945" s="33"/>
      <c r="S945" s="34" t="str">
        <f>HYPERLINK("http://www.cnpol.ru/covers/16785.jpg","фото на сайте")</f>
        <v>фото на сайте</v>
      </c>
    </row>
    <row r="946" spans="1:19" ht="50.1" customHeight="1">
      <c r="A946" s="31"/>
      <c r="B946" s="32" t="s">
        <v>3845</v>
      </c>
      <c r="C946" s="31" t="s">
        <v>1265</v>
      </c>
      <c r="D946" s="31" t="s">
        <v>1266</v>
      </c>
      <c r="E946" s="31" t="s">
        <v>3846</v>
      </c>
      <c r="F946" s="31" t="s">
        <v>31</v>
      </c>
      <c r="G946" s="31">
        <v>88</v>
      </c>
      <c r="H946" s="31">
        <v>10</v>
      </c>
      <c r="I946" s="31">
        <v>60</v>
      </c>
      <c r="J946" s="31" t="s">
        <v>3847</v>
      </c>
      <c r="K946" s="31" t="s">
        <v>123</v>
      </c>
      <c r="L946" s="31" t="s">
        <v>56</v>
      </c>
      <c r="M946" s="31">
        <v>126</v>
      </c>
      <c r="N946" s="31">
        <v>2012</v>
      </c>
      <c r="O946" s="31">
        <v>64</v>
      </c>
      <c r="P946" s="31"/>
      <c r="Q946" s="31"/>
      <c r="R946" s="33"/>
      <c r="S946" s="34" t="str">
        <f>HYPERLINK("http://www.cnpol.ru/covers/13625.jpg","фото на сайте")</f>
        <v>фото на сайте</v>
      </c>
    </row>
    <row r="947" spans="1:19" ht="50.1" customHeight="1">
      <c r="A947" s="31"/>
      <c r="B947" s="32" t="s">
        <v>3848</v>
      </c>
      <c r="C947" s="31" t="s">
        <v>658</v>
      </c>
      <c r="D947" s="31" t="s">
        <v>3849</v>
      </c>
      <c r="E947" s="31" t="s">
        <v>3850</v>
      </c>
      <c r="F947" s="31" t="s">
        <v>31</v>
      </c>
      <c r="G947" s="31">
        <v>575</v>
      </c>
      <c r="H947" s="31">
        <v>10</v>
      </c>
      <c r="I947" s="31">
        <v>12</v>
      </c>
      <c r="J947" s="31" t="s">
        <v>3851</v>
      </c>
      <c r="K947" s="31" t="s">
        <v>33</v>
      </c>
      <c r="L947" s="31" t="s">
        <v>34</v>
      </c>
      <c r="M947" s="31">
        <v>352</v>
      </c>
      <c r="N947" s="31">
        <v>2023</v>
      </c>
      <c r="O947" s="31">
        <v>314</v>
      </c>
      <c r="P947" s="31"/>
      <c r="Q947" s="31"/>
      <c r="R947" s="33" t="s">
        <v>3852</v>
      </c>
      <c r="S947" s="34" t="str">
        <f>HYPERLINK("http://www.cnpol.ru/covers/20554.jpg","фото на сайте")</f>
        <v>фото на сайте</v>
      </c>
    </row>
    <row r="948" spans="1:19" ht="50.1" customHeight="1">
      <c r="A948" s="31"/>
      <c r="B948" s="32" t="s">
        <v>3853</v>
      </c>
      <c r="C948" s="31" t="s">
        <v>400</v>
      </c>
      <c r="D948" s="31" t="s">
        <v>3854</v>
      </c>
      <c r="E948" s="31" t="s">
        <v>3855</v>
      </c>
      <c r="F948" s="31" t="s">
        <v>31</v>
      </c>
      <c r="G948" s="31">
        <v>503</v>
      </c>
      <c r="H948" s="31">
        <v>10</v>
      </c>
      <c r="I948" s="31">
        <v>14</v>
      </c>
      <c r="J948" s="31" t="s">
        <v>3856</v>
      </c>
      <c r="K948" s="31" t="s">
        <v>33</v>
      </c>
      <c r="L948" s="31" t="s">
        <v>34</v>
      </c>
      <c r="M948" s="31">
        <v>288</v>
      </c>
      <c r="N948" s="31">
        <v>2019</v>
      </c>
      <c r="O948" s="31">
        <v>258</v>
      </c>
      <c r="P948" s="31"/>
      <c r="Q948" s="31"/>
      <c r="R948" s="33"/>
      <c r="S948" s="34" t="str">
        <f>HYPERLINK("http://www.cnpol.ru/covers/18871.jpg","фото на сайте")</f>
        <v>фото на сайте</v>
      </c>
    </row>
    <row r="949" spans="1:19" ht="50.1" customHeight="1">
      <c r="A949" s="31"/>
      <c r="B949" s="32" t="s">
        <v>3857</v>
      </c>
      <c r="C949" s="31" t="s">
        <v>479</v>
      </c>
      <c r="D949" s="31" t="s">
        <v>3858</v>
      </c>
      <c r="E949" s="31" t="s">
        <v>3859</v>
      </c>
      <c r="F949" s="31" t="s">
        <v>31</v>
      </c>
      <c r="G949" s="31">
        <v>675</v>
      </c>
      <c r="H949" s="31">
        <v>10</v>
      </c>
      <c r="I949" s="31">
        <v>10</v>
      </c>
      <c r="J949" s="31" t="s">
        <v>3860</v>
      </c>
      <c r="K949" s="31" t="s">
        <v>33</v>
      </c>
      <c r="L949" s="31" t="s">
        <v>34</v>
      </c>
      <c r="M949" s="31">
        <v>352</v>
      </c>
      <c r="N949" s="31">
        <v>2015</v>
      </c>
      <c r="O949" s="31">
        <v>392</v>
      </c>
      <c r="P949" s="31"/>
      <c r="Q949" s="31"/>
      <c r="R949" s="33"/>
      <c r="S949" s="34" t="str">
        <f>HYPERLINK("http://www.cnpol.ru/covers/16345.jpg","фото на сайте")</f>
        <v>фото на сайте</v>
      </c>
    </row>
    <row r="950" spans="1:19" ht="50.1" customHeight="1">
      <c r="A950" s="31"/>
      <c r="B950" s="32" t="s">
        <v>3861</v>
      </c>
      <c r="C950" s="31" t="s">
        <v>385</v>
      </c>
      <c r="D950" s="31" t="s">
        <v>386</v>
      </c>
      <c r="E950" s="31" t="s">
        <v>3862</v>
      </c>
      <c r="F950" s="31" t="s">
        <v>31</v>
      </c>
      <c r="G950" s="31">
        <v>162</v>
      </c>
      <c r="H950" s="31">
        <v>10</v>
      </c>
      <c r="I950" s="31">
        <v>32</v>
      </c>
      <c r="J950" s="31" t="s">
        <v>3863</v>
      </c>
      <c r="K950" s="31" t="s">
        <v>55</v>
      </c>
      <c r="L950" s="31" t="s">
        <v>56</v>
      </c>
      <c r="M950" s="31">
        <v>224</v>
      </c>
      <c r="N950" s="31">
        <v>2016</v>
      </c>
      <c r="O950" s="31">
        <v>96</v>
      </c>
      <c r="P950" s="31"/>
      <c r="Q950" s="31"/>
      <c r="R950" s="33"/>
      <c r="S950" s="34" t="str">
        <f>HYPERLINK("http://www.cnpol.ru/covers/0168.jpg","фото на сайте")</f>
        <v>фото на сайте</v>
      </c>
    </row>
    <row r="951" spans="1:19" ht="50.1" customHeight="1">
      <c r="A951" s="31"/>
      <c r="B951" s="32" t="s">
        <v>3864</v>
      </c>
      <c r="C951" s="31" t="s">
        <v>479</v>
      </c>
      <c r="D951" s="31" t="s">
        <v>3865</v>
      </c>
      <c r="E951" s="31" t="s">
        <v>3866</v>
      </c>
      <c r="F951" s="31" t="s">
        <v>31</v>
      </c>
      <c r="G951" s="31">
        <v>486</v>
      </c>
      <c r="H951" s="31">
        <v>10</v>
      </c>
      <c r="I951" s="31">
        <v>14</v>
      </c>
      <c r="J951" s="31" t="s">
        <v>3867</v>
      </c>
      <c r="K951" s="31" t="s">
        <v>33</v>
      </c>
      <c r="L951" s="31" t="s">
        <v>34</v>
      </c>
      <c r="M951" s="31">
        <v>336</v>
      </c>
      <c r="N951" s="31">
        <v>2017</v>
      </c>
      <c r="O951" s="31">
        <v>286</v>
      </c>
      <c r="P951" s="31"/>
      <c r="Q951" s="31"/>
      <c r="R951" s="33"/>
      <c r="S951" s="34" t="str">
        <f>HYPERLINK("http://www.cnpol.ru/covers/17628.jpg","фото на сайте")</f>
        <v>фото на сайте</v>
      </c>
    </row>
    <row r="952" spans="1:19" ht="50.1" customHeight="1">
      <c r="A952" s="31"/>
      <c r="B952" s="32" t="s">
        <v>3868</v>
      </c>
      <c r="C952" s="31" t="s">
        <v>1323</v>
      </c>
      <c r="D952" s="31" t="s">
        <v>1835</v>
      </c>
      <c r="E952" s="31" t="s">
        <v>3869</v>
      </c>
      <c r="F952" s="31" t="s">
        <v>31</v>
      </c>
      <c r="G952" s="31">
        <v>169</v>
      </c>
      <c r="H952" s="31">
        <v>10</v>
      </c>
      <c r="I952" s="31">
        <v>10</v>
      </c>
      <c r="J952" s="31" t="s">
        <v>3870</v>
      </c>
      <c r="K952" s="31" t="s">
        <v>55</v>
      </c>
      <c r="L952" s="31" t="s">
        <v>56</v>
      </c>
      <c r="M952" s="31">
        <v>288</v>
      </c>
      <c r="N952" s="31">
        <v>2021</v>
      </c>
      <c r="O952" s="31">
        <v>122</v>
      </c>
      <c r="P952" s="31"/>
      <c r="Q952" s="31"/>
      <c r="R952" s="33"/>
      <c r="S952" s="34" t="str">
        <f>HYPERLINK("http://www.cnpol.ru/covers/19678.jpg","фото на сайте")</f>
        <v>фото на сайте</v>
      </c>
    </row>
    <row r="953" spans="1:19" ht="50.1" customHeight="1">
      <c r="A953" s="31" t="s">
        <v>43</v>
      </c>
      <c r="B953" s="32" t="s">
        <v>3871</v>
      </c>
      <c r="C953" s="31" t="s">
        <v>688</v>
      </c>
      <c r="D953" s="31" t="s">
        <v>3872</v>
      </c>
      <c r="E953" s="31" t="s">
        <v>3873</v>
      </c>
      <c r="F953" s="31" t="s">
        <v>31</v>
      </c>
      <c r="G953" s="35">
        <v>1168</v>
      </c>
      <c r="H953" s="31">
        <v>10</v>
      </c>
      <c r="I953" s="31">
        <v>5</v>
      </c>
      <c r="J953" s="31" t="s">
        <v>3874</v>
      </c>
      <c r="K953" s="31" t="s">
        <v>33</v>
      </c>
      <c r="L953" s="31" t="s">
        <v>34</v>
      </c>
      <c r="M953" s="31">
        <v>472</v>
      </c>
      <c r="N953" s="31">
        <v>2025</v>
      </c>
      <c r="O953" s="31">
        <v>280</v>
      </c>
      <c r="P953" s="31"/>
      <c r="Q953" s="31"/>
      <c r="R953" s="33" t="s">
        <v>3875</v>
      </c>
      <c r="S953" s="34" t="str">
        <f>HYPERLINK("http://www.cnpol.ru/covers/21659.jpg","фото на сайте")</f>
        <v>фото на сайте</v>
      </c>
    </row>
    <row r="954" spans="1:19" ht="50.1" customHeight="1">
      <c r="A954" s="31"/>
      <c r="B954" s="32" t="s">
        <v>3876</v>
      </c>
      <c r="C954" s="31" t="s">
        <v>3877</v>
      </c>
      <c r="D954" s="31" t="s">
        <v>3878</v>
      </c>
      <c r="E954" s="31" t="s">
        <v>3879</v>
      </c>
      <c r="F954" s="31" t="s">
        <v>31</v>
      </c>
      <c r="G954" s="31">
        <v>559</v>
      </c>
      <c r="H954" s="31">
        <v>10</v>
      </c>
      <c r="I954" s="31">
        <v>16</v>
      </c>
      <c r="J954" s="31" t="s">
        <v>3880</v>
      </c>
      <c r="K954" s="31" t="s">
        <v>3388</v>
      </c>
      <c r="L954" s="31" t="s">
        <v>34</v>
      </c>
      <c r="M954" s="31">
        <v>319</v>
      </c>
      <c r="N954" s="31">
        <v>2008</v>
      </c>
      <c r="O954" s="31">
        <v>360</v>
      </c>
      <c r="P954" s="31"/>
      <c r="Q954" s="31"/>
      <c r="R954" s="33"/>
      <c r="S954" s="34" t="str">
        <f>HYPERLINK("http://www.cnpol.ru/covers/10463.jpg","фото на сайте")</f>
        <v>фото на сайте</v>
      </c>
    </row>
    <row r="955" spans="1:19" ht="50.1" customHeight="1">
      <c r="A955" s="31"/>
      <c r="B955" s="32" t="s">
        <v>3881</v>
      </c>
      <c r="C955" s="31" t="s">
        <v>390</v>
      </c>
      <c r="D955" s="31" t="s">
        <v>2868</v>
      </c>
      <c r="E955" s="31" t="s">
        <v>3882</v>
      </c>
      <c r="F955" s="31">
        <v>391</v>
      </c>
      <c r="G955" s="31">
        <v>86</v>
      </c>
      <c r="H955" s="31">
        <v>10</v>
      </c>
      <c r="I955" s="31">
        <v>30</v>
      </c>
      <c r="J955" s="31" t="s">
        <v>3883</v>
      </c>
      <c r="K955" s="31" t="s">
        <v>123</v>
      </c>
      <c r="L955" s="31" t="s">
        <v>56</v>
      </c>
      <c r="M955" s="31">
        <v>158</v>
      </c>
      <c r="N955" s="31">
        <v>2014</v>
      </c>
      <c r="O955" s="31">
        <v>76</v>
      </c>
      <c r="P955" s="31"/>
      <c r="Q955" s="31"/>
      <c r="R955" s="33"/>
      <c r="S955" s="34" t="str">
        <f>HYPERLINK("http://www.cnpol.ru/covers/14939.jpg","фото на сайте")</f>
        <v>фото на сайте</v>
      </c>
    </row>
    <row r="956" spans="1:19" ht="50.1" customHeight="1">
      <c r="A956" s="31"/>
      <c r="B956" s="32" t="s">
        <v>3884</v>
      </c>
      <c r="C956" s="31" t="s">
        <v>390</v>
      </c>
      <c r="D956" s="31" t="s">
        <v>3641</v>
      </c>
      <c r="E956" s="31" t="s">
        <v>3885</v>
      </c>
      <c r="F956" s="31">
        <v>912</v>
      </c>
      <c r="G956" s="31">
        <v>86</v>
      </c>
      <c r="H956" s="31">
        <v>10</v>
      </c>
      <c r="I956" s="31">
        <v>30</v>
      </c>
      <c r="J956" s="31" t="s">
        <v>3886</v>
      </c>
      <c r="K956" s="31" t="s">
        <v>123</v>
      </c>
      <c r="L956" s="31" t="s">
        <v>56</v>
      </c>
      <c r="M956" s="31">
        <v>160</v>
      </c>
      <c r="N956" s="31">
        <v>2019</v>
      </c>
      <c r="O956" s="31">
        <v>76</v>
      </c>
      <c r="P956" s="31"/>
      <c r="Q956" s="31"/>
      <c r="R956" s="33"/>
      <c r="S956" s="34" t="str">
        <f>HYPERLINK("http://www.cnpol.ru/covers/18788.jpg","фото на сайте")</f>
        <v>фото на сайте</v>
      </c>
    </row>
    <row r="957" spans="1:19" ht="50.1" customHeight="1">
      <c r="A957" s="31"/>
      <c r="B957" s="32" t="s">
        <v>3887</v>
      </c>
      <c r="C957" s="31" t="s">
        <v>390</v>
      </c>
      <c r="D957" s="31" t="s">
        <v>2359</v>
      </c>
      <c r="E957" s="31" t="s">
        <v>3888</v>
      </c>
      <c r="F957" s="31">
        <v>928</v>
      </c>
      <c r="G957" s="31">
        <v>86</v>
      </c>
      <c r="H957" s="31">
        <v>10</v>
      </c>
      <c r="I957" s="31">
        <v>30</v>
      </c>
      <c r="J957" s="31" t="s">
        <v>3889</v>
      </c>
      <c r="K957" s="31" t="s">
        <v>123</v>
      </c>
      <c r="L957" s="31" t="s">
        <v>56</v>
      </c>
      <c r="M957" s="31">
        <v>160</v>
      </c>
      <c r="N957" s="31">
        <v>2019</v>
      </c>
      <c r="O957" s="31">
        <v>76</v>
      </c>
      <c r="P957" s="31"/>
      <c r="Q957" s="31"/>
      <c r="R957" s="33"/>
      <c r="S957" s="34" t="str">
        <f>HYPERLINK("http://www.cnpol.ru/covers/18884.jpg","фото на сайте")</f>
        <v>фото на сайте</v>
      </c>
    </row>
    <row r="958" spans="1:19" ht="50.1" customHeight="1">
      <c r="A958" s="31"/>
      <c r="B958" s="32" t="s">
        <v>3890</v>
      </c>
      <c r="C958" s="31" t="s">
        <v>1516</v>
      </c>
      <c r="D958" s="31" t="s">
        <v>547</v>
      </c>
      <c r="E958" s="31" t="s">
        <v>3891</v>
      </c>
      <c r="F958" s="31">
        <v>14</v>
      </c>
      <c r="G958" s="31">
        <v>106</v>
      </c>
      <c r="H958" s="31">
        <v>10</v>
      </c>
      <c r="I958" s="31">
        <v>30</v>
      </c>
      <c r="J958" s="31" t="s">
        <v>3892</v>
      </c>
      <c r="K958" s="31" t="s">
        <v>123</v>
      </c>
      <c r="L958" s="31" t="s">
        <v>56</v>
      </c>
      <c r="M958" s="31">
        <v>160</v>
      </c>
      <c r="N958" s="31">
        <v>2018</v>
      </c>
      <c r="O958" s="31">
        <v>76</v>
      </c>
      <c r="P958" s="31"/>
      <c r="Q958" s="31"/>
      <c r="R958" s="33"/>
      <c r="S958" s="34" t="str">
        <f>HYPERLINK("http://www.cnpol.ru/covers/18430.jpg","фото на сайте")</f>
        <v>фото на сайте</v>
      </c>
    </row>
    <row r="959" spans="1:19" ht="50.1" customHeight="1">
      <c r="A959" s="31"/>
      <c r="B959" s="32" t="s">
        <v>3893</v>
      </c>
      <c r="C959" s="31" t="s">
        <v>418</v>
      </c>
      <c r="D959" s="31" t="s">
        <v>3894</v>
      </c>
      <c r="E959" s="31" t="s">
        <v>3895</v>
      </c>
      <c r="F959" s="31">
        <v>82</v>
      </c>
      <c r="G959" s="31">
        <v>153</v>
      </c>
      <c r="H959" s="31">
        <v>10</v>
      </c>
      <c r="I959" s="31">
        <v>24</v>
      </c>
      <c r="J959" s="31" t="s">
        <v>3896</v>
      </c>
      <c r="K959" s="31" t="s">
        <v>123</v>
      </c>
      <c r="L959" s="31" t="s">
        <v>56</v>
      </c>
      <c r="M959" s="31">
        <v>256</v>
      </c>
      <c r="N959" s="31">
        <v>2018</v>
      </c>
      <c r="O959" s="31">
        <v>117</v>
      </c>
      <c r="P959" s="31"/>
      <c r="Q959" s="31"/>
      <c r="R959" s="33"/>
      <c r="S959" s="34" t="str">
        <f>HYPERLINK("http://www.cnpol.ru/covers/17904.jpg","фото на сайте")</f>
        <v>фото на сайте</v>
      </c>
    </row>
    <row r="960" spans="1:19" ht="50.1" customHeight="1">
      <c r="A960" s="31"/>
      <c r="B960" s="32" t="s">
        <v>3897</v>
      </c>
      <c r="C960" s="31" t="s">
        <v>390</v>
      </c>
      <c r="D960" s="31" t="s">
        <v>2106</v>
      </c>
      <c r="E960" s="31" t="s">
        <v>3898</v>
      </c>
      <c r="F960" s="31">
        <v>695</v>
      </c>
      <c r="G960" s="31">
        <v>86</v>
      </c>
      <c r="H960" s="31">
        <v>10</v>
      </c>
      <c r="I960" s="31">
        <v>30</v>
      </c>
      <c r="J960" s="31" t="s">
        <v>3899</v>
      </c>
      <c r="K960" s="31" t="s">
        <v>123</v>
      </c>
      <c r="L960" s="31" t="s">
        <v>56</v>
      </c>
      <c r="M960" s="31">
        <v>160</v>
      </c>
      <c r="N960" s="31">
        <v>2017</v>
      </c>
      <c r="O960" s="31">
        <v>76</v>
      </c>
      <c r="P960" s="31"/>
      <c r="Q960" s="31"/>
      <c r="R960" s="33"/>
      <c r="S960" s="34" t="str">
        <f>HYPERLINK("http://www.cnpol.ru/covers/17326.jpg","фото на сайте")</f>
        <v>фото на сайте</v>
      </c>
    </row>
    <row r="961" spans="1:19" ht="50.1" customHeight="1">
      <c r="A961" s="31"/>
      <c r="B961" s="32" t="s">
        <v>3900</v>
      </c>
      <c r="C961" s="31" t="s">
        <v>546</v>
      </c>
      <c r="D961" s="31" t="s">
        <v>2106</v>
      </c>
      <c r="E961" s="31" t="s">
        <v>3901</v>
      </c>
      <c r="F961" s="31">
        <v>219</v>
      </c>
      <c r="G961" s="31">
        <v>93</v>
      </c>
      <c r="H961" s="31">
        <v>10</v>
      </c>
      <c r="I961" s="31">
        <v>30</v>
      </c>
      <c r="J961" s="31" t="s">
        <v>3902</v>
      </c>
      <c r="K961" s="31" t="s">
        <v>123</v>
      </c>
      <c r="L961" s="31" t="s">
        <v>56</v>
      </c>
      <c r="M961" s="31">
        <v>160</v>
      </c>
      <c r="N961" s="31">
        <v>2017</v>
      </c>
      <c r="O961" s="31">
        <v>76</v>
      </c>
      <c r="P961" s="31"/>
      <c r="Q961" s="31"/>
      <c r="R961" s="33"/>
      <c r="S961" s="34" t="str">
        <f>HYPERLINK("http://www.cnpol.ru/covers/17472.jpg","фото на сайте")</f>
        <v>фото на сайте</v>
      </c>
    </row>
    <row r="962" spans="1:19" ht="50.1" customHeight="1">
      <c r="A962" s="31"/>
      <c r="B962" s="32" t="s">
        <v>3903</v>
      </c>
      <c r="C962" s="31" t="s">
        <v>418</v>
      </c>
      <c r="D962" s="31" t="s">
        <v>3904</v>
      </c>
      <c r="E962" s="31" t="s">
        <v>3905</v>
      </c>
      <c r="F962" s="31">
        <v>93</v>
      </c>
      <c r="G962" s="31">
        <v>153</v>
      </c>
      <c r="H962" s="31">
        <v>10</v>
      </c>
      <c r="I962" s="31">
        <v>24</v>
      </c>
      <c r="J962" s="31" t="s">
        <v>3906</v>
      </c>
      <c r="K962" s="31" t="s">
        <v>123</v>
      </c>
      <c r="L962" s="31" t="s">
        <v>56</v>
      </c>
      <c r="M962" s="31">
        <v>256</v>
      </c>
      <c r="N962" s="31">
        <v>2018</v>
      </c>
      <c r="O962" s="31">
        <v>117</v>
      </c>
      <c r="P962" s="31"/>
      <c r="Q962" s="31"/>
      <c r="R962" s="33"/>
      <c r="S962" s="34" t="str">
        <f>HYPERLINK("http://www.cnpol.ru/covers/18387.jpg","фото на сайте")</f>
        <v>фото на сайте</v>
      </c>
    </row>
    <row r="963" spans="1:19" ht="50.1" customHeight="1">
      <c r="A963" s="31"/>
      <c r="B963" s="32" t="s">
        <v>3907</v>
      </c>
      <c r="C963" s="31" t="s">
        <v>390</v>
      </c>
      <c r="D963" s="31" t="s">
        <v>1794</v>
      </c>
      <c r="E963" s="31" t="s">
        <v>3908</v>
      </c>
      <c r="F963" s="31">
        <v>1102</v>
      </c>
      <c r="G963" s="31">
        <v>86</v>
      </c>
      <c r="H963" s="31">
        <v>10</v>
      </c>
      <c r="I963" s="31">
        <v>30</v>
      </c>
      <c r="J963" s="31" t="s">
        <v>3909</v>
      </c>
      <c r="K963" s="31" t="s">
        <v>123</v>
      </c>
      <c r="L963" s="31" t="s">
        <v>56</v>
      </c>
      <c r="M963" s="31">
        <v>159</v>
      </c>
      <c r="N963" s="31">
        <v>2022</v>
      </c>
      <c r="O963" s="31">
        <v>76</v>
      </c>
      <c r="P963" s="31"/>
      <c r="Q963" s="31"/>
      <c r="R963" s="33"/>
      <c r="S963" s="34" t="str">
        <f>HYPERLINK("http://www.cnpol.ru/covers/20349.jpg","фото на сайте")</f>
        <v>фото на сайте</v>
      </c>
    </row>
    <row r="964" spans="1:19" ht="50.1" customHeight="1">
      <c r="A964" s="31"/>
      <c r="B964" s="32" t="s">
        <v>3910</v>
      </c>
      <c r="C964" s="31" t="s">
        <v>1395</v>
      </c>
      <c r="D964" s="31" t="s">
        <v>3911</v>
      </c>
      <c r="E964" s="31" t="s">
        <v>3912</v>
      </c>
      <c r="F964" s="31" t="s">
        <v>31</v>
      </c>
      <c r="G964" s="31">
        <v>503</v>
      </c>
      <c r="H964" s="31">
        <v>10</v>
      </c>
      <c r="I964" s="31">
        <v>10</v>
      </c>
      <c r="J964" s="31" t="s">
        <v>3913</v>
      </c>
      <c r="K964" s="31" t="s">
        <v>33</v>
      </c>
      <c r="L964" s="31" t="s">
        <v>34</v>
      </c>
      <c r="M964" s="31">
        <v>383</v>
      </c>
      <c r="N964" s="31">
        <v>2014</v>
      </c>
      <c r="O964" s="31">
        <v>296</v>
      </c>
      <c r="P964" s="31"/>
      <c r="Q964" s="31"/>
      <c r="R964" s="33"/>
      <c r="S964" s="34" t="str">
        <f>HYPERLINK("http://www.cnpol.ru/covers/15262.jpg","фото на сайте")</f>
        <v>фото на сайте</v>
      </c>
    </row>
    <row r="965" spans="1:19" ht="50.1" customHeight="1">
      <c r="A965" s="31"/>
      <c r="B965" s="32" t="s">
        <v>3914</v>
      </c>
      <c r="C965" s="31" t="s">
        <v>1247</v>
      </c>
      <c r="D965" s="31" t="s">
        <v>1248</v>
      </c>
      <c r="E965" s="31" t="s">
        <v>3915</v>
      </c>
      <c r="F965" s="31" t="s">
        <v>31</v>
      </c>
      <c r="G965" s="31">
        <v>112</v>
      </c>
      <c r="H965" s="31">
        <v>10</v>
      </c>
      <c r="I965" s="31">
        <v>40</v>
      </c>
      <c r="J965" s="31" t="s">
        <v>3916</v>
      </c>
      <c r="K965" s="31" t="s">
        <v>123</v>
      </c>
      <c r="L965" s="31" t="s">
        <v>56</v>
      </c>
      <c r="M965" s="31">
        <v>128</v>
      </c>
      <c r="N965" s="31">
        <v>2015</v>
      </c>
      <c r="O965" s="31">
        <v>68</v>
      </c>
      <c r="P965" s="31"/>
      <c r="Q965" s="31"/>
      <c r="R965" s="33"/>
      <c r="S965" s="34" t="str">
        <f>HYPERLINK("http://www.cnpol.ru/covers/16344.jpg","фото на сайте")</f>
        <v>фото на сайте</v>
      </c>
    </row>
    <row r="966" spans="1:19" ht="50.1" customHeight="1">
      <c r="A966" s="31" t="s">
        <v>35</v>
      </c>
      <c r="B966" s="32" t="s">
        <v>3917</v>
      </c>
      <c r="C966" s="31" t="s">
        <v>454</v>
      </c>
      <c r="D966" s="31" t="s">
        <v>3918</v>
      </c>
      <c r="E966" s="31" t="s">
        <v>3919</v>
      </c>
      <c r="F966" s="31" t="s">
        <v>31</v>
      </c>
      <c r="G966" s="35">
        <v>1198</v>
      </c>
      <c r="H966" s="31">
        <v>10</v>
      </c>
      <c r="I966" s="31">
        <v>8</v>
      </c>
      <c r="J966" s="31" t="s">
        <v>3920</v>
      </c>
      <c r="K966" s="31" t="s">
        <v>33</v>
      </c>
      <c r="L966" s="31" t="s">
        <v>34</v>
      </c>
      <c r="M966" s="31">
        <v>495</v>
      </c>
      <c r="N966" s="31">
        <v>2025</v>
      </c>
      <c r="O966" s="31">
        <v>490</v>
      </c>
      <c r="P966" s="31"/>
      <c r="Q966" s="31"/>
      <c r="R966" s="33" t="s">
        <v>3921</v>
      </c>
      <c r="S966" s="34" t="str">
        <f>HYPERLINK("http://www.cnpol.ru/covers/21400.jpg","фото на сайте")</f>
        <v>фото на сайте</v>
      </c>
    </row>
    <row r="967" spans="1:19" ht="50.1" customHeight="1">
      <c r="A967" s="31"/>
      <c r="B967" s="32" t="s">
        <v>3922</v>
      </c>
      <c r="C967" s="31" t="s">
        <v>37</v>
      </c>
      <c r="D967" s="31" t="s">
        <v>3923</v>
      </c>
      <c r="E967" s="31" t="s">
        <v>3924</v>
      </c>
      <c r="F967" s="31" t="s">
        <v>31</v>
      </c>
      <c r="G967" s="31">
        <v>522</v>
      </c>
      <c r="H967" s="31">
        <v>10</v>
      </c>
      <c r="I967" s="31">
        <v>10</v>
      </c>
      <c r="J967" s="31" t="s">
        <v>3925</v>
      </c>
      <c r="K967" s="31" t="s">
        <v>33</v>
      </c>
      <c r="L967" s="31" t="s">
        <v>34</v>
      </c>
      <c r="M967" s="31">
        <v>383</v>
      </c>
      <c r="N967" s="31">
        <v>2014</v>
      </c>
      <c r="O967" s="31">
        <v>306</v>
      </c>
      <c r="P967" s="31"/>
      <c r="Q967" s="31"/>
      <c r="R967" s="33"/>
      <c r="S967" s="34" t="str">
        <f>HYPERLINK("http://www.cnpol.ru/covers/15044.jpg","фото на сайте")</f>
        <v>фото на сайте</v>
      </c>
    </row>
    <row r="968" spans="1:19" ht="50.1" customHeight="1">
      <c r="A968" s="31"/>
      <c r="B968" s="32" t="s">
        <v>3926</v>
      </c>
      <c r="C968" s="31" t="s">
        <v>3927</v>
      </c>
      <c r="D968" s="31" t="s">
        <v>3928</v>
      </c>
      <c r="E968" s="31" t="s">
        <v>3929</v>
      </c>
      <c r="F968" s="31" t="s">
        <v>31</v>
      </c>
      <c r="G968" s="31">
        <v>444</v>
      </c>
      <c r="H968" s="31">
        <v>10</v>
      </c>
      <c r="I968" s="31">
        <v>20</v>
      </c>
      <c r="J968" s="31" t="s">
        <v>3930</v>
      </c>
      <c r="K968" s="31" t="s">
        <v>33</v>
      </c>
      <c r="L968" s="31" t="s">
        <v>210</v>
      </c>
      <c r="M968" s="31">
        <v>287</v>
      </c>
      <c r="N968" s="31">
        <v>2015</v>
      </c>
      <c r="O968" s="31">
        <v>264</v>
      </c>
      <c r="P968" s="31"/>
      <c r="Q968" s="31"/>
      <c r="R968" s="33"/>
      <c r="S968" s="34" t="str">
        <f>HYPERLINK("http://www.cnpol.ru/covers/15823.jpg","фото на сайте")</f>
        <v>фото на сайте</v>
      </c>
    </row>
    <row r="969" spans="1:19" ht="50.1" customHeight="1">
      <c r="A969" s="31"/>
      <c r="B969" s="32" t="s">
        <v>3931</v>
      </c>
      <c r="C969" s="31" t="s">
        <v>630</v>
      </c>
      <c r="D969" s="31" t="s">
        <v>3932</v>
      </c>
      <c r="E969" s="31" t="s">
        <v>3933</v>
      </c>
      <c r="F969" s="31" t="s">
        <v>31</v>
      </c>
      <c r="G969" s="31">
        <v>96</v>
      </c>
      <c r="H969" s="31">
        <v>10</v>
      </c>
      <c r="I969" s="31">
        <v>30</v>
      </c>
      <c r="J969" s="31" t="s">
        <v>3934</v>
      </c>
      <c r="K969" s="31" t="s">
        <v>55</v>
      </c>
      <c r="L969" s="31" t="s">
        <v>56</v>
      </c>
      <c r="M969" s="31">
        <v>191</v>
      </c>
      <c r="N969" s="31">
        <v>2005</v>
      </c>
      <c r="O969" s="31">
        <v>82</v>
      </c>
      <c r="P969" s="31"/>
      <c r="Q969" s="31"/>
      <c r="R969" s="33"/>
      <c r="S969" s="34" t="str">
        <f>HYPERLINK("http://www.cnpol.ru/covers/5878.jpg","фото на сайте")</f>
        <v>фото на сайте</v>
      </c>
    </row>
    <row r="970" spans="1:19" ht="50.1" customHeight="1">
      <c r="A970" s="31"/>
      <c r="B970" s="32" t="s">
        <v>3935</v>
      </c>
      <c r="C970" s="31" t="s">
        <v>528</v>
      </c>
      <c r="D970" s="31" t="s">
        <v>529</v>
      </c>
      <c r="E970" s="31" t="s">
        <v>3936</v>
      </c>
      <c r="F970" s="31" t="s">
        <v>31</v>
      </c>
      <c r="G970" s="31">
        <v>137</v>
      </c>
      <c r="H970" s="31">
        <v>10</v>
      </c>
      <c r="I970" s="31">
        <v>60</v>
      </c>
      <c r="J970" s="31" t="s">
        <v>3937</v>
      </c>
      <c r="K970" s="31" t="s">
        <v>55</v>
      </c>
      <c r="L970" s="31" t="s">
        <v>56</v>
      </c>
      <c r="M970" s="31">
        <v>156</v>
      </c>
      <c r="N970" s="31">
        <v>2013</v>
      </c>
      <c r="O970" s="31">
        <v>68</v>
      </c>
      <c r="P970" s="31"/>
      <c r="Q970" s="31"/>
      <c r="R970" s="33"/>
      <c r="S970" s="34" t="str">
        <f>HYPERLINK("http://www.cnpol.ru/covers/14133.jpg","фото на сайте")</f>
        <v>фото на сайте</v>
      </c>
    </row>
    <row r="971" spans="1:19" ht="50.1" customHeight="1">
      <c r="A971" s="31"/>
      <c r="B971" s="32" t="s">
        <v>3938</v>
      </c>
      <c r="C971" s="31" t="s">
        <v>3939</v>
      </c>
      <c r="D971" s="31" t="s">
        <v>3940</v>
      </c>
      <c r="E971" s="31" t="s">
        <v>3941</v>
      </c>
      <c r="F971" s="31" t="s">
        <v>31</v>
      </c>
      <c r="G971" s="31">
        <v>122</v>
      </c>
      <c r="H971" s="31">
        <v>10</v>
      </c>
      <c r="I971" s="31">
        <v>16</v>
      </c>
      <c r="J971" s="31" t="s">
        <v>3942</v>
      </c>
      <c r="K971" s="31" t="s">
        <v>130</v>
      </c>
      <c r="L971" s="31" t="s">
        <v>56</v>
      </c>
      <c r="M971" s="31">
        <v>251</v>
      </c>
      <c r="N971" s="31">
        <v>2009</v>
      </c>
      <c r="O971" s="31">
        <v>160</v>
      </c>
      <c r="P971" s="31"/>
      <c r="Q971" s="31"/>
      <c r="R971" s="33"/>
      <c r="S971" s="34" t="str">
        <f>HYPERLINK("http://www.cnpol.ru/covers/11570.jpg","фото на сайте")</f>
        <v>фото на сайте</v>
      </c>
    </row>
    <row r="972" spans="1:19" ht="50.1" customHeight="1">
      <c r="A972" s="31"/>
      <c r="B972" s="32" t="s">
        <v>3943</v>
      </c>
      <c r="C972" s="31" t="s">
        <v>479</v>
      </c>
      <c r="D972" s="31" t="s">
        <v>3944</v>
      </c>
      <c r="E972" s="31" t="s">
        <v>3945</v>
      </c>
      <c r="F972" s="31" t="s">
        <v>31</v>
      </c>
      <c r="G972" s="31">
        <v>640</v>
      </c>
      <c r="H972" s="31">
        <v>10</v>
      </c>
      <c r="I972" s="31">
        <v>8</v>
      </c>
      <c r="J972" s="31" t="s">
        <v>3946</v>
      </c>
      <c r="K972" s="31" t="s">
        <v>33</v>
      </c>
      <c r="L972" s="31" t="s">
        <v>34</v>
      </c>
      <c r="M972" s="31">
        <v>576</v>
      </c>
      <c r="N972" s="31">
        <v>2016</v>
      </c>
      <c r="O972" s="31">
        <v>386</v>
      </c>
      <c r="P972" s="31"/>
      <c r="Q972" s="31"/>
      <c r="R972" s="33"/>
      <c r="S972" s="34" t="str">
        <f>HYPERLINK("http://www.cnpol.ru/covers/17215.jpg","фото на сайте")</f>
        <v>фото на сайте</v>
      </c>
    </row>
    <row r="973" spans="1:19" ht="50.1" customHeight="1">
      <c r="A973" s="31"/>
      <c r="B973" s="32" t="s">
        <v>3947</v>
      </c>
      <c r="C973" s="31" t="s">
        <v>400</v>
      </c>
      <c r="D973" s="31" t="s">
        <v>3948</v>
      </c>
      <c r="E973" s="31" t="s">
        <v>3949</v>
      </c>
      <c r="F973" s="31" t="s">
        <v>31</v>
      </c>
      <c r="G973" s="31">
        <v>503</v>
      </c>
      <c r="H973" s="31">
        <v>10</v>
      </c>
      <c r="I973" s="31">
        <v>14</v>
      </c>
      <c r="J973" s="31" t="s">
        <v>3950</v>
      </c>
      <c r="K973" s="31" t="s">
        <v>33</v>
      </c>
      <c r="L973" s="31" t="s">
        <v>34</v>
      </c>
      <c r="M973" s="31">
        <v>320</v>
      </c>
      <c r="N973" s="31">
        <v>2019</v>
      </c>
      <c r="O973" s="31">
        <v>268</v>
      </c>
      <c r="P973" s="31"/>
      <c r="Q973" s="31"/>
      <c r="R973" s="33"/>
      <c r="S973" s="34" t="str">
        <f>HYPERLINK("http://www.cnpol.ru/covers/18644.jpg","фото на сайте")</f>
        <v>фото на сайте</v>
      </c>
    </row>
    <row r="974" spans="1:19" ht="50.1" customHeight="1">
      <c r="A974" s="31"/>
      <c r="B974" s="32" t="s">
        <v>3951</v>
      </c>
      <c r="C974" s="31" t="s">
        <v>385</v>
      </c>
      <c r="D974" s="31" t="s">
        <v>386</v>
      </c>
      <c r="E974" s="31" t="s">
        <v>3952</v>
      </c>
      <c r="F974" s="31" t="s">
        <v>31</v>
      </c>
      <c r="G974" s="31">
        <v>162</v>
      </c>
      <c r="H974" s="31">
        <v>10</v>
      </c>
      <c r="I974" s="31">
        <v>32</v>
      </c>
      <c r="J974" s="31" t="s">
        <v>3953</v>
      </c>
      <c r="K974" s="31" t="s">
        <v>55</v>
      </c>
      <c r="L974" s="31" t="s">
        <v>56</v>
      </c>
      <c r="M974" s="31">
        <v>240</v>
      </c>
      <c r="N974" s="31">
        <v>2016</v>
      </c>
      <c r="O974" s="31">
        <v>100</v>
      </c>
      <c r="P974" s="31"/>
      <c r="Q974" s="31"/>
      <c r="R974" s="33"/>
      <c r="S974" s="34" t="str">
        <f>HYPERLINK("http://www.cnpol.ru/covers/0144.jpg","фото на сайте")</f>
        <v>фото на сайте</v>
      </c>
    </row>
    <row r="975" spans="1:19" ht="50.1" customHeight="1">
      <c r="A975" s="31"/>
      <c r="B975" s="32" t="s">
        <v>3954</v>
      </c>
      <c r="C975" s="31" t="s">
        <v>37</v>
      </c>
      <c r="D975" s="31" t="s">
        <v>3955</v>
      </c>
      <c r="E975" s="31" t="s">
        <v>3956</v>
      </c>
      <c r="F975" s="31" t="s">
        <v>31</v>
      </c>
      <c r="G975" s="31">
        <v>593</v>
      </c>
      <c r="H975" s="31">
        <v>10</v>
      </c>
      <c r="I975" s="31">
        <v>10</v>
      </c>
      <c r="J975" s="31" t="s">
        <v>3957</v>
      </c>
      <c r="K975" s="31" t="s">
        <v>33</v>
      </c>
      <c r="L975" s="31" t="s">
        <v>34</v>
      </c>
      <c r="M975" s="31">
        <v>447</v>
      </c>
      <c r="N975" s="31">
        <v>2023</v>
      </c>
      <c r="O975" s="31">
        <v>353</v>
      </c>
      <c r="P975" s="31"/>
      <c r="Q975" s="31"/>
      <c r="R975" s="33" t="s">
        <v>3958</v>
      </c>
      <c r="S975" s="34" t="str">
        <f>HYPERLINK("http://www.cnpol.ru/covers/20594.jpg","фото на сайте")</f>
        <v>фото на сайте</v>
      </c>
    </row>
    <row r="976" spans="1:19" ht="50.1" customHeight="1">
      <c r="A976" s="31"/>
      <c r="B976" s="32" t="s">
        <v>3959</v>
      </c>
      <c r="C976" s="31" t="s">
        <v>28</v>
      </c>
      <c r="D976" s="31" t="s">
        <v>3960</v>
      </c>
      <c r="E976" s="31" t="s">
        <v>3961</v>
      </c>
      <c r="F976" s="31" t="s">
        <v>31</v>
      </c>
      <c r="G976" s="35">
        <v>1076</v>
      </c>
      <c r="H976" s="31">
        <v>10</v>
      </c>
      <c r="I976" s="31">
        <v>10</v>
      </c>
      <c r="J976" s="31" t="s">
        <v>3962</v>
      </c>
      <c r="K976" s="31" t="s">
        <v>33</v>
      </c>
      <c r="L976" s="31" t="s">
        <v>34</v>
      </c>
      <c r="M976" s="31">
        <v>416</v>
      </c>
      <c r="N976" s="31">
        <v>2022</v>
      </c>
      <c r="O976" s="31">
        <v>252</v>
      </c>
      <c r="P976" s="31"/>
      <c r="Q976" s="31"/>
      <c r="R976" s="33" t="s">
        <v>3963</v>
      </c>
      <c r="S976" s="34" t="str">
        <f>HYPERLINK("http://www.cnpol.ru/covers/20405.jpg","фото на сайте")</f>
        <v>фото на сайте</v>
      </c>
    </row>
    <row r="977" spans="1:19" ht="50.1" customHeight="1">
      <c r="A977" s="31"/>
      <c r="B977" s="32" t="s">
        <v>3964</v>
      </c>
      <c r="C977" s="31" t="s">
        <v>400</v>
      </c>
      <c r="D977" s="31" t="s">
        <v>3965</v>
      </c>
      <c r="E977" s="31" t="s">
        <v>3966</v>
      </c>
      <c r="F977" s="31" t="s">
        <v>31</v>
      </c>
      <c r="G977" s="31">
        <v>503</v>
      </c>
      <c r="H977" s="31">
        <v>10</v>
      </c>
      <c r="I977" s="31">
        <v>14</v>
      </c>
      <c r="J977" s="31" t="s">
        <v>3967</v>
      </c>
      <c r="K977" s="31" t="s">
        <v>33</v>
      </c>
      <c r="L977" s="31" t="s">
        <v>34</v>
      </c>
      <c r="M977" s="31">
        <v>288</v>
      </c>
      <c r="N977" s="31">
        <v>2021</v>
      </c>
      <c r="O977" s="31">
        <v>254</v>
      </c>
      <c r="P977" s="31"/>
      <c r="Q977" s="31"/>
      <c r="R977" s="33"/>
      <c r="S977" s="34" t="str">
        <f>HYPERLINK("http://www.cnpol.ru/covers/19650.jpg","фото на сайте")</f>
        <v>фото на сайте</v>
      </c>
    </row>
    <row r="978" spans="1:19" ht="50.1" customHeight="1">
      <c r="A978" s="31"/>
      <c r="B978" s="32" t="s">
        <v>3968</v>
      </c>
      <c r="C978" s="31" t="s">
        <v>3969</v>
      </c>
      <c r="D978" s="31" t="s">
        <v>3970</v>
      </c>
      <c r="E978" s="31" t="s">
        <v>3971</v>
      </c>
      <c r="F978" s="31" t="s">
        <v>31</v>
      </c>
      <c r="G978" s="31">
        <v>32</v>
      </c>
      <c r="H978" s="31">
        <v>10</v>
      </c>
      <c r="I978" s="31">
        <v>40</v>
      </c>
      <c r="J978" s="31">
        <v>2000069530010</v>
      </c>
      <c r="K978" s="31" t="s">
        <v>260</v>
      </c>
      <c r="L978" s="31" t="s">
        <v>56</v>
      </c>
      <c r="M978" s="31" t="s">
        <v>431</v>
      </c>
      <c r="N978" s="31" t="s">
        <v>431</v>
      </c>
      <c r="O978" s="31" t="s">
        <v>220</v>
      </c>
      <c r="P978" s="31"/>
      <c r="Q978" s="31"/>
      <c r="R978" s="33"/>
      <c r="S978" s="34" t="str">
        <f>HYPERLINK("http://www.cnpol.ru/covers/9666.jpg","фото на сайте")</f>
        <v>фото на сайте</v>
      </c>
    </row>
    <row r="979" spans="1:19" ht="50.1" customHeight="1">
      <c r="A979" s="31" t="s">
        <v>35</v>
      </c>
      <c r="B979" s="32" t="s">
        <v>3972</v>
      </c>
      <c r="C979" s="31" t="s">
        <v>658</v>
      </c>
      <c r="D979" s="31" t="s">
        <v>3973</v>
      </c>
      <c r="E979" s="31" t="s">
        <v>3974</v>
      </c>
      <c r="F979" s="31" t="s">
        <v>31</v>
      </c>
      <c r="G979" s="31">
        <v>268</v>
      </c>
      <c r="H979" s="31">
        <v>10</v>
      </c>
      <c r="I979" s="31">
        <v>12</v>
      </c>
      <c r="J979" s="31" t="s">
        <v>3975</v>
      </c>
      <c r="K979" s="31" t="s">
        <v>33</v>
      </c>
      <c r="L979" s="31" t="s">
        <v>56</v>
      </c>
      <c r="M979" s="31">
        <v>270</v>
      </c>
      <c r="N979" s="31" t="s">
        <v>431</v>
      </c>
      <c r="O979" s="31">
        <v>99</v>
      </c>
      <c r="P979" s="31"/>
      <c r="Q979" s="31"/>
      <c r="R979" s="33" t="s">
        <v>3976</v>
      </c>
      <c r="S979" s="34" t="str">
        <f>HYPERLINK("http://www.cnpol.ru/covers/21396.jpg","фото на сайте")</f>
        <v>фото на сайте</v>
      </c>
    </row>
    <row r="980" spans="1:19" ht="50.1" customHeight="1">
      <c r="A980" s="31"/>
      <c r="B980" s="32" t="s">
        <v>3977</v>
      </c>
      <c r="C980" s="31" t="s">
        <v>658</v>
      </c>
      <c r="D980" s="31" t="s">
        <v>3978</v>
      </c>
      <c r="E980" s="31" t="s">
        <v>3979</v>
      </c>
      <c r="F980" s="31" t="s">
        <v>31</v>
      </c>
      <c r="G980" s="31">
        <v>862</v>
      </c>
      <c r="H980" s="31">
        <v>10</v>
      </c>
      <c r="I980" s="31">
        <v>10</v>
      </c>
      <c r="J980" s="31" t="s">
        <v>3980</v>
      </c>
      <c r="K980" s="31" t="s">
        <v>260</v>
      </c>
      <c r="L980" s="31" t="s">
        <v>34</v>
      </c>
      <c r="M980" s="31">
        <v>319</v>
      </c>
      <c r="N980" s="31">
        <v>2012</v>
      </c>
      <c r="O980" s="31">
        <v>500</v>
      </c>
      <c r="P980" s="31"/>
      <c r="Q980" s="31"/>
      <c r="R980" s="33"/>
      <c r="S980" s="34" t="str">
        <f>HYPERLINK("http://www.cnpol.ru/covers/13964.jpg","фото на сайте")</f>
        <v>фото на сайте</v>
      </c>
    </row>
    <row r="981" spans="1:19" ht="50.1" customHeight="1">
      <c r="A981" s="31"/>
      <c r="B981" s="32" t="s">
        <v>3981</v>
      </c>
      <c r="C981" s="31" t="s">
        <v>390</v>
      </c>
      <c r="D981" s="31" t="s">
        <v>1435</v>
      </c>
      <c r="E981" s="31" t="s">
        <v>3982</v>
      </c>
      <c r="F981" s="31">
        <v>1157</v>
      </c>
      <c r="G981" s="31">
        <v>86</v>
      </c>
      <c r="H981" s="31">
        <v>10</v>
      </c>
      <c r="I981" s="31">
        <v>30</v>
      </c>
      <c r="J981" s="31" t="s">
        <v>3983</v>
      </c>
      <c r="K981" s="31" t="s">
        <v>123</v>
      </c>
      <c r="L981" s="31" t="s">
        <v>56</v>
      </c>
      <c r="M981" s="31">
        <v>159</v>
      </c>
      <c r="N981" s="31">
        <v>2023</v>
      </c>
      <c r="O981" s="31">
        <v>76</v>
      </c>
      <c r="P981" s="31"/>
      <c r="Q981" s="31"/>
      <c r="R981" s="33" t="s">
        <v>3984</v>
      </c>
      <c r="S981" s="34" t="str">
        <f>HYPERLINK("http://www.cnpol.ru/covers/20893.jpg","фото на сайте")</f>
        <v>фото на сайте</v>
      </c>
    </row>
    <row r="982" spans="1:19" ht="50.1" customHeight="1">
      <c r="A982" s="31"/>
      <c r="B982" s="32" t="s">
        <v>3985</v>
      </c>
      <c r="C982" s="31" t="s">
        <v>1516</v>
      </c>
      <c r="D982" s="31" t="s">
        <v>3986</v>
      </c>
      <c r="E982" s="31" t="s">
        <v>3987</v>
      </c>
      <c r="F982" s="31">
        <v>33</v>
      </c>
      <c r="G982" s="31">
        <v>106</v>
      </c>
      <c r="H982" s="31">
        <v>10</v>
      </c>
      <c r="I982" s="31">
        <v>36</v>
      </c>
      <c r="J982" s="31" t="s">
        <v>3988</v>
      </c>
      <c r="K982" s="31" t="s">
        <v>123</v>
      </c>
      <c r="L982" s="31" t="s">
        <v>56</v>
      </c>
      <c r="M982" s="31">
        <v>160</v>
      </c>
      <c r="N982" s="31">
        <v>2021</v>
      </c>
      <c r="O982" s="31">
        <v>76</v>
      </c>
      <c r="P982" s="31"/>
      <c r="Q982" s="31"/>
      <c r="R982" s="33"/>
      <c r="S982" s="34" t="str">
        <f>HYPERLINK("http://www.cnpol.ru/covers/19562.jpg","фото на сайте")</f>
        <v>фото на сайте</v>
      </c>
    </row>
    <row r="983" spans="1:19" ht="50.1" customHeight="1">
      <c r="A983" s="31"/>
      <c r="B983" s="32" t="s">
        <v>3989</v>
      </c>
      <c r="C983" s="31" t="s">
        <v>3990</v>
      </c>
      <c r="D983" s="31" t="s">
        <v>3991</v>
      </c>
      <c r="E983" s="31" t="s">
        <v>3992</v>
      </c>
      <c r="F983" s="31" t="s">
        <v>31</v>
      </c>
      <c r="G983" s="35">
        <v>1406</v>
      </c>
      <c r="H983" s="31">
        <v>10</v>
      </c>
      <c r="I983" s="31">
        <v>10</v>
      </c>
      <c r="J983" s="31" t="s">
        <v>3993</v>
      </c>
      <c r="K983" s="31" t="s">
        <v>33</v>
      </c>
      <c r="L983" s="31" t="s">
        <v>34</v>
      </c>
      <c r="M983" s="31">
        <v>607</v>
      </c>
      <c r="N983" s="31">
        <v>2022</v>
      </c>
      <c r="O983" s="31">
        <v>620</v>
      </c>
      <c r="P983" s="31"/>
      <c r="Q983" s="31"/>
      <c r="R983" s="33"/>
      <c r="S983" s="34" t="str">
        <f>HYPERLINK("http://www.cnpol.ru/covers/20215.jpg","фото на сайте")</f>
        <v>фото на сайте</v>
      </c>
    </row>
    <row r="984" spans="1:19" ht="50.1" customHeight="1">
      <c r="A984" s="31"/>
      <c r="B984" s="32" t="s">
        <v>3994</v>
      </c>
      <c r="C984" s="31" t="s">
        <v>400</v>
      </c>
      <c r="D984" s="31" t="s">
        <v>3995</v>
      </c>
      <c r="E984" s="31" t="s">
        <v>3996</v>
      </c>
      <c r="F984" s="31" t="s">
        <v>31</v>
      </c>
      <c r="G984" s="31">
        <v>503</v>
      </c>
      <c r="H984" s="31">
        <v>10</v>
      </c>
      <c r="I984" s="31">
        <v>10</v>
      </c>
      <c r="J984" s="31" t="s">
        <v>3997</v>
      </c>
      <c r="K984" s="31" t="s">
        <v>33</v>
      </c>
      <c r="L984" s="31" t="s">
        <v>34</v>
      </c>
      <c r="M984" s="31">
        <v>448</v>
      </c>
      <c r="N984" s="31">
        <v>2018</v>
      </c>
      <c r="O984" s="31">
        <v>346</v>
      </c>
      <c r="P984" s="31"/>
      <c r="Q984" s="31"/>
      <c r="R984" s="33"/>
      <c r="S984" s="34" t="str">
        <f>HYPERLINK("http://www.cnpol.ru/covers/18115.jpg","фото на сайте")</f>
        <v>фото на сайте</v>
      </c>
    </row>
    <row r="985" spans="1:19" ht="50.1" customHeight="1">
      <c r="A985" s="31"/>
      <c r="B985" s="32" t="s">
        <v>3998</v>
      </c>
      <c r="C985" s="31" t="s">
        <v>390</v>
      </c>
      <c r="D985" s="31" t="s">
        <v>1520</v>
      </c>
      <c r="E985" s="31" t="s">
        <v>3999</v>
      </c>
      <c r="F985" s="31">
        <v>1091</v>
      </c>
      <c r="G985" s="31">
        <v>86</v>
      </c>
      <c r="H985" s="31">
        <v>10</v>
      </c>
      <c r="I985" s="31">
        <v>30</v>
      </c>
      <c r="J985" s="31" t="s">
        <v>4000</v>
      </c>
      <c r="K985" s="31" t="s">
        <v>123</v>
      </c>
      <c r="L985" s="31" t="s">
        <v>56</v>
      </c>
      <c r="M985" s="31">
        <v>159</v>
      </c>
      <c r="N985" s="31">
        <v>2022</v>
      </c>
      <c r="O985" s="31">
        <v>76</v>
      </c>
      <c r="P985" s="31"/>
      <c r="Q985" s="31"/>
      <c r="R985" s="33"/>
      <c r="S985" s="34" t="str">
        <f>HYPERLINK("http://www.cnpol.ru/covers/20211.jpg","фото на сайте")</f>
        <v>фото на сайте</v>
      </c>
    </row>
    <row r="986" spans="1:19" ht="50.1" customHeight="1">
      <c r="A986" s="31"/>
      <c r="B986" s="32" t="s">
        <v>4001</v>
      </c>
      <c r="C986" s="31" t="s">
        <v>546</v>
      </c>
      <c r="D986" s="31" t="s">
        <v>4002</v>
      </c>
      <c r="E986" s="31" t="s">
        <v>4003</v>
      </c>
      <c r="F986" s="31">
        <v>344</v>
      </c>
      <c r="G986" s="31">
        <v>93</v>
      </c>
      <c r="H986" s="31">
        <v>10</v>
      </c>
      <c r="I986" s="31">
        <v>30</v>
      </c>
      <c r="J986" s="31" t="s">
        <v>4004</v>
      </c>
      <c r="K986" s="31" t="s">
        <v>123</v>
      </c>
      <c r="L986" s="31" t="s">
        <v>56</v>
      </c>
      <c r="M986" s="31">
        <v>160</v>
      </c>
      <c r="N986" s="31">
        <v>2020</v>
      </c>
      <c r="O986" s="31">
        <v>76</v>
      </c>
      <c r="P986" s="31"/>
      <c r="Q986" s="31"/>
      <c r="R986" s="33"/>
      <c r="S986" s="34" t="str">
        <f>HYPERLINK("http://www.cnpol.ru/covers/19103.jpg","фото на сайте")</f>
        <v>фото на сайте</v>
      </c>
    </row>
    <row r="987" spans="1:19" ht="50.1" customHeight="1">
      <c r="A987" s="31"/>
      <c r="B987" s="32" t="s">
        <v>4005</v>
      </c>
      <c r="C987" s="31" t="s">
        <v>520</v>
      </c>
      <c r="D987" s="31" t="s">
        <v>4006</v>
      </c>
      <c r="E987" s="31" t="s">
        <v>4007</v>
      </c>
      <c r="F987" s="31">
        <v>15</v>
      </c>
      <c r="G987" s="31">
        <v>117</v>
      </c>
      <c r="H987" s="31">
        <v>10</v>
      </c>
      <c r="I987" s="31">
        <v>30</v>
      </c>
      <c r="J987" s="31" t="s">
        <v>4008</v>
      </c>
      <c r="K987" s="31" t="s">
        <v>123</v>
      </c>
      <c r="L987" s="31" t="s">
        <v>56</v>
      </c>
      <c r="M987" s="31">
        <v>192</v>
      </c>
      <c r="N987" s="31">
        <v>2016</v>
      </c>
      <c r="O987" s="31">
        <v>90</v>
      </c>
      <c r="P987" s="31"/>
      <c r="Q987" s="31"/>
      <c r="R987" s="33"/>
      <c r="S987" s="34" t="str">
        <f>HYPERLINK("http://www.cnpol.ru/covers/16422.jpg","фото на сайте")</f>
        <v>фото на сайте</v>
      </c>
    </row>
    <row r="988" spans="1:19" ht="50.1" customHeight="1">
      <c r="A988" s="31"/>
      <c r="B988" s="32" t="s">
        <v>4009</v>
      </c>
      <c r="C988" s="31" t="s">
        <v>143</v>
      </c>
      <c r="D988" s="31" t="s">
        <v>4010</v>
      </c>
      <c r="E988" s="31" t="s">
        <v>4011</v>
      </c>
      <c r="F988" s="31" t="s">
        <v>31</v>
      </c>
      <c r="G988" s="31">
        <v>966</v>
      </c>
      <c r="H988" s="31">
        <v>10</v>
      </c>
      <c r="I988" s="31">
        <v>12</v>
      </c>
      <c r="J988" s="31" t="s">
        <v>4012</v>
      </c>
      <c r="K988" s="31" t="s">
        <v>33</v>
      </c>
      <c r="L988" s="31" t="s">
        <v>34</v>
      </c>
      <c r="M988" s="31">
        <v>383</v>
      </c>
      <c r="N988" s="31">
        <v>2022</v>
      </c>
      <c r="O988" s="31">
        <v>400</v>
      </c>
      <c r="P988" s="31"/>
      <c r="Q988" s="31"/>
      <c r="R988" s="33"/>
      <c r="S988" s="34" t="str">
        <f>HYPERLINK("http://www.cnpol.ru/covers/20235.jpg","фото на сайте")</f>
        <v>фото на сайте</v>
      </c>
    </row>
    <row r="989" spans="1:19" ht="50.1" customHeight="1">
      <c r="A989" s="31"/>
      <c r="B989" s="32" t="s">
        <v>4013</v>
      </c>
      <c r="C989" s="31" t="s">
        <v>1328</v>
      </c>
      <c r="D989" s="31" t="s">
        <v>4014</v>
      </c>
      <c r="E989" s="31" t="s">
        <v>4015</v>
      </c>
      <c r="F989" s="31" t="s">
        <v>31</v>
      </c>
      <c r="G989" s="31">
        <v>421</v>
      </c>
      <c r="H989" s="31">
        <v>10</v>
      </c>
      <c r="I989" s="31">
        <v>20</v>
      </c>
      <c r="J989" s="31" t="s">
        <v>4016</v>
      </c>
      <c r="K989" s="31" t="s">
        <v>4017</v>
      </c>
      <c r="L989" s="31" t="s">
        <v>56</v>
      </c>
      <c r="M989" s="31">
        <v>320</v>
      </c>
      <c r="N989" s="31">
        <v>2017</v>
      </c>
      <c r="O989" s="31">
        <v>218</v>
      </c>
      <c r="P989" s="31"/>
      <c r="Q989" s="31"/>
      <c r="R989" s="33"/>
      <c r="S989" s="34" t="str">
        <f>HYPERLINK("http://www.cnpol.ru/covers/17408.jpg","фото на сайте")</f>
        <v>фото на сайте</v>
      </c>
    </row>
    <row r="990" spans="1:19" ht="50.1" customHeight="1">
      <c r="A990" s="31"/>
      <c r="B990" s="32" t="s">
        <v>4018</v>
      </c>
      <c r="C990" s="31" t="s">
        <v>28</v>
      </c>
      <c r="D990" s="31" t="s">
        <v>4019</v>
      </c>
      <c r="E990" s="31" t="s">
        <v>4020</v>
      </c>
      <c r="F990" s="31" t="s">
        <v>31</v>
      </c>
      <c r="G990" s="35">
        <v>1432</v>
      </c>
      <c r="H990" s="31">
        <v>10</v>
      </c>
      <c r="I990" s="31">
        <v>6</v>
      </c>
      <c r="J990" s="31" t="s">
        <v>4021</v>
      </c>
      <c r="K990" s="31" t="s">
        <v>41</v>
      </c>
      <c r="L990" s="31" t="s">
        <v>34</v>
      </c>
      <c r="M990" s="31">
        <v>912</v>
      </c>
      <c r="N990" s="31">
        <v>2020</v>
      </c>
      <c r="O990" s="31">
        <v>950</v>
      </c>
      <c r="P990" s="31"/>
      <c r="Q990" s="31"/>
      <c r="R990" s="33"/>
      <c r="S990" s="34" t="str">
        <f>HYPERLINK("http://www.cnpol.ru/covers/19167.jpg","фото на сайте")</f>
        <v>фото на сайте</v>
      </c>
    </row>
    <row r="991" spans="1:19" ht="50.1" customHeight="1">
      <c r="A991" s="31" t="s">
        <v>43</v>
      </c>
      <c r="B991" s="32" t="s">
        <v>4022</v>
      </c>
      <c r="C991" s="31" t="s">
        <v>454</v>
      </c>
      <c r="D991" s="31" t="s">
        <v>4023</v>
      </c>
      <c r="E991" s="31" t="s">
        <v>4024</v>
      </c>
      <c r="F991" s="31" t="s">
        <v>31</v>
      </c>
      <c r="G991" s="31">
        <v>807</v>
      </c>
      <c r="H991" s="31">
        <v>10</v>
      </c>
      <c r="I991" s="31">
        <v>16</v>
      </c>
      <c r="J991" s="31" t="s">
        <v>4025</v>
      </c>
      <c r="K991" s="31" t="s">
        <v>33</v>
      </c>
      <c r="L991" s="31" t="s">
        <v>34</v>
      </c>
      <c r="M991" s="31">
        <v>239</v>
      </c>
      <c r="N991" s="31">
        <v>2025</v>
      </c>
      <c r="O991" s="31">
        <v>301</v>
      </c>
      <c r="P991" s="31"/>
      <c r="Q991" s="31"/>
      <c r="R991" s="33" t="s">
        <v>4026</v>
      </c>
      <c r="S991" s="34" t="str">
        <f>HYPERLINK("http://www.cnpol.ru/covers/21496.jpg","фото на сайте")</f>
        <v>фото на сайте</v>
      </c>
    </row>
    <row r="992" spans="1:19" ht="50.1" customHeight="1">
      <c r="A992" s="31" t="s">
        <v>43</v>
      </c>
      <c r="B992" s="32" t="s">
        <v>4027</v>
      </c>
      <c r="C992" s="31" t="s">
        <v>143</v>
      </c>
      <c r="D992" s="31" t="s">
        <v>4028</v>
      </c>
      <c r="E992" s="31" t="s">
        <v>4029</v>
      </c>
      <c r="F992" s="31" t="s">
        <v>31</v>
      </c>
      <c r="G992" s="35">
        <v>1015</v>
      </c>
      <c r="H992" s="31">
        <v>10</v>
      </c>
      <c r="I992" s="31">
        <v>12</v>
      </c>
      <c r="J992" s="31" t="s">
        <v>4030</v>
      </c>
      <c r="K992" s="31" t="s">
        <v>33</v>
      </c>
      <c r="L992" s="31" t="s">
        <v>34</v>
      </c>
      <c r="M992" s="31">
        <v>346</v>
      </c>
      <c r="N992" s="31">
        <v>2025</v>
      </c>
      <c r="O992" s="31">
        <v>324</v>
      </c>
      <c r="P992" s="31"/>
      <c r="Q992" s="31"/>
      <c r="R992" s="33" t="s">
        <v>4031</v>
      </c>
      <c r="S992" s="34" t="str">
        <f>HYPERLINK("http://www.cnpol.ru/covers/21497.jpg","фото на сайте")</f>
        <v>фото на сайте</v>
      </c>
    </row>
    <row r="993" spans="1:19" ht="50.1" customHeight="1">
      <c r="A993" s="31" t="s">
        <v>43</v>
      </c>
      <c r="B993" s="32" t="s">
        <v>4032</v>
      </c>
      <c r="C993" s="31" t="s">
        <v>454</v>
      </c>
      <c r="D993" s="31" t="s">
        <v>4033</v>
      </c>
      <c r="E993" s="31" t="s">
        <v>4034</v>
      </c>
      <c r="F993" s="31" t="s">
        <v>31</v>
      </c>
      <c r="G993" s="31">
        <v>807</v>
      </c>
      <c r="H993" s="31">
        <v>10</v>
      </c>
      <c r="I993" s="31">
        <v>12</v>
      </c>
      <c r="J993" s="31" t="s">
        <v>4035</v>
      </c>
      <c r="K993" s="31" t="s">
        <v>33</v>
      </c>
      <c r="L993" s="31" t="s">
        <v>34</v>
      </c>
      <c r="M993" s="31">
        <v>237</v>
      </c>
      <c r="N993" s="31">
        <v>2026</v>
      </c>
      <c r="O993" s="31" t="s">
        <v>220</v>
      </c>
      <c r="P993" s="31"/>
      <c r="Q993" s="31"/>
      <c r="R993" s="33" t="s">
        <v>4036</v>
      </c>
      <c r="S993" s="34" t="str">
        <f>HYPERLINK("http://www.cnpol.ru/covers/21880.jpg","фото на сайте")</f>
        <v>фото на сайте</v>
      </c>
    </row>
    <row r="994" spans="1:19" ht="50.1" customHeight="1">
      <c r="A994" s="31"/>
      <c r="B994" s="32" t="s">
        <v>4037</v>
      </c>
      <c r="C994" s="31" t="s">
        <v>4038</v>
      </c>
      <c r="D994" s="31" t="s">
        <v>4039</v>
      </c>
      <c r="E994" s="31" t="s">
        <v>4040</v>
      </c>
      <c r="F994" s="31">
        <v>8</v>
      </c>
      <c r="G994" s="31">
        <v>111</v>
      </c>
      <c r="H994" s="31">
        <v>10</v>
      </c>
      <c r="I994" s="31">
        <v>16</v>
      </c>
      <c r="J994" s="31" t="s">
        <v>4041</v>
      </c>
      <c r="K994" s="31" t="s">
        <v>260</v>
      </c>
      <c r="L994" s="31" t="s">
        <v>34</v>
      </c>
      <c r="M994" s="31" t="s">
        <v>431</v>
      </c>
      <c r="N994" s="31">
        <v>2004</v>
      </c>
      <c r="O994" s="31" t="s">
        <v>220</v>
      </c>
      <c r="P994" s="31"/>
      <c r="Q994" s="31"/>
      <c r="R994" s="33"/>
      <c r="S994" s="34" t="str">
        <f>HYPERLINK("http://www.cnpol.ru/covers/4085.jpg","фото на сайте")</f>
        <v>фото на сайте</v>
      </c>
    </row>
    <row r="995" spans="1:19" ht="50.1" customHeight="1">
      <c r="A995" s="31"/>
      <c r="B995" s="32" t="s">
        <v>4042</v>
      </c>
      <c r="C995" s="31" t="s">
        <v>4043</v>
      </c>
      <c r="D995" s="31" t="s">
        <v>4044</v>
      </c>
      <c r="E995" s="31" t="s">
        <v>4045</v>
      </c>
      <c r="F995" s="31" t="s">
        <v>31</v>
      </c>
      <c r="G995" s="31">
        <v>307</v>
      </c>
      <c r="H995" s="31">
        <v>10</v>
      </c>
      <c r="I995" s="31">
        <v>24</v>
      </c>
      <c r="J995" s="31" t="s">
        <v>4046</v>
      </c>
      <c r="K995" s="31" t="s">
        <v>33</v>
      </c>
      <c r="L995" s="31" t="s">
        <v>34</v>
      </c>
      <c r="M995" s="31">
        <v>191</v>
      </c>
      <c r="N995" s="31">
        <v>2010</v>
      </c>
      <c r="O995" s="31">
        <v>242</v>
      </c>
      <c r="P995" s="31"/>
      <c r="Q995" s="31"/>
      <c r="R995" s="33"/>
      <c r="S995" s="34" t="str">
        <f>HYPERLINK("http://www.cnpol.ru/covers/11840.jpg","фото на сайте")</f>
        <v>фото на сайте</v>
      </c>
    </row>
    <row r="996" spans="1:19" ht="50.1" customHeight="1">
      <c r="A996" s="31"/>
      <c r="B996" s="32" t="s">
        <v>4047</v>
      </c>
      <c r="C996" s="31" t="s">
        <v>390</v>
      </c>
      <c r="D996" s="31" t="s">
        <v>4048</v>
      </c>
      <c r="E996" s="31" t="s">
        <v>4049</v>
      </c>
      <c r="F996" s="31">
        <v>372</v>
      </c>
      <c r="G996" s="31">
        <v>86</v>
      </c>
      <c r="H996" s="31">
        <v>10</v>
      </c>
      <c r="I996" s="31">
        <v>30</v>
      </c>
      <c r="J996" s="31" t="s">
        <v>4050</v>
      </c>
      <c r="K996" s="31" t="s">
        <v>123</v>
      </c>
      <c r="L996" s="31" t="s">
        <v>56</v>
      </c>
      <c r="M996" s="31">
        <v>158</v>
      </c>
      <c r="N996" s="31">
        <v>2014</v>
      </c>
      <c r="O996" s="31">
        <v>76</v>
      </c>
      <c r="P996" s="31"/>
      <c r="Q996" s="31"/>
      <c r="R996" s="33"/>
      <c r="S996" s="34" t="str">
        <f>HYPERLINK("http://www.cnpol.ru/covers/14760.jpg","фото на сайте")</f>
        <v>фото на сайте</v>
      </c>
    </row>
    <row r="997" spans="1:19" ht="50.1" customHeight="1">
      <c r="A997" s="31"/>
      <c r="B997" s="32" t="s">
        <v>4051</v>
      </c>
      <c r="C997" s="31" t="s">
        <v>1594</v>
      </c>
      <c r="D997" s="31" t="s">
        <v>3018</v>
      </c>
      <c r="E997" s="31" t="s">
        <v>4052</v>
      </c>
      <c r="F997" s="31" t="s">
        <v>31</v>
      </c>
      <c r="G997" s="31">
        <v>169</v>
      </c>
      <c r="H997" s="31">
        <v>10</v>
      </c>
      <c r="I997" s="31">
        <v>40</v>
      </c>
      <c r="J997" s="31" t="s">
        <v>4053</v>
      </c>
      <c r="K997" s="31" t="s">
        <v>55</v>
      </c>
      <c r="L997" s="31" t="s">
        <v>56</v>
      </c>
      <c r="M997" s="31">
        <v>288</v>
      </c>
      <c r="N997" s="31">
        <v>2020</v>
      </c>
      <c r="O997" s="31">
        <v>122</v>
      </c>
      <c r="P997" s="31"/>
      <c r="Q997" s="31"/>
      <c r="R997" s="33"/>
      <c r="S997" s="34" t="str">
        <f>HYPERLINK("http://www.cnpol.ru/covers/19185.jpg","фото на сайте")</f>
        <v>фото на сайте</v>
      </c>
    </row>
    <row r="998" spans="1:19" ht="50.1" customHeight="1">
      <c r="A998" s="31"/>
      <c r="B998" s="32" t="s">
        <v>4054</v>
      </c>
      <c r="C998" s="31" t="s">
        <v>546</v>
      </c>
      <c r="D998" s="31" t="s">
        <v>765</v>
      </c>
      <c r="E998" s="31" t="s">
        <v>4055</v>
      </c>
      <c r="F998" s="31">
        <v>252</v>
      </c>
      <c r="G998" s="31">
        <v>93</v>
      </c>
      <c r="H998" s="31">
        <v>10</v>
      </c>
      <c r="I998" s="31">
        <v>30</v>
      </c>
      <c r="J998" s="31" t="s">
        <v>4056</v>
      </c>
      <c r="K998" s="31" t="s">
        <v>123</v>
      </c>
      <c r="L998" s="31" t="s">
        <v>56</v>
      </c>
      <c r="M998" s="31">
        <v>160</v>
      </c>
      <c r="N998" s="31">
        <v>2018</v>
      </c>
      <c r="O998" s="31">
        <v>76</v>
      </c>
      <c r="P998" s="31"/>
      <c r="Q998" s="31"/>
      <c r="R998" s="33"/>
      <c r="S998" s="34" t="str">
        <f>HYPERLINK("http://www.cnpol.ru/covers/17903.jpg","фото на сайте")</f>
        <v>фото на сайте</v>
      </c>
    </row>
    <row r="999" spans="1:19" ht="50.1" customHeight="1">
      <c r="A999" s="31"/>
      <c r="B999" s="32" t="s">
        <v>4057</v>
      </c>
      <c r="C999" s="31" t="s">
        <v>546</v>
      </c>
      <c r="D999" s="31" t="s">
        <v>1427</v>
      </c>
      <c r="E999" s="31" t="s">
        <v>4058</v>
      </c>
      <c r="F999" s="31">
        <v>302</v>
      </c>
      <c r="G999" s="31">
        <v>93</v>
      </c>
      <c r="H999" s="31">
        <v>10</v>
      </c>
      <c r="I999" s="31">
        <v>30</v>
      </c>
      <c r="J999" s="31" t="s">
        <v>4059</v>
      </c>
      <c r="K999" s="31" t="s">
        <v>123</v>
      </c>
      <c r="L999" s="31" t="s">
        <v>56</v>
      </c>
      <c r="M999" s="31">
        <v>160</v>
      </c>
      <c r="N999" s="31">
        <v>2019</v>
      </c>
      <c r="O999" s="31">
        <v>78</v>
      </c>
      <c r="P999" s="31"/>
      <c r="Q999" s="31"/>
      <c r="R999" s="33"/>
      <c r="S999" s="34" t="str">
        <f>HYPERLINK("http://www.cnpol.ru/covers/18585.jpg","фото на сайте")</f>
        <v>фото на сайте</v>
      </c>
    </row>
    <row r="1000" spans="1:19" ht="50.1" customHeight="1">
      <c r="A1000" s="31"/>
      <c r="B1000" s="32" t="s">
        <v>4060</v>
      </c>
      <c r="C1000" s="31" t="s">
        <v>563</v>
      </c>
      <c r="D1000" s="31" t="s">
        <v>564</v>
      </c>
      <c r="E1000" s="31" t="s">
        <v>4061</v>
      </c>
      <c r="F1000" s="31" t="s">
        <v>31</v>
      </c>
      <c r="G1000" s="31">
        <v>56</v>
      </c>
      <c r="H1000" s="31">
        <v>10</v>
      </c>
      <c r="I1000" s="31">
        <v>40</v>
      </c>
      <c r="J1000" s="31" t="s">
        <v>4062</v>
      </c>
      <c r="K1000" s="31" t="s">
        <v>130</v>
      </c>
      <c r="L1000" s="31" t="s">
        <v>56</v>
      </c>
      <c r="M1000" s="31" t="s">
        <v>431</v>
      </c>
      <c r="N1000" s="31" t="s">
        <v>431</v>
      </c>
      <c r="O1000" s="31" t="s">
        <v>220</v>
      </c>
      <c r="P1000" s="31"/>
      <c r="Q1000" s="31"/>
      <c r="R1000" s="33"/>
      <c r="S1000" s="34" t="str">
        <f>HYPERLINK("http://www.cnpol.ru/covers/2458.jpg","фото на сайте")</f>
        <v>фото на сайте</v>
      </c>
    </row>
    <row r="1001" spans="1:19" ht="50.1" customHeight="1">
      <c r="A1001" s="31"/>
      <c r="B1001" s="32" t="s">
        <v>4063</v>
      </c>
      <c r="C1001" s="31" t="s">
        <v>563</v>
      </c>
      <c r="D1001" s="31" t="s">
        <v>564</v>
      </c>
      <c r="E1001" s="31" t="s">
        <v>4061</v>
      </c>
      <c r="F1001" s="31" t="s">
        <v>31</v>
      </c>
      <c r="G1001" s="31">
        <v>194</v>
      </c>
      <c r="H1001" s="31">
        <v>10</v>
      </c>
      <c r="I1001" s="31">
        <v>40</v>
      </c>
      <c r="J1001" s="31" t="s">
        <v>4062</v>
      </c>
      <c r="K1001" s="31" t="s">
        <v>130</v>
      </c>
      <c r="L1001" s="31" t="s">
        <v>56</v>
      </c>
      <c r="M1001" s="31">
        <v>138</v>
      </c>
      <c r="N1001" s="31">
        <v>2003</v>
      </c>
      <c r="O1001" s="31">
        <v>88</v>
      </c>
      <c r="P1001" s="31"/>
      <c r="Q1001" s="31"/>
      <c r="R1001" s="33"/>
      <c r="S1001" s="34" t="str">
        <f>HYPERLINK("http://www.cnpol.ru/covers/4305.jpg","фото на сайте")</f>
        <v>фото на сайте</v>
      </c>
    </row>
    <row r="1002" spans="1:19" ht="50.1" customHeight="1">
      <c r="A1002" s="31"/>
      <c r="B1002" s="32" t="s">
        <v>4064</v>
      </c>
      <c r="C1002" s="31" t="s">
        <v>4065</v>
      </c>
      <c r="D1002" s="31" t="s">
        <v>2421</v>
      </c>
      <c r="E1002" s="31" t="s">
        <v>4066</v>
      </c>
      <c r="F1002" s="31" t="s">
        <v>31</v>
      </c>
      <c r="G1002" s="31">
        <v>272</v>
      </c>
      <c r="H1002" s="31">
        <v>10</v>
      </c>
      <c r="I1002" s="31">
        <v>12</v>
      </c>
      <c r="J1002" s="31" t="s">
        <v>4067</v>
      </c>
      <c r="K1002" s="31" t="s">
        <v>33</v>
      </c>
      <c r="L1002" s="31" t="s">
        <v>34</v>
      </c>
      <c r="M1002" s="31">
        <v>399</v>
      </c>
      <c r="N1002" s="31">
        <v>2002</v>
      </c>
      <c r="O1002" s="31">
        <v>330</v>
      </c>
      <c r="P1002" s="31"/>
      <c r="Q1002" s="31"/>
      <c r="R1002" s="33"/>
      <c r="S1002" s="34" t="str">
        <f>HYPERLINK("http://www.cnpol.ru/covers/3335.jpg","фото на сайте")</f>
        <v>фото на сайте</v>
      </c>
    </row>
    <row r="1003" spans="1:19" ht="50.1" customHeight="1">
      <c r="A1003" s="31" t="s">
        <v>43</v>
      </c>
      <c r="B1003" s="32" t="s">
        <v>4068</v>
      </c>
      <c r="C1003" s="31" t="s">
        <v>1016</v>
      </c>
      <c r="D1003" s="31" t="s">
        <v>4069</v>
      </c>
      <c r="E1003" s="31" t="s">
        <v>4070</v>
      </c>
      <c r="F1003" s="31" t="s">
        <v>31</v>
      </c>
      <c r="G1003" s="35">
        <v>1015</v>
      </c>
      <c r="H1003" s="31">
        <v>10</v>
      </c>
      <c r="I1003" s="31">
        <v>10</v>
      </c>
      <c r="J1003" s="31" t="s">
        <v>4071</v>
      </c>
      <c r="K1003" s="31" t="s">
        <v>33</v>
      </c>
      <c r="L1003" s="31" t="s">
        <v>34</v>
      </c>
      <c r="M1003" s="31">
        <v>383</v>
      </c>
      <c r="N1003" s="31">
        <v>2025</v>
      </c>
      <c r="O1003" s="31">
        <v>320</v>
      </c>
      <c r="P1003" s="31"/>
      <c r="Q1003" s="31"/>
      <c r="R1003" s="33" t="s">
        <v>4072</v>
      </c>
      <c r="S1003" s="34" t="str">
        <f>HYPERLINK("http://www.cnpol.ru/covers/21409.jpg","фото на сайте")</f>
        <v>фото на сайте</v>
      </c>
    </row>
    <row r="1004" spans="1:19" ht="50.1" customHeight="1">
      <c r="A1004" s="31"/>
      <c r="B1004" s="32" t="s">
        <v>4073</v>
      </c>
      <c r="C1004" s="31" t="s">
        <v>418</v>
      </c>
      <c r="D1004" s="31" t="s">
        <v>4074</v>
      </c>
      <c r="E1004" s="31" t="s">
        <v>4075</v>
      </c>
      <c r="F1004" s="31">
        <v>40</v>
      </c>
      <c r="G1004" s="31">
        <v>153</v>
      </c>
      <c r="H1004" s="31">
        <v>10</v>
      </c>
      <c r="I1004" s="31">
        <v>30</v>
      </c>
      <c r="J1004" s="31" t="s">
        <v>4076</v>
      </c>
      <c r="K1004" s="31" t="s">
        <v>123</v>
      </c>
      <c r="L1004" s="31" t="s">
        <v>56</v>
      </c>
      <c r="M1004" s="31">
        <v>286</v>
      </c>
      <c r="N1004" s="31">
        <v>2014</v>
      </c>
      <c r="O1004" s="31">
        <v>132</v>
      </c>
      <c r="P1004" s="31"/>
      <c r="Q1004" s="31"/>
      <c r="R1004" s="33"/>
      <c r="S1004" s="34" t="str">
        <f>HYPERLINK("http://www.cnpol.ru/covers/14960.jpg","фото на сайте")</f>
        <v>фото на сайте</v>
      </c>
    </row>
    <row r="1005" spans="1:19" ht="50.1" customHeight="1">
      <c r="A1005" s="31"/>
      <c r="B1005" s="32" t="s">
        <v>4077</v>
      </c>
      <c r="C1005" s="31" t="s">
        <v>400</v>
      </c>
      <c r="D1005" s="31" t="s">
        <v>1369</v>
      </c>
      <c r="E1005" s="31" t="s">
        <v>4078</v>
      </c>
      <c r="F1005" s="31" t="s">
        <v>31</v>
      </c>
      <c r="G1005" s="31">
        <v>503</v>
      </c>
      <c r="H1005" s="31">
        <v>10</v>
      </c>
      <c r="I1005" s="31">
        <v>14</v>
      </c>
      <c r="J1005" s="31" t="s">
        <v>4079</v>
      </c>
      <c r="K1005" s="31" t="s">
        <v>33</v>
      </c>
      <c r="L1005" s="31" t="s">
        <v>34</v>
      </c>
      <c r="M1005" s="31">
        <v>320</v>
      </c>
      <c r="N1005" s="31">
        <v>2018</v>
      </c>
      <c r="O1005" s="31">
        <v>274</v>
      </c>
      <c r="P1005" s="31"/>
      <c r="Q1005" s="31"/>
      <c r="R1005" s="33"/>
      <c r="S1005" s="34" t="str">
        <f>HYPERLINK("http://www.cnpol.ru/covers/18176.jpg","фото на сайте")</f>
        <v>фото на сайте</v>
      </c>
    </row>
    <row r="1006" spans="1:19" ht="50.1" customHeight="1">
      <c r="A1006" s="31"/>
      <c r="B1006" s="32" t="s">
        <v>4080</v>
      </c>
      <c r="C1006" s="31" t="s">
        <v>390</v>
      </c>
      <c r="D1006" s="31" t="s">
        <v>1846</v>
      </c>
      <c r="E1006" s="31" t="s">
        <v>4081</v>
      </c>
      <c r="F1006" s="31">
        <v>1111</v>
      </c>
      <c r="G1006" s="31">
        <v>86</v>
      </c>
      <c r="H1006" s="31">
        <v>10</v>
      </c>
      <c r="I1006" s="31">
        <v>30</v>
      </c>
      <c r="J1006" s="31" t="s">
        <v>4082</v>
      </c>
      <c r="K1006" s="31" t="s">
        <v>123</v>
      </c>
      <c r="L1006" s="31" t="s">
        <v>56</v>
      </c>
      <c r="M1006" s="31">
        <v>159</v>
      </c>
      <c r="N1006" s="31">
        <v>2022</v>
      </c>
      <c r="O1006" s="31">
        <v>76</v>
      </c>
      <c r="P1006" s="31"/>
      <c r="Q1006" s="31"/>
      <c r="R1006" s="33" t="s">
        <v>4083</v>
      </c>
      <c r="S1006" s="34" t="str">
        <f>HYPERLINK("http://www.cnpol.ru/covers/20416.jpg","фото на сайте")</f>
        <v>фото на сайте</v>
      </c>
    </row>
    <row r="1007" spans="1:19" ht="50.1" customHeight="1">
      <c r="A1007" s="31"/>
      <c r="B1007" s="32" t="s">
        <v>4084</v>
      </c>
      <c r="C1007" s="31" t="s">
        <v>4085</v>
      </c>
      <c r="D1007" s="31" t="s">
        <v>4086</v>
      </c>
      <c r="E1007" s="31" t="s">
        <v>4087</v>
      </c>
      <c r="F1007" s="31" t="s">
        <v>31</v>
      </c>
      <c r="G1007" s="31">
        <v>243</v>
      </c>
      <c r="H1007" s="31">
        <v>10</v>
      </c>
      <c r="I1007" s="31">
        <v>20</v>
      </c>
      <c r="J1007" s="31" t="s">
        <v>4088</v>
      </c>
      <c r="K1007" s="31" t="s">
        <v>300</v>
      </c>
      <c r="L1007" s="31" t="s">
        <v>56</v>
      </c>
      <c r="M1007" s="31">
        <v>350</v>
      </c>
      <c r="N1007" s="31">
        <v>2013</v>
      </c>
      <c r="O1007" s="31">
        <v>180</v>
      </c>
      <c r="P1007" s="31"/>
      <c r="Q1007" s="31"/>
      <c r="R1007" s="33" t="s">
        <v>4089</v>
      </c>
      <c r="S1007" s="34" t="str">
        <f>HYPERLINK("http://www.cnpol.ru/covers/14489.jpg","фото на сайте")</f>
        <v>фото на сайте</v>
      </c>
    </row>
    <row r="1008" spans="1:19" ht="50.1" customHeight="1">
      <c r="A1008" s="31"/>
      <c r="B1008" s="32" t="s">
        <v>4090</v>
      </c>
      <c r="C1008" s="31" t="s">
        <v>630</v>
      </c>
      <c r="D1008" s="31" t="s">
        <v>3932</v>
      </c>
      <c r="E1008" s="31" t="s">
        <v>4091</v>
      </c>
      <c r="F1008" s="31" t="s">
        <v>31</v>
      </c>
      <c r="G1008" s="31">
        <v>96</v>
      </c>
      <c r="H1008" s="31">
        <v>10</v>
      </c>
      <c r="I1008" s="31">
        <v>40</v>
      </c>
      <c r="J1008" s="31" t="s">
        <v>4092</v>
      </c>
      <c r="K1008" s="31" t="s">
        <v>55</v>
      </c>
      <c r="L1008" s="31" t="s">
        <v>56</v>
      </c>
      <c r="M1008" s="31">
        <v>127</v>
      </c>
      <c r="N1008" s="31">
        <v>2005</v>
      </c>
      <c r="O1008" s="31">
        <v>56</v>
      </c>
      <c r="P1008" s="31"/>
      <c r="Q1008" s="31"/>
      <c r="R1008" s="33"/>
      <c r="S1008" s="34" t="str">
        <f>HYPERLINK("http://www.cnpol.ru/covers/6040.jpg","фото на сайте")</f>
        <v>фото на сайте</v>
      </c>
    </row>
    <row r="1009" spans="1:19" ht="50.1" customHeight="1">
      <c r="A1009" s="31"/>
      <c r="B1009" s="32" t="s">
        <v>4093</v>
      </c>
      <c r="C1009" s="31" t="s">
        <v>3229</v>
      </c>
      <c r="D1009" s="31" t="s">
        <v>4094</v>
      </c>
      <c r="E1009" s="31" t="s">
        <v>4095</v>
      </c>
      <c r="F1009" s="31" t="s">
        <v>31</v>
      </c>
      <c r="G1009" s="31">
        <v>611</v>
      </c>
      <c r="H1009" s="31">
        <v>10</v>
      </c>
      <c r="I1009" s="31">
        <v>12</v>
      </c>
      <c r="J1009" s="31" t="s">
        <v>4096</v>
      </c>
      <c r="K1009" s="31" t="s">
        <v>33</v>
      </c>
      <c r="L1009" s="31" t="s">
        <v>34</v>
      </c>
      <c r="M1009" s="31">
        <v>383</v>
      </c>
      <c r="N1009" s="31">
        <v>2009</v>
      </c>
      <c r="O1009" s="31">
        <v>350</v>
      </c>
      <c r="P1009" s="31"/>
      <c r="Q1009" s="31"/>
      <c r="R1009" s="33"/>
      <c r="S1009" s="34" t="str">
        <f>HYPERLINK("http://www.cnpol.ru/covers/11563.jpg","фото на сайте")</f>
        <v>фото на сайте</v>
      </c>
    </row>
    <row r="1010" spans="1:19" ht="50.1" customHeight="1">
      <c r="A1010" s="31"/>
      <c r="B1010" s="32" t="s">
        <v>4097</v>
      </c>
      <c r="C1010" s="31" t="s">
        <v>413</v>
      </c>
      <c r="D1010" s="31" t="s">
        <v>2253</v>
      </c>
      <c r="E1010" s="31" t="s">
        <v>4098</v>
      </c>
      <c r="F1010" s="31">
        <v>144</v>
      </c>
      <c r="G1010" s="31">
        <v>117</v>
      </c>
      <c r="H1010" s="31">
        <v>10</v>
      </c>
      <c r="I1010" s="31">
        <v>36</v>
      </c>
      <c r="J1010" s="31" t="s">
        <v>4099</v>
      </c>
      <c r="K1010" s="31" t="s">
        <v>123</v>
      </c>
      <c r="L1010" s="31" t="s">
        <v>56</v>
      </c>
      <c r="M1010" s="31">
        <v>192</v>
      </c>
      <c r="N1010" s="31">
        <v>2017</v>
      </c>
      <c r="O1010" s="31">
        <v>90</v>
      </c>
      <c r="P1010" s="31"/>
      <c r="Q1010" s="31"/>
      <c r="R1010" s="33"/>
      <c r="S1010" s="34" t="str">
        <f>HYPERLINK("http://www.cnpol.ru/covers/17545.jpg","фото на сайте")</f>
        <v>фото на сайте</v>
      </c>
    </row>
    <row r="1011" spans="1:19" ht="50.1" customHeight="1">
      <c r="A1011" s="31"/>
      <c r="B1011" s="32" t="s">
        <v>4100</v>
      </c>
      <c r="C1011" s="31" t="s">
        <v>37</v>
      </c>
      <c r="D1011" s="31" t="s">
        <v>4101</v>
      </c>
      <c r="E1011" s="31" t="s">
        <v>4102</v>
      </c>
      <c r="F1011" s="31" t="s">
        <v>31</v>
      </c>
      <c r="G1011" s="31">
        <v>468</v>
      </c>
      <c r="H1011" s="31">
        <v>10</v>
      </c>
      <c r="I1011" s="31">
        <v>18</v>
      </c>
      <c r="J1011" s="31" t="s">
        <v>4103</v>
      </c>
      <c r="K1011" s="31" t="s">
        <v>33</v>
      </c>
      <c r="L1011" s="31" t="s">
        <v>34</v>
      </c>
      <c r="M1011" s="31">
        <v>224</v>
      </c>
      <c r="N1011" s="31">
        <v>2020</v>
      </c>
      <c r="O1011" s="31">
        <v>216</v>
      </c>
      <c r="P1011" s="31"/>
      <c r="Q1011" s="31"/>
      <c r="R1011" s="33"/>
      <c r="S1011" s="34" t="str">
        <f>HYPERLINK("http://www.cnpol.ru/covers/19437.jpg","фото на сайте")</f>
        <v>фото на сайте</v>
      </c>
    </row>
    <row r="1012" spans="1:19" ht="50.1" customHeight="1">
      <c r="A1012" s="31" t="s">
        <v>43</v>
      </c>
      <c r="B1012" s="32" t="s">
        <v>4104</v>
      </c>
      <c r="C1012" s="31" t="s">
        <v>37</v>
      </c>
      <c r="D1012" s="31" t="s">
        <v>4105</v>
      </c>
      <c r="E1012" s="31" t="s">
        <v>4106</v>
      </c>
      <c r="F1012" s="31" t="s">
        <v>31</v>
      </c>
      <c r="G1012" s="31">
        <v>936</v>
      </c>
      <c r="H1012" s="31">
        <v>10</v>
      </c>
      <c r="I1012" s="31">
        <v>12</v>
      </c>
      <c r="J1012" s="31" t="s">
        <v>4107</v>
      </c>
      <c r="K1012" s="31" t="s">
        <v>33</v>
      </c>
      <c r="L1012" s="31" t="s">
        <v>34</v>
      </c>
      <c r="M1012" s="31">
        <v>319</v>
      </c>
      <c r="N1012" s="31">
        <v>2025</v>
      </c>
      <c r="O1012" s="31">
        <v>355</v>
      </c>
      <c r="P1012" s="31"/>
      <c r="Q1012" s="31"/>
      <c r="R1012" s="33" t="s">
        <v>4108</v>
      </c>
      <c r="S1012" s="34" t="str">
        <f>HYPERLINK("http://www.cnpol.ru/covers/21492.jpg","фото на сайте")</f>
        <v>фото на сайте</v>
      </c>
    </row>
    <row r="1013" spans="1:19" ht="50.1" customHeight="1">
      <c r="A1013" s="31" t="s">
        <v>35</v>
      </c>
      <c r="B1013" s="32" t="s">
        <v>4109</v>
      </c>
      <c r="C1013" s="31" t="s">
        <v>688</v>
      </c>
      <c r="D1013" s="31" t="s">
        <v>4110</v>
      </c>
      <c r="E1013" s="31" t="s">
        <v>4111</v>
      </c>
      <c r="F1013" s="31" t="s">
        <v>31</v>
      </c>
      <c r="G1013" s="31">
        <v>771</v>
      </c>
      <c r="H1013" s="31">
        <v>10</v>
      </c>
      <c r="I1013" s="31">
        <v>10</v>
      </c>
      <c r="J1013" s="31" t="s">
        <v>4112</v>
      </c>
      <c r="K1013" s="31" t="s">
        <v>33</v>
      </c>
      <c r="L1013" s="31" t="s">
        <v>34</v>
      </c>
      <c r="M1013" s="31">
        <v>254</v>
      </c>
      <c r="N1013" s="31">
        <v>2025</v>
      </c>
      <c r="O1013" s="31">
        <v>224</v>
      </c>
      <c r="P1013" s="31"/>
      <c r="Q1013" s="31"/>
      <c r="R1013" s="33" t="s">
        <v>4113</v>
      </c>
      <c r="S1013" s="34" t="str">
        <f>HYPERLINK("http://www.cnpol.ru/covers/21735.jpg","фото на сайте")</f>
        <v>фото на сайте</v>
      </c>
    </row>
    <row r="1014" spans="1:19" ht="50.1" customHeight="1">
      <c r="A1014" s="31"/>
      <c r="B1014" s="32" t="s">
        <v>4114</v>
      </c>
      <c r="C1014" s="31" t="s">
        <v>390</v>
      </c>
      <c r="D1014" s="31" t="s">
        <v>2177</v>
      </c>
      <c r="E1014" s="31" t="s">
        <v>4115</v>
      </c>
      <c r="F1014" s="31">
        <v>736</v>
      </c>
      <c r="G1014" s="31">
        <v>86</v>
      </c>
      <c r="H1014" s="31">
        <v>10</v>
      </c>
      <c r="I1014" s="31">
        <v>30</v>
      </c>
      <c r="J1014" s="31" t="s">
        <v>4116</v>
      </c>
      <c r="K1014" s="31" t="s">
        <v>123</v>
      </c>
      <c r="L1014" s="31" t="s">
        <v>56</v>
      </c>
      <c r="M1014" s="31">
        <v>160</v>
      </c>
      <c r="N1014" s="31">
        <v>2017</v>
      </c>
      <c r="O1014" s="31">
        <v>76</v>
      </c>
      <c r="P1014" s="31"/>
      <c r="Q1014" s="31"/>
      <c r="R1014" s="33"/>
      <c r="S1014" s="34" t="str">
        <f>HYPERLINK("http://www.cnpol.ru/covers/17600.jpg","фото на сайте")</f>
        <v>фото на сайте</v>
      </c>
    </row>
    <row r="1015" spans="1:19" ht="50.1" customHeight="1">
      <c r="A1015" s="31"/>
      <c r="B1015" s="32" t="s">
        <v>4117</v>
      </c>
      <c r="C1015" s="31" t="s">
        <v>4118</v>
      </c>
      <c r="D1015" s="31" t="s">
        <v>4119</v>
      </c>
      <c r="E1015" s="31" t="s">
        <v>4120</v>
      </c>
      <c r="F1015" s="31" t="s">
        <v>31</v>
      </c>
      <c r="G1015" s="31">
        <v>675</v>
      </c>
      <c r="H1015" s="31">
        <v>10</v>
      </c>
      <c r="I1015" s="31">
        <v>12</v>
      </c>
      <c r="J1015" s="31" t="s">
        <v>4121</v>
      </c>
      <c r="K1015" s="31" t="s">
        <v>33</v>
      </c>
      <c r="L1015" s="31" t="s">
        <v>34</v>
      </c>
      <c r="M1015" s="31">
        <v>288</v>
      </c>
      <c r="N1015" s="31">
        <v>2020</v>
      </c>
      <c r="O1015" s="31">
        <v>314</v>
      </c>
      <c r="P1015" s="31"/>
      <c r="Q1015" s="31"/>
      <c r="R1015" s="33"/>
      <c r="S1015" s="34" t="str">
        <f>HYPERLINK("http://www.cnpol.ru/covers/19285.jpg","фото на сайте")</f>
        <v>фото на сайте</v>
      </c>
    </row>
    <row r="1016" spans="1:19" ht="50.1" customHeight="1">
      <c r="A1016" s="31"/>
      <c r="B1016" s="32" t="s">
        <v>4122</v>
      </c>
      <c r="C1016" s="31" t="s">
        <v>746</v>
      </c>
      <c r="D1016" s="31" t="s">
        <v>4123</v>
      </c>
      <c r="E1016" s="31" t="s">
        <v>4124</v>
      </c>
      <c r="F1016" s="31" t="s">
        <v>31</v>
      </c>
      <c r="G1016" s="31">
        <v>522</v>
      </c>
      <c r="H1016" s="31">
        <v>10</v>
      </c>
      <c r="I1016" s="31">
        <v>14</v>
      </c>
      <c r="J1016" s="31" t="s">
        <v>4125</v>
      </c>
      <c r="K1016" s="31" t="s">
        <v>33</v>
      </c>
      <c r="L1016" s="31" t="s">
        <v>34</v>
      </c>
      <c r="M1016" s="31">
        <v>256</v>
      </c>
      <c r="N1016" s="31">
        <v>2016</v>
      </c>
      <c r="O1016" s="31">
        <v>300</v>
      </c>
      <c r="P1016" s="31"/>
      <c r="Q1016" s="31"/>
      <c r="R1016" s="33"/>
      <c r="S1016" s="34" t="str">
        <f>HYPERLINK("http://www.cnpol.ru/covers/16540.jpg","фото на сайте")</f>
        <v>фото на сайте</v>
      </c>
    </row>
    <row r="1017" spans="1:19" ht="50.1" customHeight="1">
      <c r="A1017" s="31"/>
      <c r="B1017" s="32" t="s">
        <v>4126</v>
      </c>
      <c r="C1017" s="31" t="s">
        <v>390</v>
      </c>
      <c r="D1017" s="31" t="s">
        <v>3798</v>
      </c>
      <c r="E1017" s="31" t="s">
        <v>4127</v>
      </c>
      <c r="F1017" s="31">
        <v>481</v>
      </c>
      <c r="G1017" s="31">
        <v>86</v>
      </c>
      <c r="H1017" s="31">
        <v>10</v>
      </c>
      <c r="I1017" s="31">
        <v>30</v>
      </c>
      <c r="J1017" s="31" t="s">
        <v>4128</v>
      </c>
      <c r="K1017" s="31" t="s">
        <v>123</v>
      </c>
      <c r="L1017" s="31" t="s">
        <v>56</v>
      </c>
      <c r="M1017" s="31">
        <v>158</v>
      </c>
      <c r="N1017" s="31">
        <v>2014</v>
      </c>
      <c r="O1017" s="31">
        <v>76</v>
      </c>
      <c r="P1017" s="31"/>
      <c r="Q1017" s="31"/>
      <c r="R1017" s="33"/>
      <c r="S1017" s="34" t="str">
        <f>HYPERLINK("http://www.cnpol.ru/covers/15709.jpg","фото на сайте")</f>
        <v>фото на сайте</v>
      </c>
    </row>
    <row r="1018" spans="1:19" ht="50.1" customHeight="1">
      <c r="A1018" s="31"/>
      <c r="B1018" s="32" t="s">
        <v>4129</v>
      </c>
      <c r="C1018" s="31" t="s">
        <v>390</v>
      </c>
      <c r="D1018" s="31" t="s">
        <v>4130</v>
      </c>
      <c r="E1018" s="31" t="s">
        <v>4131</v>
      </c>
      <c r="F1018" s="31">
        <v>1084</v>
      </c>
      <c r="G1018" s="31">
        <v>86</v>
      </c>
      <c r="H1018" s="31">
        <v>10</v>
      </c>
      <c r="I1018" s="31">
        <v>30</v>
      </c>
      <c r="J1018" s="31" t="s">
        <v>4132</v>
      </c>
      <c r="K1018" s="31" t="s">
        <v>123</v>
      </c>
      <c r="L1018" s="31" t="s">
        <v>56</v>
      </c>
      <c r="M1018" s="31">
        <v>159</v>
      </c>
      <c r="N1018" s="31">
        <v>2022</v>
      </c>
      <c r="O1018" s="31">
        <v>76</v>
      </c>
      <c r="P1018" s="31"/>
      <c r="Q1018" s="31"/>
      <c r="R1018" s="33"/>
      <c r="S1018" s="34" t="str">
        <f>HYPERLINK("http://www.cnpol.ru/covers/20150.jpg","фото на сайте")</f>
        <v>фото на сайте</v>
      </c>
    </row>
    <row r="1019" spans="1:19" ht="50.1" customHeight="1">
      <c r="A1019" s="31"/>
      <c r="B1019" s="32" t="s">
        <v>4133</v>
      </c>
      <c r="C1019" s="31" t="s">
        <v>520</v>
      </c>
      <c r="D1019" s="31" t="s">
        <v>4134</v>
      </c>
      <c r="E1019" s="31" t="s">
        <v>4135</v>
      </c>
      <c r="F1019" s="31">
        <v>14</v>
      </c>
      <c r="G1019" s="31">
        <v>117</v>
      </c>
      <c r="H1019" s="31">
        <v>10</v>
      </c>
      <c r="I1019" s="31">
        <v>30</v>
      </c>
      <c r="J1019" s="31" t="s">
        <v>4136</v>
      </c>
      <c r="K1019" s="31" t="s">
        <v>123</v>
      </c>
      <c r="L1019" s="31" t="s">
        <v>56</v>
      </c>
      <c r="M1019" s="31">
        <v>192</v>
      </c>
      <c r="N1019" s="31">
        <v>2015</v>
      </c>
      <c r="O1019" s="31">
        <v>90</v>
      </c>
      <c r="P1019" s="31"/>
      <c r="Q1019" s="31"/>
      <c r="R1019" s="33"/>
      <c r="S1019" s="34" t="str">
        <f>HYPERLINK("http://www.cnpol.ru/covers/16362.jpg","фото на сайте")</f>
        <v>фото на сайте</v>
      </c>
    </row>
    <row r="1020" spans="1:19" ht="50.1" customHeight="1">
      <c r="A1020" s="31"/>
      <c r="B1020" s="32" t="s">
        <v>4137</v>
      </c>
      <c r="C1020" s="31" t="s">
        <v>3939</v>
      </c>
      <c r="D1020" s="31" t="s">
        <v>4138</v>
      </c>
      <c r="E1020" s="31" t="s">
        <v>4139</v>
      </c>
      <c r="F1020" s="31" t="s">
        <v>31</v>
      </c>
      <c r="G1020" s="31">
        <v>193</v>
      </c>
      <c r="H1020" s="31">
        <v>10</v>
      </c>
      <c r="I1020" s="31">
        <v>24</v>
      </c>
      <c r="J1020" s="31" t="s">
        <v>4140</v>
      </c>
      <c r="K1020" s="31" t="s">
        <v>33</v>
      </c>
      <c r="L1020" s="31" t="s">
        <v>34</v>
      </c>
      <c r="M1020" s="31">
        <v>191</v>
      </c>
      <c r="N1020" s="31">
        <v>2008</v>
      </c>
      <c r="O1020" s="31">
        <v>216</v>
      </c>
      <c r="P1020" s="31"/>
      <c r="Q1020" s="31"/>
      <c r="R1020" s="33"/>
      <c r="S1020" s="34" t="str">
        <f>HYPERLINK("http://www.cnpol.ru/covers/7876.jpg","фото на сайте")</f>
        <v>фото на сайте</v>
      </c>
    </row>
    <row r="1021" spans="1:19" ht="50.1" customHeight="1">
      <c r="A1021" s="31"/>
      <c r="B1021" s="32" t="s">
        <v>4141</v>
      </c>
      <c r="C1021" s="31" t="s">
        <v>3229</v>
      </c>
      <c r="D1021" s="31" t="s">
        <v>4142</v>
      </c>
      <c r="E1021" s="31" t="s">
        <v>4143</v>
      </c>
      <c r="F1021" s="31" t="s">
        <v>31</v>
      </c>
      <c r="G1021" s="31">
        <v>693</v>
      </c>
      <c r="H1021" s="31">
        <v>10</v>
      </c>
      <c r="I1021" s="31">
        <v>18</v>
      </c>
      <c r="J1021" s="31" t="s">
        <v>4144</v>
      </c>
      <c r="K1021" s="31" t="s">
        <v>33</v>
      </c>
      <c r="L1021" s="31" t="s">
        <v>34</v>
      </c>
      <c r="M1021" s="31">
        <v>319</v>
      </c>
      <c r="N1021" s="31">
        <v>2015</v>
      </c>
      <c r="O1021" s="31">
        <v>350</v>
      </c>
      <c r="P1021" s="31"/>
      <c r="Q1021" s="31"/>
      <c r="R1021" s="33"/>
      <c r="S1021" s="34" t="str">
        <f>HYPERLINK("http://www.cnpol.ru/covers/15908.jpg","фото на сайте")</f>
        <v>фото на сайте</v>
      </c>
    </row>
    <row r="1022" spans="1:19" ht="50.1" customHeight="1">
      <c r="A1022" s="31"/>
      <c r="B1022" s="32" t="s">
        <v>4145</v>
      </c>
      <c r="C1022" s="31" t="s">
        <v>297</v>
      </c>
      <c r="D1022" s="31" t="s">
        <v>539</v>
      </c>
      <c r="E1022" s="31" t="s">
        <v>4146</v>
      </c>
      <c r="F1022" s="31" t="s">
        <v>31</v>
      </c>
      <c r="G1022" s="31">
        <v>300</v>
      </c>
      <c r="H1022" s="31">
        <v>10</v>
      </c>
      <c r="I1022" s="31">
        <v>20</v>
      </c>
      <c r="J1022" s="31" t="s">
        <v>4147</v>
      </c>
      <c r="K1022" s="31" t="s">
        <v>300</v>
      </c>
      <c r="L1022" s="31" t="s">
        <v>56</v>
      </c>
      <c r="M1022" s="31">
        <v>320</v>
      </c>
      <c r="N1022" s="31">
        <v>2018</v>
      </c>
      <c r="O1022" s="31">
        <v>162</v>
      </c>
      <c r="P1022" s="31"/>
      <c r="Q1022" s="31"/>
      <c r="R1022" s="33"/>
      <c r="S1022" s="34" t="str">
        <f>HYPERLINK("http://www.cnpol.ru/covers/18184.jpg","фото на сайте")</f>
        <v>фото на сайте</v>
      </c>
    </row>
    <row r="1023" spans="1:19" ht="50.1" customHeight="1">
      <c r="A1023" s="31"/>
      <c r="B1023" s="32" t="s">
        <v>4148</v>
      </c>
      <c r="C1023" s="31" t="s">
        <v>302</v>
      </c>
      <c r="D1023" s="31" t="s">
        <v>539</v>
      </c>
      <c r="E1023" s="31" t="s">
        <v>4146</v>
      </c>
      <c r="F1023" s="31" t="s">
        <v>31</v>
      </c>
      <c r="G1023" s="31">
        <v>917</v>
      </c>
      <c r="H1023" s="31">
        <v>10</v>
      </c>
      <c r="I1023" s="31">
        <v>10</v>
      </c>
      <c r="J1023" s="31" t="s">
        <v>4149</v>
      </c>
      <c r="K1023" s="31" t="s">
        <v>41</v>
      </c>
      <c r="L1023" s="31" t="s">
        <v>304</v>
      </c>
      <c r="M1023" s="31">
        <v>352</v>
      </c>
      <c r="N1023" s="31">
        <v>2016</v>
      </c>
      <c r="O1023" s="31">
        <v>410</v>
      </c>
      <c r="P1023" s="31"/>
      <c r="Q1023" s="31"/>
      <c r="R1023" s="33"/>
      <c r="S1023" s="34" t="str">
        <f>HYPERLINK("http://www.cnpol.ru/covers/17318.jpg","фото на сайте")</f>
        <v>фото на сайте</v>
      </c>
    </row>
    <row r="1024" spans="1:19" ht="50.1" customHeight="1">
      <c r="A1024" s="31"/>
      <c r="B1024" s="32" t="s">
        <v>4150</v>
      </c>
      <c r="C1024" s="31" t="s">
        <v>4151</v>
      </c>
      <c r="D1024" s="31" t="s">
        <v>4152</v>
      </c>
      <c r="E1024" s="31" t="s">
        <v>4153</v>
      </c>
      <c r="F1024" s="31" t="s">
        <v>31</v>
      </c>
      <c r="G1024" s="31">
        <v>56</v>
      </c>
      <c r="H1024" s="31">
        <v>10</v>
      </c>
      <c r="I1024" s="31">
        <v>32</v>
      </c>
      <c r="J1024" s="31" t="s">
        <v>4154</v>
      </c>
      <c r="K1024" s="31" t="s">
        <v>55</v>
      </c>
      <c r="L1024" s="31" t="s">
        <v>56</v>
      </c>
      <c r="M1024" s="31">
        <v>221</v>
      </c>
      <c r="N1024" s="31">
        <v>2004</v>
      </c>
      <c r="O1024" s="31">
        <v>94</v>
      </c>
      <c r="P1024" s="31"/>
      <c r="Q1024" s="31"/>
      <c r="R1024" s="33"/>
      <c r="S1024" s="34" t="str">
        <f>HYPERLINK("http://www.cnpol.ru/covers/4481.jpg","фото на сайте")</f>
        <v>фото на сайте</v>
      </c>
    </row>
    <row r="1025" spans="1:19" ht="50.1" customHeight="1">
      <c r="A1025" s="31"/>
      <c r="B1025" s="32" t="s">
        <v>4155</v>
      </c>
      <c r="C1025" s="31" t="s">
        <v>1594</v>
      </c>
      <c r="D1025" s="31" t="s">
        <v>4156</v>
      </c>
      <c r="E1025" s="31" t="s">
        <v>4157</v>
      </c>
      <c r="F1025" s="31" t="s">
        <v>31</v>
      </c>
      <c r="G1025" s="31">
        <v>169</v>
      </c>
      <c r="H1025" s="31">
        <v>10</v>
      </c>
      <c r="I1025" s="31">
        <v>32</v>
      </c>
      <c r="J1025" s="31" t="s">
        <v>4158</v>
      </c>
      <c r="K1025" s="31" t="s">
        <v>55</v>
      </c>
      <c r="L1025" s="31" t="s">
        <v>56</v>
      </c>
      <c r="M1025" s="31">
        <v>288</v>
      </c>
      <c r="N1025" s="31">
        <v>2021</v>
      </c>
      <c r="O1025" s="31">
        <v>122</v>
      </c>
      <c r="P1025" s="31"/>
      <c r="Q1025" s="31"/>
      <c r="R1025" s="33"/>
      <c r="S1025" s="34" t="str">
        <f>HYPERLINK("http://www.cnpol.ru/covers/19535.jpg","фото на сайте")</f>
        <v>фото на сайте</v>
      </c>
    </row>
    <row r="1026" spans="1:19" ht="50.1" customHeight="1">
      <c r="A1026" s="31" t="s">
        <v>35</v>
      </c>
      <c r="B1026" s="32" t="s">
        <v>4159</v>
      </c>
      <c r="C1026" s="31" t="s">
        <v>37</v>
      </c>
      <c r="D1026" s="31" t="s">
        <v>4160</v>
      </c>
      <c r="E1026" s="31" t="s">
        <v>4161</v>
      </c>
      <c r="F1026" s="31" t="s">
        <v>31</v>
      </c>
      <c r="G1026" s="35">
        <v>1730</v>
      </c>
      <c r="H1026" s="31">
        <v>10</v>
      </c>
      <c r="I1026" s="31">
        <v>6</v>
      </c>
      <c r="J1026" s="31" t="s">
        <v>4162</v>
      </c>
      <c r="K1026" s="31" t="s">
        <v>41</v>
      </c>
      <c r="L1026" s="31" t="s">
        <v>34</v>
      </c>
      <c r="M1026" s="31">
        <v>670</v>
      </c>
      <c r="N1026" s="31">
        <v>2024</v>
      </c>
      <c r="O1026" s="31">
        <v>767</v>
      </c>
      <c r="P1026" s="31"/>
      <c r="Q1026" s="31"/>
      <c r="R1026" s="33" t="s">
        <v>4163</v>
      </c>
      <c r="S1026" s="34" t="str">
        <f>HYPERLINK("http://www.cnpol.ru/covers/21125.jpg","фото на сайте")</f>
        <v>фото на сайте</v>
      </c>
    </row>
    <row r="1027" spans="1:19" ht="50.1" customHeight="1">
      <c r="A1027" s="31"/>
      <c r="B1027" s="32" t="s">
        <v>4164</v>
      </c>
      <c r="C1027" s="31" t="s">
        <v>2233</v>
      </c>
      <c r="D1027" s="31" t="s">
        <v>2234</v>
      </c>
      <c r="E1027" s="31" t="s">
        <v>4165</v>
      </c>
      <c r="F1027" s="31" t="s">
        <v>31</v>
      </c>
      <c r="G1027" s="31">
        <v>137</v>
      </c>
      <c r="H1027" s="31">
        <v>10</v>
      </c>
      <c r="I1027" s="31">
        <v>32</v>
      </c>
      <c r="J1027" s="31" t="s">
        <v>4166</v>
      </c>
      <c r="K1027" s="31" t="s">
        <v>55</v>
      </c>
      <c r="L1027" s="31" t="s">
        <v>56</v>
      </c>
      <c r="M1027" s="31">
        <v>254</v>
      </c>
      <c r="N1027" s="31">
        <v>2008</v>
      </c>
      <c r="O1027" s="31">
        <v>112</v>
      </c>
      <c r="P1027" s="31"/>
      <c r="Q1027" s="31"/>
      <c r="R1027" s="33"/>
      <c r="S1027" s="34" t="str">
        <f>HYPERLINK("http://www.cnpol.ru/covers/10699.jpg","фото на сайте")</f>
        <v>фото на сайте</v>
      </c>
    </row>
    <row r="1028" spans="1:19" ht="50.1" customHeight="1">
      <c r="A1028" s="31"/>
      <c r="B1028" s="32" t="s">
        <v>4167</v>
      </c>
      <c r="C1028" s="31" t="s">
        <v>390</v>
      </c>
      <c r="D1028" s="31" t="s">
        <v>3641</v>
      </c>
      <c r="E1028" s="31" t="s">
        <v>4168</v>
      </c>
      <c r="F1028" s="31">
        <v>887</v>
      </c>
      <c r="G1028" s="31">
        <v>86</v>
      </c>
      <c r="H1028" s="31">
        <v>10</v>
      </c>
      <c r="I1028" s="31">
        <v>30</v>
      </c>
      <c r="J1028" s="31" t="s">
        <v>4169</v>
      </c>
      <c r="K1028" s="31" t="s">
        <v>123</v>
      </c>
      <c r="L1028" s="31" t="s">
        <v>56</v>
      </c>
      <c r="M1028" s="31">
        <v>160</v>
      </c>
      <c r="N1028" s="31">
        <v>2019</v>
      </c>
      <c r="O1028" s="31">
        <v>78</v>
      </c>
      <c r="P1028" s="31"/>
      <c r="Q1028" s="31"/>
      <c r="R1028" s="33"/>
      <c r="S1028" s="34" t="str">
        <f>HYPERLINK("http://www.cnpol.ru/covers/18627.jpg","фото на сайте")</f>
        <v>фото на сайте</v>
      </c>
    </row>
    <row r="1029" spans="1:19" ht="50.1" customHeight="1">
      <c r="A1029" s="31" t="s">
        <v>35</v>
      </c>
      <c r="B1029" s="32" t="s">
        <v>4170</v>
      </c>
      <c r="C1029" s="31" t="s">
        <v>45</v>
      </c>
      <c r="D1029" s="31" t="s">
        <v>4171</v>
      </c>
      <c r="E1029" s="31" t="s">
        <v>4172</v>
      </c>
      <c r="F1029" s="31" t="s">
        <v>31</v>
      </c>
      <c r="G1029" s="35">
        <v>1832</v>
      </c>
      <c r="H1029" s="31">
        <v>10</v>
      </c>
      <c r="I1029" s="31">
        <v>6</v>
      </c>
      <c r="J1029" s="31" t="s">
        <v>4173</v>
      </c>
      <c r="K1029" s="31" t="s">
        <v>41</v>
      </c>
      <c r="L1029" s="31" t="s">
        <v>34</v>
      </c>
      <c r="M1029" s="31">
        <v>734</v>
      </c>
      <c r="N1029" s="31">
        <v>2024</v>
      </c>
      <c r="O1029" s="31">
        <v>824</v>
      </c>
      <c r="P1029" s="31"/>
      <c r="Q1029" s="31"/>
      <c r="R1029" s="33" t="s">
        <v>4174</v>
      </c>
      <c r="S1029" s="34" t="str">
        <f>HYPERLINK("http://www.cnpol.ru/covers/21193.jpg","фото на сайте")</f>
        <v>фото на сайте</v>
      </c>
    </row>
    <row r="1030" spans="1:19" ht="50.1" customHeight="1">
      <c r="A1030" s="31"/>
      <c r="B1030" s="32" t="s">
        <v>4175</v>
      </c>
      <c r="C1030" s="31" t="s">
        <v>1003</v>
      </c>
      <c r="D1030" s="31" t="s">
        <v>1004</v>
      </c>
      <c r="E1030" s="31" t="s">
        <v>4176</v>
      </c>
      <c r="F1030" s="31" t="s">
        <v>31</v>
      </c>
      <c r="G1030" s="31">
        <v>122</v>
      </c>
      <c r="H1030" s="31">
        <v>10</v>
      </c>
      <c r="I1030" s="31">
        <v>24</v>
      </c>
      <c r="J1030" s="31" t="s">
        <v>4177</v>
      </c>
      <c r="K1030" s="31" t="s">
        <v>123</v>
      </c>
      <c r="L1030" s="31" t="s">
        <v>56</v>
      </c>
      <c r="M1030" s="31">
        <v>128</v>
      </c>
      <c r="N1030" s="31">
        <v>2017</v>
      </c>
      <c r="O1030" s="31">
        <v>60</v>
      </c>
      <c r="P1030" s="31"/>
      <c r="Q1030" s="31"/>
      <c r="R1030" s="33"/>
      <c r="S1030" s="34" t="str">
        <f>HYPERLINK("http://www.cnpol.ru/covers/17527.jpg","фото на сайте")</f>
        <v>фото на сайте</v>
      </c>
    </row>
    <row r="1031" spans="1:19" ht="50.1" customHeight="1">
      <c r="A1031" s="31" t="s">
        <v>43</v>
      </c>
      <c r="B1031" s="32" t="s">
        <v>4178</v>
      </c>
      <c r="C1031" s="31" t="s">
        <v>4065</v>
      </c>
      <c r="D1031" s="36" t="s">
        <v>4179</v>
      </c>
      <c r="E1031" s="31" t="s">
        <v>4180</v>
      </c>
      <c r="F1031" s="31" t="s">
        <v>31</v>
      </c>
      <c r="G1031" s="35">
        <v>1327</v>
      </c>
      <c r="H1031" s="31">
        <v>10</v>
      </c>
      <c r="I1031" s="31">
        <v>5</v>
      </c>
      <c r="J1031" s="31" t="s">
        <v>4181</v>
      </c>
      <c r="K1031" s="31" t="s">
        <v>33</v>
      </c>
      <c r="L1031" s="31" t="s">
        <v>34</v>
      </c>
      <c r="M1031" s="31">
        <v>574</v>
      </c>
      <c r="N1031" s="31">
        <v>2025</v>
      </c>
      <c r="O1031" s="31">
        <v>536</v>
      </c>
      <c r="P1031" s="31"/>
      <c r="Q1031" s="31"/>
      <c r="R1031" s="33" t="s">
        <v>4182</v>
      </c>
      <c r="S1031" s="34" t="str">
        <f>HYPERLINK("http://www.cnpol.ru/covers/21648.jpg","фото на сайте")</f>
        <v>фото на сайте</v>
      </c>
    </row>
    <row r="1032" spans="1:19" ht="50.1" customHeight="1">
      <c r="A1032" s="31" t="s">
        <v>43</v>
      </c>
      <c r="B1032" s="32" t="s">
        <v>4183</v>
      </c>
      <c r="C1032" s="31" t="s">
        <v>4065</v>
      </c>
      <c r="D1032" s="36" t="s">
        <v>4179</v>
      </c>
      <c r="E1032" s="31" t="s">
        <v>4184</v>
      </c>
      <c r="F1032" s="31" t="s">
        <v>31</v>
      </c>
      <c r="G1032" s="35">
        <v>1327</v>
      </c>
      <c r="H1032" s="31">
        <v>10</v>
      </c>
      <c r="I1032" s="31">
        <v>4</v>
      </c>
      <c r="J1032" s="31" t="s">
        <v>4185</v>
      </c>
      <c r="K1032" s="31" t="s">
        <v>33</v>
      </c>
      <c r="L1032" s="31" t="s">
        <v>34</v>
      </c>
      <c r="M1032" s="31">
        <v>571</v>
      </c>
      <c r="N1032" s="31">
        <v>2025</v>
      </c>
      <c r="O1032" s="31">
        <v>520</v>
      </c>
      <c r="P1032" s="31"/>
      <c r="Q1032" s="31"/>
      <c r="R1032" s="33" t="s">
        <v>4186</v>
      </c>
      <c r="S1032" s="34" t="str">
        <f>HYPERLINK("http://www.cnpol.ru/covers/21649.jpg","фото на сайте")</f>
        <v>фото на сайте</v>
      </c>
    </row>
    <row r="1033" spans="1:19" ht="50.1" customHeight="1">
      <c r="A1033" s="31"/>
      <c r="B1033" s="32" t="s">
        <v>4187</v>
      </c>
      <c r="C1033" s="31" t="s">
        <v>3939</v>
      </c>
      <c r="D1033" s="31" t="s">
        <v>236</v>
      </c>
      <c r="E1033" s="31" t="s">
        <v>4188</v>
      </c>
      <c r="F1033" s="31" t="s">
        <v>31</v>
      </c>
      <c r="G1033" s="31">
        <v>169</v>
      </c>
      <c r="H1033" s="31">
        <v>10</v>
      </c>
      <c r="I1033" s="31">
        <v>32</v>
      </c>
      <c r="J1033" s="31" t="s">
        <v>4189</v>
      </c>
      <c r="K1033" s="31" t="s">
        <v>130</v>
      </c>
      <c r="L1033" s="31" t="s">
        <v>56</v>
      </c>
      <c r="M1033" s="31">
        <v>223</v>
      </c>
      <c r="N1033" s="31">
        <v>2014</v>
      </c>
      <c r="O1033" s="31">
        <v>136</v>
      </c>
      <c r="P1033" s="31"/>
      <c r="Q1033" s="31"/>
      <c r="R1033" s="33"/>
      <c r="S1033" s="34" t="str">
        <f>HYPERLINK("http://www.cnpol.ru/covers/14964.jpg","фото на сайте")</f>
        <v>фото на сайте</v>
      </c>
    </row>
    <row r="1034" spans="1:19" ht="50.1" customHeight="1">
      <c r="A1034" s="31"/>
      <c r="B1034" s="32" t="s">
        <v>4190</v>
      </c>
      <c r="C1034" s="31" t="s">
        <v>1265</v>
      </c>
      <c r="D1034" s="31" t="s">
        <v>1266</v>
      </c>
      <c r="E1034" s="31" t="s">
        <v>4191</v>
      </c>
      <c r="F1034" s="31" t="s">
        <v>31</v>
      </c>
      <c r="G1034" s="31">
        <v>73</v>
      </c>
      <c r="H1034" s="31">
        <v>10</v>
      </c>
      <c r="I1034" s="31">
        <v>40</v>
      </c>
      <c r="J1034" s="31" t="s">
        <v>4192</v>
      </c>
      <c r="K1034" s="31" t="s">
        <v>123</v>
      </c>
      <c r="L1034" s="31" t="s">
        <v>56</v>
      </c>
      <c r="M1034" s="31">
        <v>128</v>
      </c>
      <c r="N1034" s="31">
        <v>2010</v>
      </c>
      <c r="O1034" s="31">
        <v>62</v>
      </c>
      <c r="P1034" s="31"/>
      <c r="Q1034" s="31"/>
      <c r="R1034" s="33"/>
      <c r="S1034" s="34" t="str">
        <f>HYPERLINK("http://www.cnpol.ru/covers/12045.jpg","фото на сайте")</f>
        <v>фото на сайте</v>
      </c>
    </row>
    <row r="1035" spans="1:19" ht="50.1" customHeight="1">
      <c r="A1035" s="31"/>
      <c r="B1035" s="32" t="s">
        <v>4193</v>
      </c>
      <c r="C1035" s="31" t="s">
        <v>1003</v>
      </c>
      <c r="D1035" s="31" t="s">
        <v>4194</v>
      </c>
      <c r="E1035" s="31" t="s">
        <v>4195</v>
      </c>
      <c r="F1035" s="31" t="s">
        <v>31</v>
      </c>
      <c r="G1035" s="31">
        <v>112</v>
      </c>
      <c r="H1035" s="31">
        <v>10</v>
      </c>
      <c r="I1035" s="31">
        <v>20</v>
      </c>
      <c r="J1035" s="31" t="s">
        <v>4196</v>
      </c>
      <c r="K1035" s="31" t="s">
        <v>123</v>
      </c>
      <c r="L1035" s="31" t="s">
        <v>56</v>
      </c>
      <c r="M1035" s="31">
        <v>128</v>
      </c>
      <c r="N1035" s="31">
        <v>2016</v>
      </c>
      <c r="O1035" s="31">
        <v>60</v>
      </c>
      <c r="P1035" s="31"/>
      <c r="Q1035" s="31"/>
      <c r="R1035" s="33"/>
      <c r="S1035" s="34" t="str">
        <f>HYPERLINK("http://www.cnpol.ru/covers/16876.jpg","фото на сайте")</f>
        <v>фото на сайте</v>
      </c>
    </row>
    <row r="1036" spans="1:19" ht="50.1" customHeight="1">
      <c r="A1036" s="31"/>
      <c r="B1036" s="32" t="s">
        <v>4197</v>
      </c>
      <c r="C1036" s="31" t="s">
        <v>479</v>
      </c>
      <c r="D1036" s="31" t="s">
        <v>2408</v>
      </c>
      <c r="E1036" s="31" t="s">
        <v>4198</v>
      </c>
      <c r="F1036" s="31" t="s">
        <v>31</v>
      </c>
      <c r="G1036" s="31">
        <v>611</v>
      </c>
      <c r="H1036" s="31">
        <v>10</v>
      </c>
      <c r="I1036" s="31">
        <v>10</v>
      </c>
      <c r="J1036" s="31" t="s">
        <v>4199</v>
      </c>
      <c r="K1036" s="31" t="s">
        <v>33</v>
      </c>
      <c r="L1036" s="31" t="s">
        <v>34</v>
      </c>
      <c r="M1036" s="31">
        <v>352</v>
      </c>
      <c r="N1036" s="31">
        <v>2017</v>
      </c>
      <c r="O1036" s="31">
        <v>294</v>
      </c>
      <c r="P1036" s="31"/>
      <c r="Q1036" s="31"/>
      <c r="R1036" s="33"/>
      <c r="S1036" s="34" t="str">
        <f>HYPERLINK("http://www.cnpol.ru/covers/17304.jpg","фото на сайте")</f>
        <v>фото на сайте</v>
      </c>
    </row>
    <row r="1037" spans="1:19" ht="50.1" customHeight="1">
      <c r="A1037" s="31"/>
      <c r="B1037" s="32" t="s">
        <v>4200</v>
      </c>
      <c r="C1037" s="31" t="s">
        <v>37</v>
      </c>
      <c r="D1037" s="31" t="s">
        <v>4201</v>
      </c>
      <c r="E1037" s="31" t="s">
        <v>4202</v>
      </c>
      <c r="F1037" s="31" t="s">
        <v>31</v>
      </c>
      <c r="G1037" s="31">
        <v>539</v>
      </c>
      <c r="H1037" s="31">
        <v>10</v>
      </c>
      <c r="I1037" s="31">
        <v>16</v>
      </c>
      <c r="J1037" s="31" t="s">
        <v>4203</v>
      </c>
      <c r="K1037" s="31" t="s">
        <v>158</v>
      </c>
      <c r="L1037" s="31" t="s">
        <v>34</v>
      </c>
      <c r="M1037" s="31">
        <v>224</v>
      </c>
      <c r="N1037" s="31">
        <v>2017</v>
      </c>
      <c r="O1037" s="31">
        <v>230</v>
      </c>
      <c r="P1037" s="31"/>
      <c r="Q1037" s="31"/>
      <c r="R1037" s="33"/>
      <c r="S1037" s="34" t="str">
        <f>HYPERLINK("http://www.cnpol.ru/covers/17313.jpg","фото на сайте")</f>
        <v>фото на сайте</v>
      </c>
    </row>
    <row r="1038" spans="1:19" ht="50.1" customHeight="1">
      <c r="A1038" s="31"/>
      <c r="B1038" s="32" t="s">
        <v>4204</v>
      </c>
      <c r="C1038" s="31" t="s">
        <v>4205</v>
      </c>
      <c r="D1038" s="31" t="s">
        <v>4206</v>
      </c>
      <c r="E1038" s="31" t="s">
        <v>4207</v>
      </c>
      <c r="F1038" s="31" t="s">
        <v>31</v>
      </c>
      <c r="G1038" s="31">
        <v>503</v>
      </c>
      <c r="H1038" s="31">
        <v>10</v>
      </c>
      <c r="I1038" s="31">
        <v>14</v>
      </c>
      <c r="J1038" s="31" t="s">
        <v>4208</v>
      </c>
      <c r="K1038" s="31" t="s">
        <v>33</v>
      </c>
      <c r="L1038" s="31" t="s">
        <v>34</v>
      </c>
      <c r="M1038" s="31">
        <v>255</v>
      </c>
      <c r="N1038" s="31">
        <v>2015</v>
      </c>
      <c r="O1038" s="31">
        <v>264</v>
      </c>
      <c r="P1038" s="31"/>
      <c r="Q1038" s="31"/>
      <c r="R1038" s="33"/>
      <c r="S1038" s="34" t="str">
        <f>HYPERLINK("http://www.cnpol.ru/covers/16024.jpg","фото на сайте")</f>
        <v>фото на сайте</v>
      </c>
    </row>
    <row r="1039" spans="1:19" ht="50.1" customHeight="1">
      <c r="A1039" s="31" t="s">
        <v>43</v>
      </c>
      <c r="B1039" s="32" t="s">
        <v>4209</v>
      </c>
      <c r="C1039" s="31" t="s">
        <v>171</v>
      </c>
      <c r="D1039" s="31" t="s">
        <v>172</v>
      </c>
      <c r="E1039" s="31" t="s">
        <v>4210</v>
      </c>
      <c r="F1039" s="31" t="s">
        <v>31</v>
      </c>
      <c r="G1039" s="35">
        <v>1772</v>
      </c>
      <c r="H1039" s="31">
        <v>10</v>
      </c>
      <c r="I1039" s="31">
        <v>5</v>
      </c>
      <c r="J1039" s="31" t="s">
        <v>4211</v>
      </c>
      <c r="K1039" s="31" t="s">
        <v>41</v>
      </c>
      <c r="L1039" s="31" t="s">
        <v>34</v>
      </c>
      <c r="M1039" s="31">
        <v>655</v>
      </c>
      <c r="N1039" s="31">
        <v>2024</v>
      </c>
      <c r="O1039" s="31">
        <v>775</v>
      </c>
      <c r="P1039" s="31"/>
      <c r="Q1039" s="31"/>
      <c r="R1039" s="33" t="s">
        <v>4212</v>
      </c>
      <c r="S1039" s="34" t="str">
        <f>HYPERLINK("http://www.cnpol.ru/covers/21156.jpg","фото на сайте")</f>
        <v>фото на сайте</v>
      </c>
    </row>
    <row r="1040" spans="1:19" ht="50.1" customHeight="1">
      <c r="A1040" s="31"/>
      <c r="B1040" s="32" t="s">
        <v>4213</v>
      </c>
      <c r="C1040" s="31" t="s">
        <v>1016</v>
      </c>
      <c r="D1040" s="31" t="s">
        <v>4214</v>
      </c>
      <c r="E1040" s="31" t="s">
        <v>4215</v>
      </c>
      <c r="F1040" s="31" t="s">
        <v>31</v>
      </c>
      <c r="G1040" s="31">
        <v>733</v>
      </c>
      <c r="H1040" s="31">
        <v>10</v>
      </c>
      <c r="I1040" s="31">
        <v>16</v>
      </c>
      <c r="J1040" s="31" t="s">
        <v>4216</v>
      </c>
      <c r="K1040" s="31" t="s">
        <v>33</v>
      </c>
      <c r="L1040" s="31" t="s">
        <v>34</v>
      </c>
      <c r="M1040" s="31">
        <v>233</v>
      </c>
      <c r="N1040" s="31">
        <v>2022</v>
      </c>
      <c r="O1040" s="31">
        <v>327</v>
      </c>
      <c r="P1040" s="31"/>
      <c r="Q1040" s="31"/>
      <c r="R1040" s="33"/>
      <c r="S1040" s="34" t="str">
        <f>HYPERLINK("http://www.cnpol.ru/covers/20239.jpg","фото на сайте")</f>
        <v>фото на сайте</v>
      </c>
    </row>
    <row r="1041" spans="1:19" ht="50.1" customHeight="1">
      <c r="A1041" s="31"/>
      <c r="B1041" s="32" t="s">
        <v>4217</v>
      </c>
      <c r="C1041" s="31" t="s">
        <v>4218</v>
      </c>
      <c r="D1041" s="31" t="s">
        <v>4219</v>
      </c>
      <c r="E1041" s="31" t="s">
        <v>4220</v>
      </c>
      <c r="F1041" s="31" t="s">
        <v>31</v>
      </c>
      <c r="G1041" s="31">
        <v>539</v>
      </c>
      <c r="H1041" s="31">
        <v>10</v>
      </c>
      <c r="I1041" s="31">
        <v>14</v>
      </c>
      <c r="J1041" s="31" t="s">
        <v>4221</v>
      </c>
      <c r="K1041" s="31" t="s">
        <v>33</v>
      </c>
      <c r="L1041" s="31" t="s">
        <v>34</v>
      </c>
      <c r="M1041" s="31">
        <v>411</v>
      </c>
      <c r="N1041" s="31">
        <v>2008</v>
      </c>
      <c r="O1041" s="31">
        <v>416</v>
      </c>
      <c r="P1041" s="31"/>
      <c r="Q1041" s="31"/>
      <c r="R1041" s="33"/>
      <c r="S1041" s="34" t="str">
        <f>HYPERLINK("http://www.cnpol.ru/covers/10025.jpg","фото на сайте")</f>
        <v>фото на сайте</v>
      </c>
    </row>
    <row r="1042" spans="1:19" ht="50.1" customHeight="1">
      <c r="A1042" s="31"/>
      <c r="B1042" s="32" t="s">
        <v>4222</v>
      </c>
      <c r="C1042" s="31" t="s">
        <v>380</v>
      </c>
      <c r="D1042" s="31" t="s">
        <v>4223</v>
      </c>
      <c r="E1042" s="31" t="s">
        <v>4224</v>
      </c>
      <c r="F1042" s="31" t="s">
        <v>31</v>
      </c>
      <c r="G1042" s="31">
        <v>988</v>
      </c>
      <c r="H1042" s="31">
        <v>10</v>
      </c>
      <c r="I1042" s="31">
        <v>10</v>
      </c>
      <c r="J1042" s="31" t="s">
        <v>4225</v>
      </c>
      <c r="K1042" s="31" t="s">
        <v>41</v>
      </c>
      <c r="L1042" s="31" t="s">
        <v>304</v>
      </c>
      <c r="M1042" s="31">
        <v>416</v>
      </c>
      <c r="N1042" s="31">
        <v>2015</v>
      </c>
      <c r="O1042" s="31">
        <v>522</v>
      </c>
      <c r="P1042" s="31"/>
      <c r="Q1042" s="31"/>
      <c r="R1042" s="33"/>
      <c r="S1042" s="34" t="str">
        <f>HYPERLINK("http://www.cnpol.ru/covers/15852.jpg","фото на сайте")</f>
        <v>фото на сайте</v>
      </c>
    </row>
    <row r="1043" spans="1:19" ht="50.1" customHeight="1">
      <c r="A1043" s="31"/>
      <c r="B1043" s="32" t="s">
        <v>4226</v>
      </c>
      <c r="C1043" s="31" t="s">
        <v>390</v>
      </c>
      <c r="D1043" s="31" t="s">
        <v>547</v>
      </c>
      <c r="E1043" s="31" t="s">
        <v>4227</v>
      </c>
      <c r="F1043" s="31">
        <v>757</v>
      </c>
      <c r="G1043" s="31">
        <v>86</v>
      </c>
      <c r="H1043" s="31">
        <v>10</v>
      </c>
      <c r="I1043" s="31">
        <v>30</v>
      </c>
      <c r="J1043" s="31" t="s">
        <v>4228</v>
      </c>
      <c r="K1043" s="31" t="s">
        <v>123</v>
      </c>
      <c r="L1043" s="31" t="s">
        <v>56</v>
      </c>
      <c r="M1043" s="31">
        <v>160</v>
      </c>
      <c r="N1043" s="31">
        <v>2017</v>
      </c>
      <c r="O1043" s="31">
        <v>76</v>
      </c>
      <c r="P1043" s="31"/>
      <c r="Q1043" s="31"/>
      <c r="R1043" s="33"/>
      <c r="S1043" s="34" t="str">
        <f>HYPERLINK("http://www.cnpol.ru/covers/17725.jpg","фото на сайте")</f>
        <v>фото на сайте</v>
      </c>
    </row>
    <row r="1044" spans="1:19" ht="50.1" customHeight="1">
      <c r="A1044" s="31" t="s">
        <v>43</v>
      </c>
      <c r="B1044" s="32" t="s">
        <v>4229</v>
      </c>
      <c r="C1044" s="31" t="s">
        <v>4230</v>
      </c>
      <c r="D1044" s="31" t="s">
        <v>872</v>
      </c>
      <c r="E1044" s="31" t="s">
        <v>4231</v>
      </c>
      <c r="F1044" s="31" t="s">
        <v>31</v>
      </c>
      <c r="G1044" s="31">
        <v>917</v>
      </c>
      <c r="H1044" s="31">
        <v>10</v>
      </c>
      <c r="I1044" s="31">
        <v>12</v>
      </c>
      <c r="J1044" s="31" t="s">
        <v>4232</v>
      </c>
      <c r="K1044" s="31" t="s">
        <v>33</v>
      </c>
      <c r="L1044" s="31" t="s">
        <v>34</v>
      </c>
      <c r="M1044" s="31">
        <v>319</v>
      </c>
      <c r="N1044" s="31">
        <v>2025</v>
      </c>
      <c r="O1044" s="31">
        <v>358</v>
      </c>
      <c r="P1044" s="31"/>
      <c r="Q1044" s="31"/>
      <c r="R1044" s="33" t="s">
        <v>4233</v>
      </c>
      <c r="S1044" s="34" t="str">
        <f>HYPERLINK("http://www.cnpol.ru/covers/21788.jpg","фото на сайте")</f>
        <v>фото на сайте</v>
      </c>
    </row>
    <row r="1045" spans="1:19" ht="50.1" customHeight="1">
      <c r="A1045" s="31"/>
      <c r="B1045" s="32" t="s">
        <v>4234</v>
      </c>
      <c r="C1045" s="31" t="s">
        <v>1685</v>
      </c>
      <c r="D1045" s="31" t="s">
        <v>1686</v>
      </c>
      <c r="E1045" s="31" t="s">
        <v>4235</v>
      </c>
      <c r="F1045" s="31" t="s">
        <v>31</v>
      </c>
      <c r="G1045" s="31">
        <v>209</v>
      </c>
      <c r="H1045" s="31">
        <v>10</v>
      </c>
      <c r="I1045" s="31">
        <v>20</v>
      </c>
      <c r="J1045" s="31" t="s">
        <v>4236</v>
      </c>
      <c r="K1045" s="31" t="s">
        <v>123</v>
      </c>
      <c r="L1045" s="31" t="s">
        <v>56</v>
      </c>
      <c r="M1045" s="31">
        <v>320</v>
      </c>
      <c r="N1045" s="31">
        <v>2016</v>
      </c>
      <c r="O1045" s="31">
        <v>146</v>
      </c>
      <c r="P1045" s="31"/>
      <c r="Q1045" s="31"/>
      <c r="R1045" s="33"/>
      <c r="S1045" s="34" t="str">
        <f>HYPERLINK("http://www.cnpol.ru/covers/17212.jpg","фото на сайте")</f>
        <v>фото на сайте</v>
      </c>
    </row>
    <row r="1046" spans="1:19" ht="50.1" customHeight="1">
      <c r="A1046" s="31"/>
      <c r="B1046" s="32" t="s">
        <v>4237</v>
      </c>
      <c r="C1046" s="31" t="s">
        <v>520</v>
      </c>
      <c r="D1046" s="31" t="s">
        <v>4134</v>
      </c>
      <c r="E1046" s="31" t="s">
        <v>4238</v>
      </c>
      <c r="F1046" s="31">
        <v>16</v>
      </c>
      <c r="G1046" s="31">
        <v>117</v>
      </c>
      <c r="H1046" s="31">
        <v>10</v>
      </c>
      <c r="I1046" s="31">
        <v>30</v>
      </c>
      <c r="J1046" s="31" t="s">
        <v>4239</v>
      </c>
      <c r="K1046" s="31" t="s">
        <v>123</v>
      </c>
      <c r="L1046" s="31" t="s">
        <v>56</v>
      </c>
      <c r="M1046" s="31">
        <v>192</v>
      </c>
      <c r="N1046" s="31">
        <v>2016</v>
      </c>
      <c r="O1046" s="31">
        <v>90</v>
      </c>
      <c r="P1046" s="31"/>
      <c r="Q1046" s="31"/>
      <c r="R1046" s="33"/>
      <c r="S1046" s="34" t="str">
        <f>HYPERLINK("http://www.cnpol.ru/covers/16423.jpg","фото на сайте")</f>
        <v>фото на сайте</v>
      </c>
    </row>
    <row r="1047" spans="1:19" ht="50.1" customHeight="1">
      <c r="A1047" s="31"/>
      <c r="B1047" s="32" t="s">
        <v>4240</v>
      </c>
      <c r="C1047" s="31" t="s">
        <v>400</v>
      </c>
      <c r="D1047" s="31" t="s">
        <v>1962</v>
      </c>
      <c r="E1047" s="31" t="s">
        <v>4241</v>
      </c>
      <c r="F1047" s="31" t="s">
        <v>31</v>
      </c>
      <c r="G1047" s="31">
        <v>503</v>
      </c>
      <c r="H1047" s="31">
        <v>10</v>
      </c>
      <c r="I1047" s="31">
        <v>10</v>
      </c>
      <c r="J1047" s="31" t="s">
        <v>4242</v>
      </c>
      <c r="K1047" s="31" t="s">
        <v>33</v>
      </c>
      <c r="L1047" s="31" t="s">
        <v>34</v>
      </c>
      <c r="M1047" s="31">
        <v>416</v>
      </c>
      <c r="N1047" s="31">
        <v>2018</v>
      </c>
      <c r="O1047" s="31">
        <v>334</v>
      </c>
      <c r="P1047" s="31"/>
      <c r="Q1047" s="31"/>
      <c r="R1047" s="33"/>
      <c r="S1047" s="34" t="str">
        <f>HYPERLINK("http://www.cnpol.ru/covers/18291.jpg","фото на сайте")</f>
        <v>фото на сайте</v>
      </c>
    </row>
    <row r="1048" spans="1:19" ht="50.1" customHeight="1">
      <c r="A1048" s="31"/>
      <c r="B1048" s="32" t="s">
        <v>4243</v>
      </c>
      <c r="C1048" s="31" t="s">
        <v>953</v>
      </c>
      <c r="D1048" s="31" t="s">
        <v>4244</v>
      </c>
      <c r="E1048" s="31" t="s">
        <v>4245</v>
      </c>
      <c r="F1048" s="31" t="s">
        <v>31</v>
      </c>
      <c r="G1048" s="31">
        <v>154</v>
      </c>
      <c r="H1048" s="31">
        <v>10</v>
      </c>
      <c r="I1048" s="31">
        <v>24</v>
      </c>
      <c r="J1048" s="31" t="s">
        <v>4246</v>
      </c>
      <c r="K1048" s="31" t="s">
        <v>55</v>
      </c>
      <c r="L1048" s="31" t="s">
        <v>56</v>
      </c>
      <c r="M1048" s="31">
        <v>382</v>
      </c>
      <c r="N1048" s="31">
        <v>2008</v>
      </c>
      <c r="O1048" s="31">
        <v>158</v>
      </c>
      <c r="P1048" s="31"/>
      <c r="Q1048" s="31"/>
      <c r="R1048" s="33"/>
      <c r="S1048" s="34" t="str">
        <f>HYPERLINK("http://www.cnpol.ru/covers/8746.jpg","фото на сайте")</f>
        <v>фото на сайте</v>
      </c>
    </row>
    <row r="1049" spans="1:19" ht="50.1" customHeight="1">
      <c r="A1049" s="31"/>
      <c r="B1049" s="32" t="s">
        <v>4247</v>
      </c>
      <c r="C1049" s="31" t="s">
        <v>4248</v>
      </c>
      <c r="D1049" s="31" t="s">
        <v>4249</v>
      </c>
      <c r="E1049" s="31" t="s">
        <v>4250</v>
      </c>
      <c r="F1049" s="31" t="s">
        <v>31</v>
      </c>
      <c r="G1049" s="31">
        <v>461</v>
      </c>
      <c r="H1049" s="31">
        <v>10</v>
      </c>
      <c r="I1049" s="31">
        <v>12</v>
      </c>
      <c r="J1049" s="31" t="s">
        <v>4251</v>
      </c>
      <c r="K1049" s="31" t="s">
        <v>33</v>
      </c>
      <c r="L1049" s="31" t="s">
        <v>34</v>
      </c>
      <c r="M1049" s="31">
        <v>318</v>
      </c>
      <c r="N1049" s="31">
        <v>2010</v>
      </c>
      <c r="O1049" s="31">
        <v>328</v>
      </c>
      <c r="P1049" s="31"/>
      <c r="Q1049" s="31"/>
      <c r="R1049" s="33"/>
      <c r="S1049" s="34" t="str">
        <f>HYPERLINK("http://www.cnpol.ru/covers/12129.jpg","фото на сайте")</f>
        <v>фото на сайте</v>
      </c>
    </row>
    <row r="1050" spans="1:19" ht="50.1" customHeight="1">
      <c r="A1050" s="31"/>
      <c r="B1050" s="32" t="s">
        <v>4252</v>
      </c>
      <c r="C1050" s="31" t="s">
        <v>4085</v>
      </c>
      <c r="D1050" s="31" t="s">
        <v>3712</v>
      </c>
      <c r="E1050" s="31" t="s">
        <v>4253</v>
      </c>
      <c r="F1050" s="31" t="s">
        <v>31</v>
      </c>
      <c r="G1050" s="31">
        <v>243</v>
      </c>
      <c r="H1050" s="31">
        <v>10</v>
      </c>
      <c r="I1050" s="31">
        <v>12</v>
      </c>
      <c r="J1050" s="31" t="s">
        <v>4254</v>
      </c>
      <c r="K1050" s="31" t="s">
        <v>300</v>
      </c>
      <c r="L1050" s="31" t="s">
        <v>56</v>
      </c>
      <c r="M1050" s="31">
        <v>416</v>
      </c>
      <c r="N1050" s="31">
        <v>2013</v>
      </c>
      <c r="O1050" s="31">
        <v>210</v>
      </c>
      <c r="P1050" s="31"/>
      <c r="Q1050" s="31"/>
      <c r="R1050" s="33"/>
      <c r="S1050" s="34" t="str">
        <f>HYPERLINK("http://www.cnpol.ru/covers/14580.jpg","фото на сайте")</f>
        <v>фото на сайте</v>
      </c>
    </row>
    <row r="1051" spans="1:19" ht="50.1" customHeight="1">
      <c r="A1051" s="31"/>
      <c r="B1051" s="32" t="s">
        <v>4255</v>
      </c>
      <c r="C1051" s="31" t="s">
        <v>779</v>
      </c>
      <c r="D1051" s="31" t="s">
        <v>4256</v>
      </c>
      <c r="E1051" s="31" t="s">
        <v>4257</v>
      </c>
      <c r="F1051" s="31" t="s">
        <v>31</v>
      </c>
      <c r="G1051" s="31">
        <v>917</v>
      </c>
      <c r="H1051" s="31">
        <v>10</v>
      </c>
      <c r="I1051" s="31">
        <v>14</v>
      </c>
      <c r="J1051" s="31" t="s">
        <v>4258</v>
      </c>
      <c r="K1051" s="31" t="s">
        <v>33</v>
      </c>
      <c r="L1051" s="31" t="s">
        <v>34</v>
      </c>
      <c r="M1051" s="31">
        <v>280</v>
      </c>
      <c r="N1051" s="31">
        <v>2022</v>
      </c>
      <c r="O1051" s="31">
        <v>182</v>
      </c>
      <c r="P1051" s="31"/>
      <c r="Q1051" s="31"/>
      <c r="R1051" s="33"/>
      <c r="S1051" s="34" t="str">
        <f>HYPERLINK("http://www.cnpol.ru/covers/20096.jpg","фото на сайте")</f>
        <v>фото на сайте</v>
      </c>
    </row>
    <row r="1052" spans="1:19" ht="50.1" customHeight="1">
      <c r="A1052" s="31"/>
      <c r="B1052" s="32" t="s">
        <v>4259</v>
      </c>
      <c r="C1052" s="31" t="s">
        <v>520</v>
      </c>
      <c r="D1052" s="31" t="s">
        <v>559</v>
      </c>
      <c r="E1052" s="31" t="s">
        <v>4260</v>
      </c>
      <c r="F1052" s="31">
        <v>57</v>
      </c>
      <c r="G1052" s="31">
        <v>117</v>
      </c>
      <c r="H1052" s="31">
        <v>10</v>
      </c>
      <c r="I1052" s="31">
        <v>30</v>
      </c>
      <c r="J1052" s="31" t="s">
        <v>4261</v>
      </c>
      <c r="K1052" s="31" t="s">
        <v>123</v>
      </c>
      <c r="L1052" s="31" t="s">
        <v>56</v>
      </c>
      <c r="M1052" s="31">
        <v>192</v>
      </c>
      <c r="N1052" s="31">
        <v>2018</v>
      </c>
      <c r="O1052" s="31">
        <v>90</v>
      </c>
      <c r="P1052" s="31"/>
      <c r="Q1052" s="31"/>
      <c r="R1052" s="33"/>
      <c r="S1052" s="34" t="str">
        <f>HYPERLINK("http://www.cnpol.ru/covers/18197.jpg","фото на сайте")</f>
        <v>фото на сайте</v>
      </c>
    </row>
    <row r="1053" spans="1:19" ht="50.1" customHeight="1">
      <c r="A1053" s="31"/>
      <c r="B1053" s="32" t="s">
        <v>4262</v>
      </c>
      <c r="C1053" s="31" t="s">
        <v>400</v>
      </c>
      <c r="D1053" s="31" t="s">
        <v>4263</v>
      </c>
      <c r="E1053" s="31" t="s">
        <v>4264</v>
      </c>
      <c r="F1053" s="31" t="s">
        <v>31</v>
      </c>
      <c r="G1053" s="31">
        <v>503</v>
      </c>
      <c r="H1053" s="31">
        <v>10</v>
      </c>
      <c r="I1053" s="31">
        <v>14</v>
      </c>
      <c r="J1053" s="31" t="s">
        <v>4265</v>
      </c>
      <c r="K1053" s="31" t="s">
        <v>33</v>
      </c>
      <c r="L1053" s="31" t="s">
        <v>34</v>
      </c>
      <c r="M1053" s="31">
        <v>320</v>
      </c>
      <c r="N1053" s="31">
        <v>2019</v>
      </c>
      <c r="O1053" s="31">
        <v>276</v>
      </c>
      <c r="P1053" s="31"/>
      <c r="Q1053" s="31"/>
      <c r="R1053" s="33"/>
      <c r="S1053" s="34" t="str">
        <f>HYPERLINK("http://www.cnpol.ru/covers/18878.jpg","фото на сайте")</f>
        <v>фото на сайте</v>
      </c>
    </row>
    <row r="1054" spans="1:19" ht="50.1" customHeight="1">
      <c r="A1054" s="31"/>
      <c r="B1054" s="32" t="s">
        <v>4266</v>
      </c>
      <c r="C1054" s="31" t="s">
        <v>4267</v>
      </c>
      <c r="D1054" s="31" t="s">
        <v>3780</v>
      </c>
      <c r="E1054" s="31" t="s">
        <v>4268</v>
      </c>
      <c r="F1054" s="31">
        <v>2</v>
      </c>
      <c r="G1054" s="31">
        <v>461</v>
      </c>
      <c r="H1054" s="31">
        <v>10</v>
      </c>
      <c r="I1054" s="31">
        <v>14</v>
      </c>
      <c r="J1054" s="31" t="s">
        <v>4269</v>
      </c>
      <c r="K1054" s="31" t="s">
        <v>1938</v>
      </c>
      <c r="L1054" s="31" t="s">
        <v>34</v>
      </c>
      <c r="M1054" s="31">
        <v>318</v>
      </c>
      <c r="N1054" s="31">
        <v>2011</v>
      </c>
      <c r="O1054" s="31">
        <v>356</v>
      </c>
      <c r="P1054" s="31"/>
      <c r="Q1054" s="31"/>
      <c r="R1054" s="33"/>
      <c r="S1054" s="34" t="str">
        <f>HYPERLINK("http://www.cnpol.ru/covers/12540.jpg","фото на сайте")</f>
        <v>фото на сайте</v>
      </c>
    </row>
    <row r="1055" spans="1:19" ht="50.1" customHeight="1">
      <c r="A1055" s="31"/>
      <c r="B1055" s="32" t="s">
        <v>4270</v>
      </c>
      <c r="C1055" s="31" t="s">
        <v>3229</v>
      </c>
      <c r="D1055" s="31" t="s">
        <v>4271</v>
      </c>
      <c r="E1055" s="31" t="s">
        <v>4272</v>
      </c>
      <c r="F1055" s="31" t="s">
        <v>31</v>
      </c>
      <c r="G1055" s="31">
        <v>693</v>
      </c>
      <c r="H1055" s="31">
        <v>10</v>
      </c>
      <c r="I1055" s="31">
        <v>16</v>
      </c>
      <c r="J1055" s="31" t="s">
        <v>4273</v>
      </c>
      <c r="K1055" s="31" t="s">
        <v>33</v>
      </c>
      <c r="L1055" s="31" t="s">
        <v>34</v>
      </c>
      <c r="M1055" s="31">
        <v>384</v>
      </c>
      <c r="N1055" s="31">
        <v>2018</v>
      </c>
      <c r="O1055" s="31">
        <v>390</v>
      </c>
      <c r="P1055" s="31"/>
      <c r="Q1055" s="31"/>
      <c r="R1055" s="33"/>
      <c r="S1055" s="34" t="str">
        <f>HYPERLINK("http://www.cnpol.ru/covers/18223.jpg","фото на сайте")</f>
        <v>фото на сайте</v>
      </c>
    </row>
    <row r="1056" spans="1:19" ht="50.1" customHeight="1">
      <c r="A1056" s="31"/>
      <c r="B1056" s="32" t="s">
        <v>4274</v>
      </c>
      <c r="C1056" s="31" t="s">
        <v>413</v>
      </c>
      <c r="D1056" s="31" t="s">
        <v>761</v>
      </c>
      <c r="E1056" s="31" t="s">
        <v>4275</v>
      </c>
      <c r="F1056" s="31">
        <v>36</v>
      </c>
      <c r="G1056" s="31">
        <v>117</v>
      </c>
      <c r="H1056" s="31">
        <v>10</v>
      </c>
      <c r="I1056" s="31">
        <v>36</v>
      </c>
      <c r="J1056" s="31" t="s">
        <v>4276</v>
      </c>
      <c r="K1056" s="31" t="s">
        <v>123</v>
      </c>
      <c r="L1056" s="31" t="s">
        <v>56</v>
      </c>
      <c r="M1056" s="31">
        <v>190</v>
      </c>
      <c r="N1056" s="31">
        <v>2014</v>
      </c>
      <c r="O1056" s="31">
        <v>90</v>
      </c>
      <c r="P1056" s="31"/>
      <c r="Q1056" s="31"/>
      <c r="R1056" s="33"/>
      <c r="S1056" s="34" t="str">
        <f>HYPERLINK("http://www.cnpol.ru/covers/15682.jpg","фото на сайте")</f>
        <v>фото на сайте</v>
      </c>
    </row>
    <row r="1057" spans="1:19" ht="50.1" customHeight="1">
      <c r="A1057" s="31"/>
      <c r="B1057" s="32" t="s">
        <v>4277</v>
      </c>
      <c r="C1057" s="31" t="s">
        <v>413</v>
      </c>
      <c r="D1057" s="31" t="s">
        <v>4278</v>
      </c>
      <c r="E1057" s="31" t="s">
        <v>4279</v>
      </c>
      <c r="F1057" s="31">
        <v>109</v>
      </c>
      <c r="G1057" s="31">
        <v>117</v>
      </c>
      <c r="H1057" s="31">
        <v>10</v>
      </c>
      <c r="I1057" s="31">
        <v>36</v>
      </c>
      <c r="J1057" s="31" t="s">
        <v>4280</v>
      </c>
      <c r="K1057" s="31" t="s">
        <v>123</v>
      </c>
      <c r="L1057" s="31" t="s">
        <v>56</v>
      </c>
      <c r="M1057" s="31">
        <v>192</v>
      </c>
      <c r="N1057" s="31">
        <v>2016</v>
      </c>
      <c r="O1057" s="31">
        <v>90</v>
      </c>
      <c r="P1057" s="31"/>
      <c r="Q1057" s="31"/>
      <c r="R1057" s="33"/>
      <c r="S1057" s="34" t="str">
        <f>HYPERLINK("http://www.cnpol.ru/covers/16813.jpg","фото на сайте")</f>
        <v>фото на сайте</v>
      </c>
    </row>
    <row r="1058" spans="1:19" ht="50.1" customHeight="1">
      <c r="A1058" s="31" t="s">
        <v>43</v>
      </c>
      <c r="B1058" s="32" t="s">
        <v>4281</v>
      </c>
      <c r="C1058" s="31" t="s">
        <v>37</v>
      </c>
      <c r="D1058" s="31" t="s">
        <v>4282</v>
      </c>
      <c r="E1058" s="31" t="s">
        <v>4283</v>
      </c>
      <c r="F1058" s="31" t="s">
        <v>31</v>
      </c>
      <c r="G1058" s="31">
        <v>917</v>
      </c>
      <c r="H1058" s="31">
        <v>10</v>
      </c>
      <c r="I1058" s="31">
        <v>12</v>
      </c>
      <c r="J1058" s="31" t="s">
        <v>4284</v>
      </c>
      <c r="K1058" s="31" t="s">
        <v>33</v>
      </c>
      <c r="L1058" s="31" t="s">
        <v>34</v>
      </c>
      <c r="M1058" s="31">
        <v>317</v>
      </c>
      <c r="N1058" s="31">
        <v>2025</v>
      </c>
      <c r="O1058" s="31">
        <v>362</v>
      </c>
      <c r="P1058" s="31"/>
      <c r="Q1058" s="31"/>
      <c r="R1058" s="33" t="s">
        <v>4285</v>
      </c>
      <c r="S1058" s="34" t="str">
        <f>HYPERLINK("http://www.cnpol.ru/covers/21494.jpg","фото на сайте")</f>
        <v>фото на сайте</v>
      </c>
    </row>
    <row r="1059" spans="1:19" ht="50.1" customHeight="1">
      <c r="A1059" s="31"/>
      <c r="B1059" s="32" t="s">
        <v>4286</v>
      </c>
      <c r="C1059" s="31" t="s">
        <v>546</v>
      </c>
      <c r="D1059" s="31" t="s">
        <v>1698</v>
      </c>
      <c r="E1059" s="31" t="s">
        <v>4287</v>
      </c>
      <c r="F1059" s="31">
        <v>195</v>
      </c>
      <c r="G1059" s="31">
        <v>93</v>
      </c>
      <c r="H1059" s="31">
        <v>10</v>
      </c>
      <c r="I1059" s="31">
        <v>30</v>
      </c>
      <c r="J1059" s="31" t="s">
        <v>4288</v>
      </c>
      <c r="K1059" s="31" t="s">
        <v>123</v>
      </c>
      <c r="L1059" s="31" t="s">
        <v>56</v>
      </c>
      <c r="M1059" s="31">
        <v>160</v>
      </c>
      <c r="N1059" s="31">
        <v>2016</v>
      </c>
      <c r="O1059" s="31">
        <v>76</v>
      </c>
      <c r="P1059" s="31"/>
      <c r="Q1059" s="31"/>
      <c r="R1059" s="33"/>
      <c r="S1059" s="34" t="str">
        <f>HYPERLINK("http://www.cnpol.ru/covers/17119.jpg","фото на сайте")</f>
        <v>фото на сайте</v>
      </c>
    </row>
    <row r="1060" spans="1:19" ht="50.1" customHeight="1">
      <c r="A1060" s="31" t="s">
        <v>43</v>
      </c>
      <c r="B1060" s="32" t="s">
        <v>4289</v>
      </c>
      <c r="C1060" s="31" t="s">
        <v>119</v>
      </c>
      <c r="D1060" s="31" t="s">
        <v>191</v>
      </c>
      <c r="E1060" s="31" t="s">
        <v>4290</v>
      </c>
      <c r="F1060" s="31" t="s">
        <v>31</v>
      </c>
      <c r="G1060" s="31">
        <v>637</v>
      </c>
      <c r="H1060" s="31">
        <v>10</v>
      </c>
      <c r="I1060" s="31">
        <v>16</v>
      </c>
      <c r="J1060" s="31" t="s">
        <v>4291</v>
      </c>
      <c r="K1060" s="31" t="s">
        <v>194</v>
      </c>
      <c r="L1060" s="31" t="s">
        <v>34</v>
      </c>
      <c r="M1060" s="31">
        <v>287</v>
      </c>
      <c r="N1060" s="31">
        <v>2024</v>
      </c>
      <c r="O1060" s="31">
        <v>269</v>
      </c>
      <c r="P1060" s="31"/>
      <c r="Q1060" s="31"/>
      <c r="R1060" s="33" t="s">
        <v>4292</v>
      </c>
      <c r="S1060" s="34" t="str">
        <f>HYPERLINK("http://www.cnpol.ru/covers/21090.jpg","фото на сайте")</f>
        <v>фото на сайте</v>
      </c>
    </row>
    <row r="1061" spans="1:19" ht="50.1" customHeight="1">
      <c r="A1061" s="31"/>
      <c r="B1061" s="32" t="s">
        <v>4293</v>
      </c>
      <c r="C1061" s="31" t="s">
        <v>576</v>
      </c>
      <c r="D1061" s="31" t="s">
        <v>577</v>
      </c>
      <c r="E1061" s="31" t="s">
        <v>4294</v>
      </c>
      <c r="F1061" s="31" t="s">
        <v>31</v>
      </c>
      <c r="G1061" s="31">
        <v>226</v>
      </c>
      <c r="H1061" s="31">
        <v>10</v>
      </c>
      <c r="I1061" s="31">
        <v>10</v>
      </c>
      <c r="J1061" s="31" t="s">
        <v>4295</v>
      </c>
      <c r="K1061" s="31" t="s">
        <v>123</v>
      </c>
      <c r="L1061" s="31" t="s">
        <v>56</v>
      </c>
      <c r="M1061" s="31">
        <v>288</v>
      </c>
      <c r="N1061" s="31">
        <v>2022</v>
      </c>
      <c r="O1061" s="31">
        <v>134</v>
      </c>
      <c r="P1061" s="31"/>
      <c r="Q1061" s="31"/>
      <c r="R1061" s="33" t="s">
        <v>4296</v>
      </c>
      <c r="S1061" s="34" t="str">
        <f>HYPERLINK("http://www.cnpol.ru/covers/20470.jpg","фото на сайте")</f>
        <v>фото на сайте</v>
      </c>
    </row>
    <row r="1062" spans="1:19" ht="50.1" customHeight="1">
      <c r="A1062" s="31"/>
      <c r="B1062" s="32" t="s">
        <v>4297</v>
      </c>
      <c r="C1062" s="31" t="s">
        <v>37</v>
      </c>
      <c r="D1062" s="31" t="s">
        <v>761</v>
      </c>
      <c r="E1062" s="31" t="s">
        <v>4298</v>
      </c>
      <c r="F1062" s="31" t="s">
        <v>31</v>
      </c>
      <c r="G1062" s="31">
        <v>575</v>
      </c>
      <c r="H1062" s="31">
        <v>10</v>
      </c>
      <c r="I1062" s="31">
        <v>8</v>
      </c>
      <c r="J1062" s="31" t="s">
        <v>4299</v>
      </c>
      <c r="K1062" s="31" t="s">
        <v>33</v>
      </c>
      <c r="L1062" s="31" t="s">
        <v>34</v>
      </c>
      <c r="M1062" s="31">
        <v>384</v>
      </c>
      <c r="N1062" s="31">
        <v>2017</v>
      </c>
      <c r="O1062" s="31">
        <v>332</v>
      </c>
      <c r="P1062" s="31"/>
      <c r="Q1062" s="31"/>
      <c r="R1062" s="33"/>
      <c r="S1062" s="34" t="str">
        <f>HYPERLINK("http://www.cnpol.ru/covers/17743.jpg","фото на сайте")</f>
        <v>фото на сайте</v>
      </c>
    </row>
    <row r="1063" spans="1:19" ht="50.1" customHeight="1">
      <c r="A1063" s="31"/>
      <c r="B1063" s="32" t="s">
        <v>4300</v>
      </c>
      <c r="C1063" s="31" t="s">
        <v>4301</v>
      </c>
      <c r="D1063" s="31" t="s">
        <v>4302</v>
      </c>
      <c r="E1063" s="31" t="s">
        <v>4303</v>
      </c>
      <c r="F1063" s="31" t="s">
        <v>31</v>
      </c>
      <c r="G1063" s="31">
        <v>807</v>
      </c>
      <c r="H1063" s="31">
        <v>10</v>
      </c>
      <c r="I1063" s="31">
        <v>14</v>
      </c>
      <c r="J1063" s="31" t="s">
        <v>4304</v>
      </c>
      <c r="K1063" s="31" t="s">
        <v>33</v>
      </c>
      <c r="L1063" s="31" t="s">
        <v>34</v>
      </c>
      <c r="M1063" s="31">
        <v>256</v>
      </c>
      <c r="N1063" s="31">
        <v>2023</v>
      </c>
      <c r="O1063" s="31">
        <v>314</v>
      </c>
      <c r="P1063" s="31"/>
      <c r="Q1063" s="31"/>
      <c r="R1063" s="33" t="s">
        <v>4305</v>
      </c>
      <c r="S1063" s="34" t="str">
        <f>HYPERLINK("http://www.cnpol.ru/covers/20797.jpg","фото на сайте")</f>
        <v>фото на сайте</v>
      </c>
    </row>
    <row r="1064" spans="1:19" ht="50.1" customHeight="1">
      <c r="A1064" s="31" t="s">
        <v>35</v>
      </c>
      <c r="B1064" s="32" t="s">
        <v>4306</v>
      </c>
      <c r="C1064" s="31" t="s">
        <v>37</v>
      </c>
      <c r="D1064" s="31" t="s">
        <v>4307</v>
      </c>
      <c r="E1064" s="31" t="s">
        <v>4308</v>
      </c>
      <c r="F1064" s="31" t="s">
        <v>31</v>
      </c>
      <c r="G1064" s="35">
        <v>1235</v>
      </c>
      <c r="H1064" s="31">
        <v>10</v>
      </c>
      <c r="I1064" s="31">
        <v>5</v>
      </c>
      <c r="J1064" s="31" t="s">
        <v>4309</v>
      </c>
      <c r="K1064" s="31" t="s">
        <v>33</v>
      </c>
      <c r="L1064" s="31" t="s">
        <v>34</v>
      </c>
      <c r="M1064" s="31">
        <v>511</v>
      </c>
      <c r="N1064" s="31">
        <v>2025</v>
      </c>
      <c r="O1064" s="31">
        <v>380</v>
      </c>
      <c r="P1064" s="31"/>
      <c r="Q1064" s="31"/>
      <c r="R1064" s="33" t="s">
        <v>4310</v>
      </c>
      <c r="S1064" s="34" t="str">
        <f>HYPERLINK("http://www.cnpol.ru/covers/21476.jpg","фото на сайте")</f>
        <v>фото на сайте</v>
      </c>
    </row>
    <row r="1065" spans="1:19" ht="50.1" customHeight="1">
      <c r="A1065" s="31"/>
      <c r="B1065" s="32" t="s">
        <v>4311</v>
      </c>
      <c r="C1065" s="31" t="s">
        <v>1390</v>
      </c>
      <c r="D1065" s="31" t="s">
        <v>4312</v>
      </c>
      <c r="E1065" s="31" t="s">
        <v>4313</v>
      </c>
      <c r="F1065" s="31" t="s">
        <v>31</v>
      </c>
      <c r="G1065" s="31">
        <v>209</v>
      </c>
      <c r="H1065" s="31">
        <v>20</v>
      </c>
      <c r="I1065" s="31">
        <v>24</v>
      </c>
      <c r="J1065" s="31" t="s">
        <v>4314</v>
      </c>
      <c r="K1065" s="31" t="s">
        <v>130</v>
      </c>
      <c r="L1065" s="31" t="s">
        <v>56</v>
      </c>
      <c r="M1065" s="31">
        <v>256</v>
      </c>
      <c r="N1065" s="31">
        <v>2020</v>
      </c>
      <c r="O1065" s="31">
        <v>162</v>
      </c>
      <c r="P1065" s="31"/>
      <c r="Q1065" s="31"/>
      <c r="R1065" s="33"/>
      <c r="S1065" s="34" t="str">
        <f>HYPERLINK("http://www.cnpol.ru/covers/19256.jpg","фото на сайте")</f>
        <v>фото на сайте</v>
      </c>
    </row>
    <row r="1066" spans="1:19" ht="50.1" customHeight="1">
      <c r="A1066" s="31"/>
      <c r="B1066" s="32" t="s">
        <v>4315</v>
      </c>
      <c r="C1066" s="31" t="s">
        <v>408</v>
      </c>
      <c r="D1066" s="31" t="s">
        <v>4316</v>
      </c>
      <c r="E1066" s="31" t="s">
        <v>4317</v>
      </c>
      <c r="F1066" s="31" t="s">
        <v>31</v>
      </c>
      <c r="G1066" s="31">
        <v>640</v>
      </c>
      <c r="H1066" s="31">
        <v>10</v>
      </c>
      <c r="I1066" s="31">
        <v>16</v>
      </c>
      <c r="J1066" s="31" t="s">
        <v>4318</v>
      </c>
      <c r="K1066" s="31" t="s">
        <v>33</v>
      </c>
      <c r="L1066" s="31" t="s">
        <v>34</v>
      </c>
      <c r="M1066" s="31">
        <v>186</v>
      </c>
      <c r="N1066" s="31">
        <v>2023</v>
      </c>
      <c r="O1066" s="31">
        <v>285</v>
      </c>
      <c r="P1066" s="31"/>
      <c r="Q1066" s="31"/>
      <c r="R1066" s="33" t="s">
        <v>4319</v>
      </c>
      <c r="S1066" s="34" t="str">
        <f>HYPERLINK("http://www.cnpol.ru/covers/20919.jpg","фото на сайте")</f>
        <v>фото на сайте</v>
      </c>
    </row>
    <row r="1067" spans="1:19" ht="50.1" customHeight="1">
      <c r="A1067" s="31"/>
      <c r="B1067" s="32" t="s">
        <v>4320</v>
      </c>
      <c r="C1067" s="31" t="s">
        <v>37</v>
      </c>
      <c r="D1067" s="31" t="s">
        <v>4321</v>
      </c>
      <c r="E1067" s="31" t="s">
        <v>4322</v>
      </c>
      <c r="F1067" s="31" t="s">
        <v>31</v>
      </c>
      <c r="G1067" s="31">
        <v>539</v>
      </c>
      <c r="H1067" s="31">
        <v>10</v>
      </c>
      <c r="I1067" s="31">
        <v>10</v>
      </c>
      <c r="J1067" s="31" t="s">
        <v>4323</v>
      </c>
      <c r="K1067" s="31" t="s">
        <v>33</v>
      </c>
      <c r="L1067" s="31" t="s">
        <v>34</v>
      </c>
      <c r="M1067" s="31">
        <v>320</v>
      </c>
      <c r="N1067" s="31">
        <v>2017</v>
      </c>
      <c r="O1067" s="31">
        <v>264</v>
      </c>
      <c r="P1067" s="31"/>
      <c r="Q1067" s="31"/>
      <c r="R1067" s="33"/>
      <c r="S1067" s="34" t="str">
        <f>HYPERLINK("http://www.cnpol.ru/covers/17744.jpg","фото на сайте")</f>
        <v>фото на сайте</v>
      </c>
    </row>
    <row r="1068" spans="1:19" ht="50.1" customHeight="1">
      <c r="A1068" s="31" t="s">
        <v>43</v>
      </c>
      <c r="B1068" s="32" t="s">
        <v>4324</v>
      </c>
      <c r="C1068" s="31" t="s">
        <v>408</v>
      </c>
      <c r="D1068" s="31" t="s">
        <v>4325</v>
      </c>
      <c r="E1068" s="31" t="s">
        <v>4326</v>
      </c>
      <c r="F1068" s="31" t="s">
        <v>31</v>
      </c>
      <c r="G1068" s="31">
        <v>684</v>
      </c>
      <c r="H1068" s="31">
        <v>10</v>
      </c>
      <c r="I1068" s="31">
        <v>16</v>
      </c>
      <c r="J1068" s="31" t="s">
        <v>4327</v>
      </c>
      <c r="K1068" s="31" t="s">
        <v>33</v>
      </c>
      <c r="L1068" s="31" t="s">
        <v>34</v>
      </c>
      <c r="M1068" s="31">
        <v>286</v>
      </c>
      <c r="N1068" s="31">
        <v>2024</v>
      </c>
      <c r="O1068" s="31">
        <v>277</v>
      </c>
      <c r="P1068" s="31"/>
      <c r="Q1068" s="31"/>
      <c r="R1068" s="33" t="s">
        <v>4328</v>
      </c>
      <c r="S1068" s="34" t="str">
        <f>HYPERLINK("http://www.cnpol.ru/covers/21290.jpg","фото на сайте")</f>
        <v>фото на сайте</v>
      </c>
    </row>
    <row r="1069" spans="1:19" ht="50.1" customHeight="1">
      <c r="A1069" s="31" t="s">
        <v>43</v>
      </c>
      <c r="B1069" s="32" t="s">
        <v>4329</v>
      </c>
      <c r="C1069" s="31" t="s">
        <v>37</v>
      </c>
      <c r="D1069" s="31" t="s">
        <v>4330</v>
      </c>
      <c r="E1069" s="31" t="s">
        <v>4331</v>
      </c>
      <c r="F1069" s="31" t="s">
        <v>31</v>
      </c>
      <c r="G1069" s="35">
        <v>1038</v>
      </c>
      <c r="H1069" s="31">
        <v>10</v>
      </c>
      <c r="I1069" s="31">
        <v>10</v>
      </c>
      <c r="J1069" s="31" t="s">
        <v>4332</v>
      </c>
      <c r="K1069" s="31" t="s">
        <v>33</v>
      </c>
      <c r="L1069" s="31" t="s">
        <v>34</v>
      </c>
      <c r="M1069" s="31">
        <v>415</v>
      </c>
      <c r="N1069" s="31">
        <v>2024</v>
      </c>
      <c r="O1069" s="31">
        <v>255</v>
      </c>
      <c r="P1069" s="31"/>
      <c r="Q1069" s="31"/>
      <c r="R1069" s="33" t="s">
        <v>4333</v>
      </c>
      <c r="S1069" s="34" t="str">
        <f>HYPERLINK("http://www.cnpol.ru/covers/21270.jpg","фото на сайте")</f>
        <v>фото на сайте</v>
      </c>
    </row>
    <row r="1070" spans="1:19" ht="50.1" customHeight="1">
      <c r="A1070" s="31" t="s">
        <v>43</v>
      </c>
      <c r="B1070" s="32" t="s">
        <v>4334</v>
      </c>
      <c r="C1070" s="31" t="s">
        <v>1271</v>
      </c>
      <c r="D1070" s="31" t="s">
        <v>1272</v>
      </c>
      <c r="E1070" s="31" t="s">
        <v>4335</v>
      </c>
      <c r="F1070" s="31" t="s">
        <v>31</v>
      </c>
      <c r="G1070" s="35">
        <v>1168</v>
      </c>
      <c r="H1070" s="31">
        <v>10</v>
      </c>
      <c r="I1070" s="31">
        <v>8</v>
      </c>
      <c r="J1070" s="31" t="s">
        <v>4336</v>
      </c>
      <c r="K1070" s="31" t="s">
        <v>33</v>
      </c>
      <c r="L1070" s="31" t="s">
        <v>34</v>
      </c>
      <c r="M1070" s="31">
        <v>479</v>
      </c>
      <c r="N1070" s="31">
        <v>2024</v>
      </c>
      <c r="O1070" s="31">
        <v>507</v>
      </c>
      <c r="P1070" s="31"/>
      <c r="Q1070" s="31"/>
      <c r="R1070" s="33" t="s">
        <v>4337</v>
      </c>
      <c r="S1070" s="34" t="str">
        <f>HYPERLINK("http://www.cnpol.ru/covers/21140.jpg","фото на сайте")</f>
        <v>фото на сайте</v>
      </c>
    </row>
    <row r="1071" spans="1:19" ht="50.1" customHeight="1">
      <c r="A1071" s="31" t="s">
        <v>43</v>
      </c>
      <c r="B1071" s="32" t="s">
        <v>4338</v>
      </c>
      <c r="C1071" s="31" t="s">
        <v>37</v>
      </c>
      <c r="D1071" s="31" t="s">
        <v>4339</v>
      </c>
      <c r="E1071" s="31" t="s">
        <v>4340</v>
      </c>
      <c r="F1071" s="31" t="s">
        <v>31</v>
      </c>
      <c r="G1071" s="35">
        <v>1011</v>
      </c>
      <c r="H1071" s="31">
        <v>10</v>
      </c>
      <c r="I1071" s="31">
        <v>5</v>
      </c>
      <c r="J1071" s="31" t="s">
        <v>4341</v>
      </c>
      <c r="K1071" s="31" t="s">
        <v>33</v>
      </c>
      <c r="L1071" s="31" t="s">
        <v>34</v>
      </c>
      <c r="M1071" s="31">
        <v>363</v>
      </c>
      <c r="N1071" s="31">
        <v>2025</v>
      </c>
      <c r="O1071" s="31">
        <v>499</v>
      </c>
      <c r="P1071" s="31"/>
      <c r="Q1071" s="31"/>
      <c r="R1071" s="33" t="s">
        <v>4342</v>
      </c>
      <c r="S1071" s="34" t="str">
        <f>HYPERLINK("http://www.cnpol.ru/covers/21729.jpg","фото на сайте")</f>
        <v>фото на сайте</v>
      </c>
    </row>
    <row r="1072" spans="1:19" ht="50.1" customHeight="1">
      <c r="A1072" s="31" t="s">
        <v>43</v>
      </c>
      <c r="B1072" s="32" t="s">
        <v>4343</v>
      </c>
      <c r="C1072" s="31" t="s">
        <v>3218</v>
      </c>
      <c r="D1072" s="31" t="s">
        <v>4344</v>
      </c>
      <c r="E1072" s="31" t="s">
        <v>4345</v>
      </c>
      <c r="F1072" s="31" t="s">
        <v>31</v>
      </c>
      <c r="G1072" s="35">
        <v>1076</v>
      </c>
      <c r="H1072" s="31">
        <v>10</v>
      </c>
      <c r="I1072" s="31">
        <v>10</v>
      </c>
      <c r="J1072" s="31" t="s">
        <v>4346</v>
      </c>
      <c r="K1072" s="31" t="s">
        <v>33</v>
      </c>
      <c r="L1072" s="31" t="s">
        <v>34</v>
      </c>
      <c r="M1072" s="31">
        <v>415</v>
      </c>
      <c r="N1072" s="31">
        <v>2025</v>
      </c>
      <c r="O1072" s="31" t="s">
        <v>220</v>
      </c>
      <c r="P1072" s="31"/>
      <c r="Q1072" s="31"/>
      <c r="R1072" s="33" t="s">
        <v>4347</v>
      </c>
      <c r="S1072" s="34" t="str">
        <f>HYPERLINK("http://www.cnpol.ru/covers/21881.jpg","фото на сайте")</f>
        <v>фото на сайте</v>
      </c>
    </row>
    <row r="1073" spans="1:19" ht="50.1" customHeight="1">
      <c r="A1073" s="31" t="s">
        <v>43</v>
      </c>
      <c r="B1073" s="32" t="s">
        <v>4348</v>
      </c>
      <c r="C1073" s="31" t="s">
        <v>37</v>
      </c>
      <c r="D1073" s="31" t="s">
        <v>4349</v>
      </c>
      <c r="E1073" s="31" t="s">
        <v>4350</v>
      </c>
      <c r="F1073" s="31" t="s">
        <v>31</v>
      </c>
      <c r="G1073" s="35">
        <v>1332</v>
      </c>
      <c r="H1073" s="31">
        <v>10</v>
      </c>
      <c r="I1073" s="31">
        <v>5</v>
      </c>
      <c r="J1073" s="31" t="s">
        <v>4351</v>
      </c>
      <c r="K1073" s="31" t="s">
        <v>33</v>
      </c>
      <c r="L1073" s="31" t="s">
        <v>34</v>
      </c>
      <c r="M1073" s="31">
        <v>400</v>
      </c>
      <c r="N1073" s="31">
        <v>2025</v>
      </c>
      <c r="O1073" s="31">
        <v>566</v>
      </c>
      <c r="P1073" s="31"/>
      <c r="Q1073" s="31"/>
      <c r="R1073" s="33" t="s">
        <v>4352</v>
      </c>
      <c r="S1073" s="34" t="str">
        <f>HYPERLINK("http://www.cnpol.ru/covers/21770.jpg","фото на сайте")</f>
        <v>фото на сайте</v>
      </c>
    </row>
    <row r="1074" spans="1:19" ht="50.1" customHeight="1">
      <c r="A1074" s="31" t="s">
        <v>43</v>
      </c>
      <c r="B1074" s="32" t="s">
        <v>4353</v>
      </c>
      <c r="C1074" s="31" t="s">
        <v>143</v>
      </c>
      <c r="D1074" s="31" t="s">
        <v>4354</v>
      </c>
      <c r="E1074" s="31" t="s">
        <v>4355</v>
      </c>
      <c r="F1074" s="31" t="s">
        <v>31</v>
      </c>
      <c r="G1074" s="35">
        <v>1394</v>
      </c>
      <c r="H1074" s="31">
        <v>10</v>
      </c>
      <c r="I1074" s="31">
        <v>6</v>
      </c>
      <c r="J1074" s="31" t="s">
        <v>4356</v>
      </c>
      <c r="K1074" s="31" t="s">
        <v>33</v>
      </c>
      <c r="L1074" s="31" t="s">
        <v>34</v>
      </c>
      <c r="M1074" s="31">
        <v>607</v>
      </c>
      <c r="N1074" s="31">
        <v>2025</v>
      </c>
      <c r="O1074" s="31" t="s">
        <v>220</v>
      </c>
      <c r="P1074" s="31"/>
      <c r="Q1074" s="31"/>
      <c r="R1074" s="33" t="s">
        <v>4357</v>
      </c>
      <c r="S1074" s="34" t="str">
        <f>HYPERLINK("http://www.cnpol.ru/covers/21893.jpg","фото на сайте")</f>
        <v>фото на сайте</v>
      </c>
    </row>
    <row r="1075" spans="1:19" ht="50.1" customHeight="1">
      <c r="A1075" s="31"/>
      <c r="B1075" s="32" t="s">
        <v>4358</v>
      </c>
      <c r="C1075" s="31" t="s">
        <v>479</v>
      </c>
      <c r="D1075" s="31" t="s">
        <v>4359</v>
      </c>
      <c r="E1075" s="31" t="s">
        <v>4360</v>
      </c>
      <c r="F1075" s="31" t="s">
        <v>31</v>
      </c>
      <c r="G1075" s="31">
        <v>925</v>
      </c>
      <c r="H1075" s="31">
        <v>10</v>
      </c>
      <c r="I1075" s="31">
        <v>10</v>
      </c>
      <c r="J1075" s="31" t="s">
        <v>4361</v>
      </c>
      <c r="K1075" s="31" t="s">
        <v>41</v>
      </c>
      <c r="L1075" s="31" t="s">
        <v>34</v>
      </c>
      <c r="M1075" s="31">
        <v>528</v>
      </c>
      <c r="N1075" s="31">
        <v>2016</v>
      </c>
      <c r="O1075" s="31">
        <v>568</v>
      </c>
      <c r="P1075" s="31"/>
      <c r="Q1075" s="31"/>
      <c r="R1075" s="33"/>
      <c r="S1075" s="34" t="str">
        <f>HYPERLINK("http://www.cnpol.ru/covers/17195.jpg","фото на сайте")</f>
        <v>фото на сайте</v>
      </c>
    </row>
    <row r="1076" spans="1:19" ht="50.1" customHeight="1">
      <c r="A1076" s="31"/>
      <c r="B1076" s="32" t="s">
        <v>4362</v>
      </c>
      <c r="C1076" s="31" t="s">
        <v>3229</v>
      </c>
      <c r="D1076" s="31" t="s">
        <v>4363</v>
      </c>
      <c r="E1076" s="31" t="s">
        <v>4364</v>
      </c>
      <c r="F1076" s="31" t="s">
        <v>31</v>
      </c>
      <c r="G1076" s="31">
        <v>791</v>
      </c>
      <c r="H1076" s="31">
        <v>10</v>
      </c>
      <c r="I1076" s="31">
        <v>8</v>
      </c>
      <c r="J1076" s="31" t="s">
        <v>4365</v>
      </c>
      <c r="K1076" s="31" t="s">
        <v>41</v>
      </c>
      <c r="L1076" s="31" t="s">
        <v>34</v>
      </c>
      <c r="M1076" s="31">
        <v>463</v>
      </c>
      <c r="N1076" s="31">
        <v>2012</v>
      </c>
      <c r="O1076" s="31">
        <v>428</v>
      </c>
      <c r="P1076" s="31"/>
      <c r="Q1076" s="31"/>
      <c r="R1076" s="33"/>
      <c r="S1076" s="34" t="str">
        <f>HYPERLINK("http://www.cnpol.ru/covers/13570.jpg","фото на сайте")</f>
        <v>фото на сайте</v>
      </c>
    </row>
    <row r="1077" spans="1:19" ht="50.1" customHeight="1">
      <c r="A1077" s="31"/>
      <c r="B1077" s="32" t="s">
        <v>4366</v>
      </c>
      <c r="C1077" s="31" t="s">
        <v>302</v>
      </c>
      <c r="D1077" s="31" t="s">
        <v>4367</v>
      </c>
      <c r="E1077" s="31" t="s">
        <v>4368</v>
      </c>
      <c r="F1077" s="31" t="s">
        <v>31</v>
      </c>
      <c r="G1077" s="31">
        <v>917</v>
      </c>
      <c r="H1077" s="31">
        <v>10</v>
      </c>
      <c r="I1077" s="31">
        <v>14</v>
      </c>
      <c r="J1077" s="31" t="s">
        <v>4369</v>
      </c>
      <c r="K1077" s="31" t="s">
        <v>41</v>
      </c>
      <c r="L1077" s="31" t="s">
        <v>304</v>
      </c>
      <c r="M1077" s="31">
        <v>320</v>
      </c>
      <c r="N1077" s="31">
        <v>2019</v>
      </c>
      <c r="O1077" s="31">
        <v>428</v>
      </c>
      <c r="P1077" s="31"/>
      <c r="Q1077" s="31"/>
      <c r="R1077" s="33"/>
      <c r="S1077" s="34" t="str">
        <f>HYPERLINK("http://www.cnpol.ru/covers/18562.jpg","фото на сайте")</f>
        <v>фото на сайте</v>
      </c>
    </row>
    <row r="1078" spans="1:19" ht="50.1" customHeight="1">
      <c r="A1078" s="31" t="s">
        <v>43</v>
      </c>
      <c r="B1078" s="32" t="s">
        <v>4370</v>
      </c>
      <c r="C1078" s="31" t="s">
        <v>297</v>
      </c>
      <c r="D1078" s="31" t="s">
        <v>4367</v>
      </c>
      <c r="E1078" s="31" t="s">
        <v>4368</v>
      </c>
      <c r="F1078" s="31" t="s">
        <v>31</v>
      </c>
      <c r="G1078" s="31">
        <v>300</v>
      </c>
      <c r="H1078" s="31">
        <v>10</v>
      </c>
      <c r="I1078" s="31">
        <v>20</v>
      </c>
      <c r="J1078" s="31" t="s">
        <v>4371</v>
      </c>
      <c r="K1078" s="31" t="s">
        <v>300</v>
      </c>
      <c r="L1078" s="31" t="s">
        <v>56</v>
      </c>
      <c r="M1078" s="31">
        <v>287</v>
      </c>
      <c r="N1078" s="31">
        <v>2024</v>
      </c>
      <c r="O1078" s="31">
        <v>145</v>
      </c>
      <c r="P1078" s="31"/>
      <c r="Q1078" s="31"/>
      <c r="R1078" s="33" t="s">
        <v>4372</v>
      </c>
      <c r="S1078" s="34" t="str">
        <f>HYPERLINK("http://www.cnpol.ru/covers/21170.jpg","фото на сайте")</f>
        <v>фото на сайте</v>
      </c>
    </row>
    <row r="1079" spans="1:19" ht="50.1" customHeight="1">
      <c r="A1079" s="31"/>
      <c r="B1079" s="32" t="s">
        <v>4373</v>
      </c>
      <c r="C1079" s="31" t="s">
        <v>390</v>
      </c>
      <c r="D1079" s="31" t="s">
        <v>4374</v>
      </c>
      <c r="E1079" s="31" t="s">
        <v>4375</v>
      </c>
      <c r="F1079" s="31">
        <v>512</v>
      </c>
      <c r="G1079" s="31">
        <v>86</v>
      </c>
      <c r="H1079" s="31">
        <v>10</v>
      </c>
      <c r="I1079" s="31">
        <v>30</v>
      </c>
      <c r="J1079" s="31" t="s">
        <v>4376</v>
      </c>
      <c r="K1079" s="31" t="s">
        <v>123</v>
      </c>
      <c r="L1079" s="31" t="s">
        <v>56</v>
      </c>
      <c r="M1079" s="31">
        <v>158</v>
      </c>
      <c r="N1079" s="31">
        <v>2015</v>
      </c>
      <c r="O1079" s="31">
        <v>78</v>
      </c>
      <c r="P1079" s="31"/>
      <c r="Q1079" s="31"/>
      <c r="R1079" s="33"/>
      <c r="S1079" s="34" t="str">
        <f>HYPERLINK("http://www.cnpol.ru/covers/15967.jpg","фото на сайте")</f>
        <v>фото на сайте</v>
      </c>
    </row>
    <row r="1080" spans="1:19" ht="50.1" customHeight="1">
      <c r="A1080" s="31"/>
      <c r="B1080" s="32" t="s">
        <v>4377</v>
      </c>
      <c r="C1080" s="31" t="s">
        <v>380</v>
      </c>
      <c r="D1080" s="31" t="s">
        <v>4378</v>
      </c>
      <c r="E1080" s="31" t="s">
        <v>4379</v>
      </c>
      <c r="F1080" s="31" t="s">
        <v>31</v>
      </c>
      <c r="G1080" s="31">
        <v>988</v>
      </c>
      <c r="H1080" s="31">
        <v>10</v>
      </c>
      <c r="I1080" s="31">
        <v>10</v>
      </c>
      <c r="J1080" s="31" t="s">
        <v>4380</v>
      </c>
      <c r="K1080" s="31" t="s">
        <v>41</v>
      </c>
      <c r="L1080" s="31" t="s">
        <v>304</v>
      </c>
      <c r="M1080" s="31">
        <v>320</v>
      </c>
      <c r="N1080" s="31">
        <v>2016</v>
      </c>
      <c r="O1080" s="31">
        <v>462</v>
      </c>
      <c r="P1080" s="31"/>
      <c r="Q1080" s="31"/>
      <c r="R1080" s="33"/>
      <c r="S1080" s="34" t="str">
        <f>HYPERLINK("http://www.cnpol.ru/covers/17130.jpg","фото на сайте")</f>
        <v>фото на сайте</v>
      </c>
    </row>
    <row r="1081" spans="1:19" ht="50.1" customHeight="1">
      <c r="A1081" s="31"/>
      <c r="B1081" s="32" t="s">
        <v>4381</v>
      </c>
      <c r="C1081" s="31" t="s">
        <v>2228</v>
      </c>
      <c r="D1081" s="31" t="s">
        <v>213</v>
      </c>
      <c r="E1081" s="31" t="s">
        <v>4382</v>
      </c>
      <c r="F1081" s="31">
        <v>7</v>
      </c>
      <c r="G1081" s="31">
        <v>486</v>
      </c>
      <c r="H1081" s="31">
        <v>10</v>
      </c>
      <c r="I1081" s="31">
        <v>20</v>
      </c>
      <c r="J1081" s="31" t="s">
        <v>4383</v>
      </c>
      <c r="K1081" s="31" t="s">
        <v>2231</v>
      </c>
      <c r="L1081" s="31" t="s">
        <v>34</v>
      </c>
      <c r="M1081" s="31">
        <v>160</v>
      </c>
      <c r="N1081" s="31">
        <v>2019</v>
      </c>
      <c r="O1081" s="31">
        <v>324</v>
      </c>
      <c r="P1081" s="31"/>
      <c r="Q1081" s="31"/>
      <c r="R1081" s="33"/>
      <c r="S1081" s="34" t="str">
        <f>HYPERLINK("http://www.cnpol.ru/covers/18599.jpg","фото на сайте")</f>
        <v>фото на сайте</v>
      </c>
    </row>
    <row r="1082" spans="1:19" ht="50.1" customHeight="1">
      <c r="A1082" s="31"/>
      <c r="B1082" s="32" t="s">
        <v>4384</v>
      </c>
      <c r="C1082" s="31" t="s">
        <v>408</v>
      </c>
      <c r="D1082" s="31" t="s">
        <v>4385</v>
      </c>
      <c r="E1082" s="31" t="s">
        <v>4386</v>
      </c>
      <c r="F1082" s="31" t="s">
        <v>31</v>
      </c>
      <c r="G1082" s="31">
        <v>640</v>
      </c>
      <c r="H1082" s="31">
        <v>10</v>
      </c>
      <c r="I1082" s="31">
        <v>16</v>
      </c>
      <c r="J1082" s="31" t="s">
        <v>4387</v>
      </c>
      <c r="K1082" s="31" t="s">
        <v>33</v>
      </c>
      <c r="L1082" s="31" t="s">
        <v>34</v>
      </c>
      <c r="M1082" s="31">
        <v>224</v>
      </c>
      <c r="N1082" s="31">
        <v>2021</v>
      </c>
      <c r="O1082" s="31">
        <v>292</v>
      </c>
      <c r="P1082" s="31"/>
      <c r="Q1082" s="31"/>
      <c r="R1082" s="33"/>
      <c r="S1082" s="34" t="str">
        <f>HYPERLINK("http://www.cnpol.ru/covers/19648.jpg","фото на сайте")</f>
        <v>фото на сайте</v>
      </c>
    </row>
    <row r="1083" spans="1:19" ht="50.1" customHeight="1">
      <c r="A1083" s="31"/>
      <c r="B1083" s="32" t="s">
        <v>4388</v>
      </c>
      <c r="C1083" s="31" t="s">
        <v>3229</v>
      </c>
      <c r="D1083" s="31" t="s">
        <v>4389</v>
      </c>
      <c r="E1083" s="31" t="s">
        <v>4390</v>
      </c>
      <c r="F1083" s="31" t="s">
        <v>31</v>
      </c>
      <c r="G1083" s="31">
        <v>593</v>
      </c>
      <c r="H1083" s="31">
        <v>10</v>
      </c>
      <c r="I1083" s="31">
        <v>12</v>
      </c>
      <c r="J1083" s="31" t="s">
        <v>4391</v>
      </c>
      <c r="K1083" s="31" t="s">
        <v>158</v>
      </c>
      <c r="L1083" s="31" t="s">
        <v>34</v>
      </c>
      <c r="M1083" s="31">
        <v>224</v>
      </c>
      <c r="N1083" s="31">
        <v>2017</v>
      </c>
      <c r="O1083" s="31">
        <v>268</v>
      </c>
      <c r="P1083" s="31"/>
      <c r="Q1083" s="31"/>
      <c r="R1083" s="33"/>
      <c r="S1083" s="34" t="str">
        <f>HYPERLINK("http://www.cnpol.ru/covers/17736.jpg","фото на сайте")</f>
        <v>фото на сайте</v>
      </c>
    </row>
    <row r="1084" spans="1:19" ht="50.1" customHeight="1">
      <c r="A1084" s="31"/>
      <c r="B1084" s="32" t="s">
        <v>4392</v>
      </c>
      <c r="C1084" s="31" t="s">
        <v>297</v>
      </c>
      <c r="D1084" s="31" t="s">
        <v>1096</v>
      </c>
      <c r="E1084" s="31" t="s">
        <v>4393</v>
      </c>
      <c r="F1084" s="31" t="s">
        <v>31</v>
      </c>
      <c r="G1084" s="31">
        <v>300</v>
      </c>
      <c r="H1084" s="31">
        <v>10</v>
      </c>
      <c r="I1084" s="31">
        <v>20</v>
      </c>
      <c r="J1084" s="31" t="s">
        <v>4394</v>
      </c>
      <c r="K1084" s="31" t="s">
        <v>300</v>
      </c>
      <c r="L1084" s="31" t="s">
        <v>56</v>
      </c>
      <c r="M1084" s="31">
        <v>319</v>
      </c>
      <c r="N1084" s="31">
        <v>2021</v>
      </c>
      <c r="O1084" s="31">
        <v>162</v>
      </c>
      <c r="P1084" s="31"/>
      <c r="Q1084" s="31"/>
      <c r="R1084" s="33"/>
      <c r="S1084" s="34" t="str">
        <f>HYPERLINK("http://www.cnpol.ru/covers/19845.jpg","фото на сайте")</f>
        <v>фото на сайте</v>
      </c>
    </row>
    <row r="1085" spans="1:19" ht="50.1" customHeight="1">
      <c r="A1085" s="31"/>
      <c r="B1085" s="32" t="s">
        <v>4395</v>
      </c>
      <c r="C1085" s="31" t="s">
        <v>302</v>
      </c>
      <c r="D1085" s="31" t="s">
        <v>1096</v>
      </c>
      <c r="E1085" s="31" t="s">
        <v>4393</v>
      </c>
      <c r="F1085" s="31" t="s">
        <v>31</v>
      </c>
      <c r="G1085" s="31">
        <v>917</v>
      </c>
      <c r="H1085" s="31">
        <v>10</v>
      </c>
      <c r="I1085" s="31">
        <v>14</v>
      </c>
      <c r="J1085" s="31" t="s">
        <v>4396</v>
      </c>
      <c r="K1085" s="31" t="s">
        <v>41</v>
      </c>
      <c r="L1085" s="31" t="s">
        <v>304</v>
      </c>
      <c r="M1085" s="31">
        <v>336</v>
      </c>
      <c r="N1085" s="31">
        <v>2017</v>
      </c>
      <c r="O1085" s="31">
        <v>452</v>
      </c>
      <c r="P1085" s="31"/>
      <c r="Q1085" s="31"/>
      <c r="R1085" s="33"/>
      <c r="S1085" s="34" t="str">
        <f>HYPERLINK("http://www.cnpol.ru/covers/17697.jpg","фото на сайте")</f>
        <v>фото на сайте</v>
      </c>
    </row>
    <row r="1086" spans="1:19" ht="50.1" customHeight="1">
      <c r="A1086" s="31"/>
      <c r="B1086" s="32" t="s">
        <v>4397</v>
      </c>
      <c r="C1086" s="31" t="s">
        <v>993</v>
      </c>
      <c r="D1086" s="31" t="s">
        <v>4398</v>
      </c>
      <c r="E1086" s="31" t="s">
        <v>4399</v>
      </c>
      <c r="F1086" s="31" t="s">
        <v>31</v>
      </c>
      <c r="G1086" s="31">
        <v>88</v>
      </c>
      <c r="H1086" s="31">
        <v>10</v>
      </c>
      <c r="I1086" s="31">
        <v>40</v>
      </c>
      <c r="J1086" s="31" t="s">
        <v>4400</v>
      </c>
      <c r="K1086" s="31" t="s">
        <v>123</v>
      </c>
      <c r="L1086" s="31" t="s">
        <v>56</v>
      </c>
      <c r="M1086" s="31">
        <v>128</v>
      </c>
      <c r="N1086" s="31">
        <v>2008</v>
      </c>
      <c r="O1086" s="31">
        <v>60</v>
      </c>
      <c r="P1086" s="31"/>
      <c r="Q1086" s="31"/>
      <c r="R1086" s="33"/>
      <c r="S1086" s="34" t="str">
        <f>HYPERLINK("http://www.cnpol.ru/covers/10330.jpg","фото на сайте")</f>
        <v>фото на сайте</v>
      </c>
    </row>
    <row r="1087" spans="1:19" ht="50.1" customHeight="1">
      <c r="A1087" s="31"/>
      <c r="B1087" s="32" t="s">
        <v>4401</v>
      </c>
      <c r="C1087" s="31" t="s">
        <v>546</v>
      </c>
      <c r="D1087" s="31" t="s">
        <v>4402</v>
      </c>
      <c r="E1087" s="31" t="s">
        <v>4403</v>
      </c>
      <c r="F1087" s="31">
        <v>430</v>
      </c>
      <c r="G1087" s="31">
        <v>93</v>
      </c>
      <c r="H1087" s="31">
        <v>10</v>
      </c>
      <c r="I1087" s="31">
        <v>30</v>
      </c>
      <c r="J1087" s="31" t="s">
        <v>4404</v>
      </c>
      <c r="K1087" s="31" t="s">
        <v>123</v>
      </c>
      <c r="L1087" s="31" t="s">
        <v>56</v>
      </c>
      <c r="M1087" s="31">
        <v>159</v>
      </c>
      <c r="N1087" s="31">
        <v>2023</v>
      </c>
      <c r="O1087" s="31">
        <v>76</v>
      </c>
      <c r="P1087" s="31"/>
      <c r="Q1087" s="31"/>
      <c r="R1087" s="33" t="s">
        <v>4405</v>
      </c>
      <c r="S1087" s="34" t="str">
        <f>HYPERLINK("http://www.cnpol.ru/covers/20713.jpg","фото на сайте")</f>
        <v>фото на сайте</v>
      </c>
    </row>
    <row r="1088" spans="1:19" ht="50.1" customHeight="1">
      <c r="A1088" s="31"/>
      <c r="B1088" s="32" t="s">
        <v>4406</v>
      </c>
      <c r="C1088" s="31" t="s">
        <v>4085</v>
      </c>
      <c r="D1088" s="31" t="s">
        <v>4407</v>
      </c>
      <c r="E1088" s="31" t="s">
        <v>4408</v>
      </c>
      <c r="F1088" s="31" t="s">
        <v>31</v>
      </c>
      <c r="G1088" s="31">
        <v>243</v>
      </c>
      <c r="H1088" s="31">
        <v>10</v>
      </c>
      <c r="I1088" s="31">
        <v>14</v>
      </c>
      <c r="J1088" s="31" t="s">
        <v>4409</v>
      </c>
      <c r="K1088" s="31" t="s">
        <v>300</v>
      </c>
      <c r="L1088" s="31" t="s">
        <v>56</v>
      </c>
      <c r="M1088" s="31">
        <v>350</v>
      </c>
      <c r="N1088" s="31">
        <v>2013</v>
      </c>
      <c r="O1088" s="31">
        <v>180</v>
      </c>
      <c r="P1088" s="31"/>
      <c r="Q1088" s="31"/>
      <c r="R1088" s="33"/>
      <c r="S1088" s="34" t="str">
        <f>HYPERLINK("http://www.cnpol.ru/covers/14147.jpg","фото на сайте")</f>
        <v>фото на сайте</v>
      </c>
    </row>
    <row r="1089" spans="1:19" ht="50.1" customHeight="1">
      <c r="A1089" s="31"/>
      <c r="B1089" s="32" t="s">
        <v>4410</v>
      </c>
      <c r="C1089" s="31" t="s">
        <v>4411</v>
      </c>
      <c r="D1089" s="31" t="s">
        <v>3754</v>
      </c>
      <c r="E1089" s="31" t="s">
        <v>4412</v>
      </c>
      <c r="F1089" s="31" t="s">
        <v>31</v>
      </c>
      <c r="G1089" s="31">
        <v>288</v>
      </c>
      <c r="H1089" s="31">
        <v>10</v>
      </c>
      <c r="I1089" s="31">
        <v>16</v>
      </c>
      <c r="J1089" s="31" t="s">
        <v>4413</v>
      </c>
      <c r="K1089" s="31" t="s">
        <v>123</v>
      </c>
      <c r="L1089" s="31" t="s">
        <v>56</v>
      </c>
      <c r="M1089" s="31">
        <v>314</v>
      </c>
      <c r="N1089" s="31">
        <v>2021</v>
      </c>
      <c r="O1089" s="31">
        <v>148</v>
      </c>
      <c r="P1089" s="31"/>
      <c r="Q1089" s="31"/>
      <c r="R1089" s="33"/>
      <c r="S1089" s="34" t="str">
        <f>HYPERLINK("http://www.cnpol.ru/covers/20055.jpg","фото на сайте")</f>
        <v>фото на сайте</v>
      </c>
    </row>
    <row r="1090" spans="1:19" ht="50.1" customHeight="1">
      <c r="A1090" s="31"/>
      <c r="B1090" s="32" t="s">
        <v>4414</v>
      </c>
      <c r="C1090" s="31" t="s">
        <v>297</v>
      </c>
      <c r="D1090" s="31" t="s">
        <v>1564</v>
      </c>
      <c r="E1090" s="31" t="s">
        <v>4415</v>
      </c>
      <c r="F1090" s="31" t="s">
        <v>31</v>
      </c>
      <c r="G1090" s="31">
        <v>340</v>
      </c>
      <c r="H1090" s="31">
        <v>10</v>
      </c>
      <c r="I1090" s="31">
        <v>12</v>
      </c>
      <c r="J1090" s="31" t="s">
        <v>4416</v>
      </c>
      <c r="K1090" s="31" t="s">
        <v>300</v>
      </c>
      <c r="L1090" s="31" t="s">
        <v>56</v>
      </c>
      <c r="M1090" s="31">
        <v>544</v>
      </c>
      <c r="N1090" s="31">
        <v>2018</v>
      </c>
      <c r="O1090" s="31">
        <v>272</v>
      </c>
      <c r="P1090" s="31"/>
      <c r="Q1090" s="31"/>
      <c r="R1090" s="33"/>
      <c r="S1090" s="34" t="str">
        <f>HYPERLINK("http://www.cnpol.ru/covers/17954.jpg","фото на сайте")</f>
        <v>фото на сайте</v>
      </c>
    </row>
    <row r="1091" spans="1:19" ht="50.1" customHeight="1">
      <c r="A1091" s="31"/>
      <c r="B1091" s="32" t="s">
        <v>4417</v>
      </c>
      <c r="C1091" s="31" t="s">
        <v>119</v>
      </c>
      <c r="D1091" s="31" t="s">
        <v>4418</v>
      </c>
      <c r="E1091" s="31" t="s">
        <v>4419</v>
      </c>
      <c r="F1091" s="31" t="s">
        <v>31</v>
      </c>
      <c r="G1091" s="31">
        <v>503</v>
      </c>
      <c r="H1091" s="31">
        <v>10</v>
      </c>
      <c r="I1091" s="31">
        <v>20</v>
      </c>
      <c r="J1091" s="31" t="s">
        <v>4420</v>
      </c>
      <c r="K1091" s="31" t="s">
        <v>194</v>
      </c>
      <c r="L1091" s="31" t="s">
        <v>34</v>
      </c>
      <c r="M1091" s="31">
        <v>191</v>
      </c>
      <c r="N1091" s="31">
        <v>2012</v>
      </c>
      <c r="O1091" s="31">
        <v>210</v>
      </c>
      <c r="P1091" s="31"/>
      <c r="Q1091" s="31"/>
      <c r="R1091" s="33"/>
      <c r="S1091" s="34" t="str">
        <f>HYPERLINK("http://www.cnpol.ru/covers/13632.jpg","фото на сайте")</f>
        <v>фото на сайте</v>
      </c>
    </row>
    <row r="1092" spans="1:19" ht="50.1" customHeight="1">
      <c r="A1092" s="31" t="s">
        <v>43</v>
      </c>
      <c r="B1092" s="32" t="s">
        <v>4421</v>
      </c>
      <c r="C1092" s="31" t="s">
        <v>37</v>
      </c>
      <c r="D1092" s="31" t="s">
        <v>4422</v>
      </c>
      <c r="E1092" s="31" t="s">
        <v>4423</v>
      </c>
      <c r="F1092" s="31" t="s">
        <v>31</v>
      </c>
      <c r="G1092" s="31">
        <v>575</v>
      </c>
      <c r="H1092" s="31">
        <v>10</v>
      </c>
      <c r="I1092" s="31">
        <v>12</v>
      </c>
      <c r="J1092" s="31" t="s">
        <v>4424</v>
      </c>
      <c r="K1092" s="31" t="s">
        <v>33</v>
      </c>
      <c r="L1092" s="31" t="s">
        <v>34</v>
      </c>
      <c r="M1092" s="31">
        <v>383</v>
      </c>
      <c r="N1092" s="31">
        <v>2025</v>
      </c>
      <c r="O1092" s="31" t="s">
        <v>220</v>
      </c>
      <c r="P1092" s="31"/>
      <c r="Q1092" s="31"/>
      <c r="R1092" s="33" t="s">
        <v>4425</v>
      </c>
      <c r="S1092" s="34" t="str">
        <f>HYPERLINK("http://www.cnpol.ru/covers/21869.jpg","фото на сайте")</f>
        <v>фото на сайте</v>
      </c>
    </row>
    <row r="1093" spans="1:19" ht="50.1" customHeight="1">
      <c r="A1093" s="31"/>
      <c r="B1093" s="32" t="s">
        <v>4426</v>
      </c>
      <c r="C1093" s="31" t="s">
        <v>119</v>
      </c>
      <c r="D1093" s="31" t="s">
        <v>4427</v>
      </c>
      <c r="E1093" s="31" t="s">
        <v>4428</v>
      </c>
      <c r="F1093" s="31" t="s">
        <v>31</v>
      </c>
      <c r="G1093" s="31">
        <v>611</v>
      </c>
      <c r="H1093" s="31">
        <v>10</v>
      </c>
      <c r="I1093" s="31">
        <v>12</v>
      </c>
      <c r="J1093" s="31" t="s">
        <v>4429</v>
      </c>
      <c r="K1093" s="31" t="s">
        <v>194</v>
      </c>
      <c r="L1093" s="31" t="s">
        <v>34</v>
      </c>
      <c r="M1093" s="31">
        <v>384</v>
      </c>
      <c r="N1093" s="31">
        <v>2019</v>
      </c>
      <c r="O1093" s="31">
        <v>314</v>
      </c>
      <c r="P1093" s="31"/>
      <c r="Q1093" s="31"/>
      <c r="R1093" s="33"/>
      <c r="S1093" s="34" t="str">
        <f>HYPERLINK("http://www.cnpol.ru/covers/18635.jpg","фото на сайте")</f>
        <v>фото на сайте</v>
      </c>
    </row>
    <row r="1094" spans="1:19" ht="50.1" customHeight="1">
      <c r="A1094" s="31"/>
      <c r="B1094" s="32" t="s">
        <v>4430</v>
      </c>
      <c r="C1094" s="31" t="s">
        <v>2056</v>
      </c>
      <c r="D1094" s="31" t="s">
        <v>4431</v>
      </c>
      <c r="E1094" s="31" t="s">
        <v>4432</v>
      </c>
      <c r="F1094" s="31" t="s">
        <v>31</v>
      </c>
      <c r="G1094" s="35">
        <v>1235</v>
      </c>
      <c r="H1094" s="31">
        <v>10</v>
      </c>
      <c r="I1094" s="31">
        <v>8</v>
      </c>
      <c r="J1094" s="31" t="s">
        <v>4433</v>
      </c>
      <c r="K1094" s="31" t="s">
        <v>33</v>
      </c>
      <c r="L1094" s="31" t="s">
        <v>34</v>
      </c>
      <c r="M1094" s="31">
        <v>494</v>
      </c>
      <c r="N1094" s="31">
        <v>2021</v>
      </c>
      <c r="O1094" s="31">
        <v>380</v>
      </c>
      <c r="P1094" s="31"/>
      <c r="Q1094" s="31"/>
      <c r="R1094" s="33"/>
      <c r="S1094" s="34" t="str">
        <f>HYPERLINK("http://www.cnpol.ru/covers/19823.jpg","фото на сайте")</f>
        <v>фото на сайте</v>
      </c>
    </row>
    <row r="1095" spans="1:19" ht="50.1" customHeight="1">
      <c r="A1095" s="31" t="s">
        <v>43</v>
      </c>
      <c r="B1095" s="32" t="s">
        <v>4434</v>
      </c>
      <c r="C1095" s="31" t="s">
        <v>37</v>
      </c>
      <c r="D1095" s="31" t="s">
        <v>4435</v>
      </c>
      <c r="E1095" s="31" t="s">
        <v>4436</v>
      </c>
      <c r="F1095" s="31" t="s">
        <v>31</v>
      </c>
      <c r="G1095" s="31">
        <v>666</v>
      </c>
      <c r="H1095" s="31">
        <v>10</v>
      </c>
      <c r="I1095" s="31">
        <v>8</v>
      </c>
      <c r="J1095" s="31" t="s">
        <v>4437</v>
      </c>
      <c r="K1095" s="31" t="s">
        <v>33</v>
      </c>
      <c r="L1095" s="31" t="s">
        <v>34</v>
      </c>
      <c r="M1095" s="31">
        <v>478</v>
      </c>
      <c r="N1095" s="31">
        <v>2025</v>
      </c>
      <c r="O1095" s="31" t="s">
        <v>220</v>
      </c>
      <c r="P1095" s="31"/>
      <c r="Q1095" s="31"/>
      <c r="R1095" s="33" t="s">
        <v>4438</v>
      </c>
      <c r="S1095" s="34" t="str">
        <f>HYPERLINK("http://www.cnpol.ru/covers/21826.jpg","фото на сайте")</f>
        <v>фото на сайте</v>
      </c>
    </row>
    <row r="1096" spans="1:19" ht="50.1" customHeight="1">
      <c r="A1096" s="31" t="s">
        <v>35</v>
      </c>
      <c r="B1096" s="32" t="s">
        <v>4439</v>
      </c>
      <c r="C1096" s="31" t="s">
        <v>1271</v>
      </c>
      <c r="D1096" s="31" t="s">
        <v>1272</v>
      </c>
      <c r="E1096" s="31" t="s">
        <v>4440</v>
      </c>
      <c r="F1096" s="31" t="s">
        <v>31</v>
      </c>
      <c r="G1096" s="31">
        <v>661</v>
      </c>
      <c r="H1096" s="31">
        <v>10</v>
      </c>
      <c r="I1096" s="31">
        <v>10</v>
      </c>
      <c r="J1096" s="31" t="s">
        <v>4441</v>
      </c>
      <c r="K1096" s="31" t="s">
        <v>33</v>
      </c>
      <c r="L1096" s="31" t="s">
        <v>34</v>
      </c>
      <c r="M1096" s="31">
        <v>156</v>
      </c>
      <c r="N1096" s="31">
        <v>2025</v>
      </c>
      <c r="O1096" s="31">
        <v>135</v>
      </c>
      <c r="P1096" s="31"/>
      <c r="Q1096" s="31"/>
      <c r="R1096" s="33" t="s">
        <v>4442</v>
      </c>
      <c r="S1096" s="34" t="str">
        <f>HYPERLINK("http://www.cnpol.ru/covers/21477.jpg","фото на сайте")</f>
        <v>фото на сайте</v>
      </c>
    </row>
    <row r="1097" spans="1:19" ht="50.1" customHeight="1">
      <c r="A1097" s="31"/>
      <c r="B1097" s="32" t="s">
        <v>4443</v>
      </c>
      <c r="C1097" s="31" t="s">
        <v>1271</v>
      </c>
      <c r="D1097" s="31" t="s">
        <v>1272</v>
      </c>
      <c r="E1097" s="31" t="s">
        <v>4444</v>
      </c>
      <c r="F1097" s="31" t="s">
        <v>31</v>
      </c>
      <c r="G1097" s="31">
        <v>661</v>
      </c>
      <c r="H1097" s="31">
        <v>10</v>
      </c>
      <c r="I1097" s="31">
        <v>18</v>
      </c>
      <c r="J1097" s="31" t="s">
        <v>4445</v>
      </c>
      <c r="K1097" s="31" t="s">
        <v>33</v>
      </c>
      <c r="L1097" s="31" t="s">
        <v>34</v>
      </c>
      <c r="M1097" s="31">
        <v>191</v>
      </c>
      <c r="N1097" s="31">
        <v>2024</v>
      </c>
      <c r="O1097" s="31">
        <v>256</v>
      </c>
      <c r="P1097" s="31"/>
      <c r="Q1097" s="31"/>
      <c r="R1097" s="33" t="s">
        <v>4446</v>
      </c>
      <c r="S1097" s="34" t="str">
        <f>HYPERLINK("http://www.cnpol.ru/covers/20958.jpg","фото на сайте")</f>
        <v>фото на сайте</v>
      </c>
    </row>
    <row r="1098" spans="1:19" ht="50.1" customHeight="1">
      <c r="A1098" s="31"/>
      <c r="B1098" s="32" t="s">
        <v>4447</v>
      </c>
      <c r="C1098" s="31" t="s">
        <v>37</v>
      </c>
      <c r="D1098" s="31" t="s">
        <v>4448</v>
      </c>
      <c r="E1098" s="31" t="s">
        <v>4449</v>
      </c>
      <c r="F1098" s="31" t="s">
        <v>31</v>
      </c>
      <c r="G1098" s="31">
        <v>539</v>
      </c>
      <c r="H1098" s="31">
        <v>10</v>
      </c>
      <c r="I1098" s="31">
        <v>14</v>
      </c>
      <c r="J1098" s="31" t="s">
        <v>4450</v>
      </c>
      <c r="K1098" s="31" t="s">
        <v>33</v>
      </c>
      <c r="L1098" s="31" t="s">
        <v>34</v>
      </c>
      <c r="M1098" s="31">
        <v>320</v>
      </c>
      <c r="N1098" s="31">
        <v>2018</v>
      </c>
      <c r="O1098" s="31">
        <v>286</v>
      </c>
      <c r="P1098" s="31"/>
      <c r="Q1098" s="31"/>
      <c r="R1098" s="33"/>
      <c r="S1098" s="34" t="str">
        <f>HYPERLINK("http://www.cnpol.ru/covers/18402.jpg","фото на сайте")</f>
        <v>фото на сайте</v>
      </c>
    </row>
    <row r="1099" spans="1:19" ht="50.1" customHeight="1">
      <c r="A1099" s="31" t="s">
        <v>43</v>
      </c>
      <c r="B1099" s="32" t="s">
        <v>4451</v>
      </c>
      <c r="C1099" s="31" t="s">
        <v>1271</v>
      </c>
      <c r="D1099" s="31" t="s">
        <v>1272</v>
      </c>
      <c r="E1099" s="31" t="s">
        <v>4452</v>
      </c>
      <c r="F1099" s="31" t="s">
        <v>31</v>
      </c>
      <c r="G1099" s="31">
        <v>745</v>
      </c>
      <c r="H1099" s="31">
        <v>10</v>
      </c>
      <c r="I1099" s="31">
        <v>14</v>
      </c>
      <c r="J1099" s="31" t="s">
        <v>4453</v>
      </c>
      <c r="K1099" s="31" t="s">
        <v>33</v>
      </c>
      <c r="L1099" s="31" t="s">
        <v>34</v>
      </c>
      <c r="M1099" s="31">
        <v>287</v>
      </c>
      <c r="N1099" s="31">
        <v>2024</v>
      </c>
      <c r="O1099" s="31">
        <v>342</v>
      </c>
      <c r="P1099" s="31"/>
      <c r="Q1099" s="31"/>
      <c r="R1099" s="33" t="s">
        <v>4454</v>
      </c>
      <c r="S1099" s="34" t="str">
        <f>HYPERLINK("http://www.cnpol.ru/covers/21214.jpg","фото на сайте")</f>
        <v>фото на сайте</v>
      </c>
    </row>
    <row r="1100" spans="1:19" ht="50.1" customHeight="1">
      <c r="A1100" s="31" t="s">
        <v>43</v>
      </c>
      <c r="B1100" s="32" t="s">
        <v>4455</v>
      </c>
      <c r="C1100" s="31" t="s">
        <v>37</v>
      </c>
      <c r="D1100" s="31" t="s">
        <v>4456</v>
      </c>
      <c r="E1100" s="31" t="s">
        <v>4457</v>
      </c>
      <c r="F1100" s="31" t="s">
        <v>31</v>
      </c>
      <c r="G1100" s="31">
        <v>771</v>
      </c>
      <c r="H1100" s="31">
        <v>10</v>
      </c>
      <c r="I1100" s="31">
        <v>8</v>
      </c>
      <c r="J1100" s="31" t="s">
        <v>4458</v>
      </c>
      <c r="K1100" s="31" t="s">
        <v>33</v>
      </c>
      <c r="L1100" s="31" t="s">
        <v>34</v>
      </c>
      <c r="M1100" s="31">
        <v>223</v>
      </c>
      <c r="N1100" s="31">
        <v>2025</v>
      </c>
      <c r="O1100" s="31">
        <v>322</v>
      </c>
      <c r="P1100" s="31"/>
      <c r="Q1100" s="31"/>
      <c r="R1100" s="33" t="s">
        <v>4459</v>
      </c>
      <c r="S1100" s="34" t="str">
        <f>HYPERLINK("http://www.cnpol.ru/covers/21603.jpg","фото на сайте")</f>
        <v>фото на сайте</v>
      </c>
    </row>
    <row r="1101" spans="1:19" ht="50.1" customHeight="1">
      <c r="A1101" s="31"/>
      <c r="B1101" s="32" t="s">
        <v>4460</v>
      </c>
      <c r="C1101" s="31" t="s">
        <v>408</v>
      </c>
      <c r="D1101" s="31" t="s">
        <v>4461</v>
      </c>
      <c r="E1101" s="31" t="s">
        <v>4462</v>
      </c>
      <c r="F1101" s="31" t="s">
        <v>31</v>
      </c>
      <c r="G1101" s="31">
        <v>640</v>
      </c>
      <c r="H1101" s="31">
        <v>10</v>
      </c>
      <c r="I1101" s="31">
        <v>12</v>
      </c>
      <c r="J1101" s="31" t="s">
        <v>4463</v>
      </c>
      <c r="K1101" s="31" t="s">
        <v>33</v>
      </c>
      <c r="L1101" s="31" t="s">
        <v>34</v>
      </c>
      <c r="M1101" s="31">
        <v>190</v>
      </c>
      <c r="N1101" s="31">
        <v>2021</v>
      </c>
      <c r="O1101" s="31">
        <v>300</v>
      </c>
      <c r="P1101" s="31"/>
      <c r="Q1101" s="31"/>
      <c r="R1101" s="33"/>
      <c r="S1101" s="34" t="str">
        <f>HYPERLINK("http://www.cnpol.ru/covers/19861.jpg","фото на сайте")</f>
        <v>фото на сайте</v>
      </c>
    </row>
    <row r="1102" spans="1:19" ht="50.1" customHeight="1">
      <c r="A1102" s="31" t="s">
        <v>43</v>
      </c>
      <c r="B1102" s="32" t="s">
        <v>4464</v>
      </c>
      <c r="C1102" s="31" t="s">
        <v>1206</v>
      </c>
      <c r="D1102" s="31" t="s">
        <v>1207</v>
      </c>
      <c r="E1102" s="31" t="s">
        <v>4465</v>
      </c>
      <c r="F1102" s="31" t="s">
        <v>31</v>
      </c>
      <c r="G1102" s="31">
        <v>672</v>
      </c>
      <c r="H1102" s="31">
        <v>10</v>
      </c>
      <c r="I1102" s="31">
        <v>12</v>
      </c>
      <c r="J1102" s="31" t="s">
        <v>4466</v>
      </c>
      <c r="K1102" s="31" t="s">
        <v>739</v>
      </c>
      <c r="L1102" s="31" t="s">
        <v>34</v>
      </c>
      <c r="M1102" s="31">
        <v>284</v>
      </c>
      <c r="N1102" s="31">
        <v>2024</v>
      </c>
      <c r="O1102" s="31">
        <v>283</v>
      </c>
      <c r="P1102" s="31"/>
      <c r="Q1102" s="31"/>
      <c r="R1102" s="33" t="s">
        <v>4467</v>
      </c>
      <c r="S1102" s="34" t="str">
        <f>HYPERLINK("http://www.cnpol.ru/covers/21292.jpg","фото на сайте")</f>
        <v>фото на сайте</v>
      </c>
    </row>
    <row r="1103" spans="1:19" ht="50.1" customHeight="1">
      <c r="A1103" s="31"/>
      <c r="B1103" s="32" t="s">
        <v>4468</v>
      </c>
      <c r="C1103" s="31" t="s">
        <v>390</v>
      </c>
      <c r="D1103" s="31" t="s">
        <v>3095</v>
      </c>
      <c r="E1103" s="31" t="s">
        <v>4469</v>
      </c>
      <c r="F1103" s="31">
        <v>500</v>
      </c>
      <c r="G1103" s="31">
        <v>86</v>
      </c>
      <c r="H1103" s="31">
        <v>10</v>
      </c>
      <c r="I1103" s="31">
        <v>30</v>
      </c>
      <c r="J1103" s="31" t="s">
        <v>4470</v>
      </c>
      <c r="K1103" s="31" t="s">
        <v>123</v>
      </c>
      <c r="L1103" s="31" t="s">
        <v>56</v>
      </c>
      <c r="M1103" s="31">
        <v>158</v>
      </c>
      <c r="N1103" s="31">
        <v>2015</v>
      </c>
      <c r="O1103" s="31">
        <v>78</v>
      </c>
      <c r="P1103" s="31"/>
      <c r="Q1103" s="31"/>
      <c r="R1103" s="33"/>
      <c r="S1103" s="34" t="str">
        <f>HYPERLINK("http://www.cnpol.ru/covers/15875.jpg","фото на сайте")</f>
        <v>фото на сайте</v>
      </c>
    </row>
    <row r="1104" spans="1:19" ht="50.1" customHeight="1">
      <c r="A1104" s="31"/>
      <c r="B1104" s="32" t="s">
        <v>4471</v>
      </c>
      <c r="C1104" s="31" t="s">
        <v>390</v>
      </c>
      <c r="D1104" s="31" t="s">
        <v>1461</v>
      </c>
      <c r="E1104" s="31" t="s">
        <v>4472</v>
      </c>
      <c r="F1104" s="31">
        <v>1127</v>
      </c>
      <c r="G1104" s="31">
        <v>86</v>
      </c>
      <c r="H1104" s="31">
        <v>10</v>
      </c>
      <c r="I1104" s="31">
        <v>30</v>
      </c>
      <c r="J1104" s="31" t="s">
        <v>4473</v>
      </c>
      <c r="K1104" s="31" t="s">
        <v>123</v>
      </c>
      <c r="L1104" s="31" t="s">
        <v>56</v>
      </c>
      <c r="M1104" s="31">
        <v>159</v>
      </c>
      <c r="N1104" s="31">
        <v>2023</v>
      </c>
      <c r="O1104" s="31">
        <v>76</v>
      </c>
      <c r="P1104" s="31"/>
      <c r="Q1104" s="31"/>
      <c r="R1104" s="33" t="s">
        <v>4474</v>
      </c>
      <c r="S1104" s="34" t="str">
        <f>HYPERLINK("http://www.cnpol.ru/covers/20529.jpg","фото на сайте")</f>
        <v>фото на сайте</v>
      </c>
    </row>
    <row r="1105" spans="1:19" ht="50.1" customHeight="1">
      <c r="A1105" s="31"/>
      <c r="B1105" s="32" t="s">
        <v>4475</v>
      </c>
      <c r="C1105" s="31" t="s">
        <v>390</v>
      </c>
      <c r="D1105" s="31" t="s">
        <v>961</v>
      </c>
      <c r="E1105" s="31" t="s">
        <v>4476</v>
      </c>
      <c r="F1105" s="31">
        <v>735</v>
      </c>
      <c r="G1105" s="31">
        <v>86</v>
      </c>
      <c r="H1105" s="31">
        <v>10</v>
      </c>
      <c r="I1105" s="31">
        <v>30</v>
      </c>
      <c r="J1105" s="31" t="s">
        <v>4477</v>
      </c>
      <c r="K1105" s="31" t="s">
        <v>123</v>
      </c>
      <c r="L1105" s="31" t="s">
        <v>56</v>
      </c>
      <c r="M1105" s="31">
        <v>160</v>
      </c>
      <c r="N1105" s="31">
        <v>2017</v>
      </c>
      <c r="O1105" s="31">
        <v>76</v>
      </c>
      <c r="P1105" s="31"/>
      <c r="Q1105" s="31"/>
      <c r="R1105" s="33"/>
      <c r="S1105" s="34" t="str">
        <f>HYPERLINK("http://www.cnpol.ru/covers/17587.jpg","фото на сайте")</f>
        <v>фото на сайте</v>
      </c>
    </row>
    <row r="1106" spans="1:19" ht="50.1" customHeight="1">
      <c r="A1106" s="31"/>
      <c r="B1106" s="32" t="s">
        <v>4478</v>
      </c>
      <c r="C1106" s="31" t="s">
        <v>546</v>
      </c>
      <c r="D1106" s="31" t="s">
        <v>1628</v>
      </c>
      <c r="E1106" s="31" t="s">
        <v>4479</v>
      </c>
      <c r="F1106" s="31">
        <v>367</v>
      </c>
      <c r="G1106" s="31">
        <v>93</v>
      </c>
      <c r="H1106" s="31">
        <v>10</v>
      </c>
      <c r="I1106" s="31">
        <v>30</v>
      </c>
      <c r="J1106" s="31" t="s">
        <v>4480</v>
      </c>
      <c r="K1106" s="31" t="s">
        <v>123</v>
      </c>
      <c r="L1106" s="31" t="s">
        <v>56</v>
      </c>
      <c r="M1106" s="31">
        <v>160</v>
      </c>
      <c r="N1106" s="31">
        <v>2021</v>
      </c>
      <c r="O1106" s="31">
        <v>76</v>
      </c>
      <c r="P1106" s="31"/>
      <c r="Q1106" s="31"/>
      <c r="R1106" s="33"/>
      <c r="S1106" s="34" t="str">
        <f>HYPERLINK("http://www.cnpol.ru/covers/19527.jpg","фото на сайте")</f>
        <v>фото на сайте</v>
      </c>
    </row>
    <row r="1107" spans="1:19" ht="50.1" customHeight="1">
      <c r="A1107" s="31"/>
      <c r="B1107" s="32" t="s">
        <v>4481</v>
      </c>
      <c r="C1107" s="31" t="s">
        <v>1516</v>
      </c>
      <c r="D1107" s="31" t="s">
        <v>2106</v>
      </c>
      <c r="E1107" s="31" t="s">
        <v>4482</v>
      </c>
      <c r="F1107" s="31">
        <v>12</v>
      </c>
      <c r="G1107" s="31">
        <v>106</v>
      </c>
      <c r="H1107" s="31">
        <v>10</v>
      </c>
      <c r="I1107" s="31">
        <v>30</v>
      </c>
      <c r="J1107" s="31" t="s">
        <v>4483</v>
      </c>
      <c r="K1107" s="31" t="s">
        <v>123</v>
      </c>
      <c r="L1107" s="31" t="s">
        <v>56</v>
      </c>
      <c r="M1107" s="31">
        <v>160</v>
      </c>
      <c r="N1107" s="31">
        <v>2018</v>
      </c>
      <c r="O1107" s="31">
        <v>76</v>
      </c>
      <c r="P1107" s="31"/>
      <c r="Q1107" s="31"/>
      <c r="R1107" s="33"/>
      <c r="S1107" s="34" t="str">
        <f>HYPERLINK("http://www.cnpol.ru/covers/18336.jpg","фото на сайте")</f>
        <v>фото на сайте</v>
      </c>
    </row>
    <row r="1108" spans="1:19" ht="50.1" customHeight="1">
      <c r="A1108" s="31"/>
      <c r="B1108" s="32" t="s">
        <v>4484</v>
      </c>
      <c r="C1108" s="31" t="s">
        <v>390</v>
      </c>
      <c r="D1108" s="31" t="s">
        <v>1599</v>
      </c>
      <c r="E1108" s="31" t="s">
        <v>4485</v>
      </c>
      <c r="F1108" s="31">
        <v>828</v>
      </c>
      <c r="G1108" s="31">
        <v>86</v>
      </c>
      <c r="H1108" s="31">
        <v>10</v>
      </c>
      <c r="I1108" s="31">
        <v>30</v>
      </c>
      <c r="J1108" s="31" t="s">
        <v>4486</v>
      </c>
      <c r="K1108" s="31" t="s">
        <v>123</v>
      </c>
      <c r="L1108" s="31" t="s">
        <v>56</v>
      </c>
      <c r="M1108" s="31">
        <v>160</v>
      </c>
      <c r="N1108" s="31">
        <v>2018</v>
      </c>
      <c r="O1108" s="31">
        <v>76</v>
      </c>
      <c r="P1108" s="31"/>
      <c r="Q1108" s="31"/>
      <c r="R1108" s="33"/>
      <c r="S1108" s="34" t="str">
        <f>HYPERLINK("http://www.cnpol.ru/covers/18263.jpg","фото на сайте")</f>
        <v>фото на сайте</v>
      </c>
    </row>
    <row r="1109" spans="1:19" ht="50.1" customHeight="1">
      <c r="A1109" s="31"/>
      <c r="B1109" s="32" t="s">
        <v>4487</v>
      </c>
      <c r="C1109" s="31" t="s">
        <v>546</v>
      </c>
      <c r="D1109" s="31" t="s">
        <v>1850</v>
      </c>
      <c r="E1109" s="31" t="s">
        <v>4488</v>
      </c>
      <c r="F1109" s="31">
        <v>396</v>
      </c>
      <c r="G1109" s="31">
        <v>93</v>
      </c>
      <c r="H1109" s="31">
        <v>10</v>
      </c>
      <c r="I1109" s="31">
        <v>30</v>
      </c>
      <c r="J1109" s="31" t="s">
        <v>4489</v>
      </c>
      <c r="K1109" s="31" t="s">
        <v>123</v>
      </c>
      <c r="L1109" s="31" t="s">
        <v>56</v>
      </c>
      <c r="M1109" s="31">
        <v>159</v>
      </c>
      <c r="N1109" s="31">
        <v>2022</v>
      </c>
      <c r="O1109" s="31">
        <v>76</v>
      </c>
      <c r="P1109" s="31"/>
      <c r="Q1109" s="31"/>
      <c r="R1109" s="33"/>
      <c r="S1109" s="34" t="str">
        <f>HYPERLINK("http://www.cnpol.ru/covers/20050.jpg","фото на сайте")</f>
        <v>фото на сайте</v>
      </c>
    </row>
    <row r="1110" spans="1:19" ht="50.1" customHeight="1">
      <c r="A1110" s="31"/>
      <c r="B1110" s="32" t="s">
        <v>4490</v>
      </c>
      <c r="C1110" s="31" t="s">
        <v>390</v>
      </c>
      <c r="D1110" s="31" t="s">
        <v>4491</v>
      </c>
      <c r="E1110" s="31" t="s">
        <v>4492</v>
      </c>
      <c r="F1110" s="31">
        <v>1000</v>
      </c>
      <c r="G1110" s="31">
        <v>86</v>
      </c>
      <c r="H1110" s="31">
        <v>10</v>
      </c>
      <c r="I1110" s="31">
        <v>30</v>
      </c>
      <c r="J1110" s="31" t="s">
        <v>4493</v>
      </c>
      <c r="K1110" s="31" t="s">
        <v>123</v>
      </c>
      <c r="L1110" s="31" t="s">
        <v>56</v>
      </c>
      <c r="M1110" s="31">
        <v>160</v>
      </c>
      <c r="N1110" s="31">
        <v>2020</v>
      </c>
      <c r="O1110" s="31">
        <v>76</v>
      </c>
      <c r="P1110" s="31"/>
      <c r="Q1110" s="31"/>
      <c r="R1110" s="33"/>
      <c r="S1110" s="34" t="str">
        <f>HYPERLINK("http://www.cnpol.ru/covers/19368.jpg","фото на сайте")</f>
        <v>фото на сайте</v>
      </c>
    </row>
    <row r="1111" spans="1:19" ht="50.1" customHeight="1">
      <c r="A1111" s="31"/>
      <c r="B1111" s="32" t="s">
        <v>4494</v>
      </c>
      <c r="C1111" s="31" t="s">
        <v>1611</v>
      </c>
      <c r="D1111" s="31" t="s">
        <v>236</v>
      </c>
      <c r="E1111" s="31" t="s">
        <v>4495</v>
      </c>
      <c r="F1111" s="31" t="s">
        <v>31</v>
      </c>
      <c r="G1111" s="31">
        <v>144</v>
      </c>
      <c r="H1111" s="31">
        <v>10</v>
      </c>
      <c r="I1111" s="31">
        <v>32</v>
      </c>
      <c r="J1111" s="31" t="s">
        <v>4496</v>
      </c>
      <c r="K1111" s="31" t="s">
        <v>130</v>
      </c>
      <c r="L1111" s="31" t="s">
        <v>56</v>
      </c>
      <c r="M1111" s="31">
        <v>190</v>
      </c>
      <c r="N1111" s="31">
        <v>2014</v>
      </c>
      <c r="O1111" s="31">
        <v>130</v>
      </c>
      <c r="P1111" s="31"/>
      <c r="Q1111" s="31"/>
      <c r="R1111" s="33"/>
      <c r="S1111" s="34" t="str">
        <f>HYPERLINK("http://www.cnpol.ru/covers/15109.jpg","фото на сайте")</f>
        <v>фото на сайте</v>
      </c>
    </row>
    <row r="1112" spans="1:19" ht="50.1" customHeight="1">
      <c r="A1112" s="31"/>
      <c r="B1112" s="32" t="s">
        <v>4497</v>
      </c>
      <c r="C1112" s="31" t="s">
        <v>302</v>
      </c>
      <c r="D1112" s="31" t="s">
        <v>4498</v>
      </c>
      <c r="E1112" s="31" t="s">
        <v>4499</v>
      </c>
      <c r="F1112" s="31" t="s">
        <v>31</v>
      </c>
      <c r="G1112" s="31">
        <v>917</v>
      </c>
      <c r="H1112" s="31">
        <v>10</v>
      </c>
      <c r="I1112" s="31">
        <v>16</v>
      </c>
      <c r="J1112" s="31" t="s">
        <v>4500</v>
      </c>
      <c r="K1112" s="31" t="s">
        <v>41</v>
      </c>
      <c r="L1112" s="31" t="s">
        <v>304</v>
      </c>
      <c r="M1112" s="31">
        <v>288</v>
      </c>
      <c r="N1112" s="31">
        <v>2018</v>
      </c>
      <c r="O1112" s="31">
        <v>392</v>
      </c>
      <c r="P1112" s="31"/>
      <c r="Q1112" s="31"/>
      <c r="R1112" s="33"/>
      <c r="S1112" s="34" t="str">
        <f>HYPERLINK("http://www.cnpol.ru/covers/17910.jpg","фото на сайте")</f>
        <v>фото на сайте</v>
      </c>
    </row>
    <row r="1113" spans="1:19" ht="50.1" customHeight="1">
      <c r="A1113" s="31"/>
      <c r="B1113" s="32" t="s">
        <v>4501</v>
      </c>
      <c r="C1113" s="31" t="s">
        <v>546</v>
      </c>
      <c r="D1113" s="31" t="s">
        <v>4002</v>
      </c>
      <c r="E1113" s="31" t="s">
        <v>4502</v>
      </c>
      <c r="F1113" s="31">
        <v>375</v>
      </c>
      <c r="G1113" s="31">
        <v>93</v>
      </c>
      <c r="H1113" s="31">
        <v>10</v>
      </c>
      <c r="I1113" s="31">
        <v>30</v>
      </c>
      <c r="J1113" s="31" t="s">
        <v>4503</v>
      </c>
      <c r="K1113" s="31" t="s">
        <v>123</v>
      </c>
      <c r="L1113" s="31" t="s">
        <v>56</v>
      </c>
      <c r="M1113" s="31">
        <v>160</v>
      </c>
      <c r="N1113" s="31">
        <v>2021</v>
      </c>
      <c r="O1113" s="31">
        <v>76</v>
      </c>
      <c r="P1113" s="31"/>
      <c r="Q1113" s="31"/>
      <c r="R1113" s="33"/>
      <c r="S1113" s="34" t="str">
        <f>HYPERLINK("http://www.cnpol.ru/covers/19646.jpg","фото на сайте")</f>
        <v>фото на сайте</v>
      </c>
    </row>
    <row r="1114" spans="1:19" ht="50.1" customHeight="1">
      <c r="A1114" s="31"/>
      <c r="B1114" s="32" t="s">
        <v>4504</v>
      </c>
      <c r="C1114" s="31" t="s">
        <v>3229</v>
      </c>
      <c r="D1114" s="31" t="s">
        <v>4505</v>
      </c>
      <c r="E1114" s="31" t="s">
        <v>4506</v>
      </c>
      <c r="F1114" s="31" t="s">
        <v>31</v>
      </c>
      <c r="G1114" s="31">
        <v>593</v>
      </c>
      <c r="H1114" s="31">
        <v>10</v>
      </c>
      <c r="I1114" s="31">
        <v>20</v>
      </c>
      <c r="J1114" s="31" t="s">
        <v>4507</v>
      </c>
      <c r="K1114" s="31" t="s">
        <v>158</v>
      </c>
      <c r="L1114" s="31" t="s">
        <v>34</v>
      </c>
      <c r="M1114" s="31">
        <v>223</v>
      </c>
      <c r="N1114" s="31">
        <v>2018</v>
      </c>
      <c r="O1114" s="31">
        <v>264</v>
      </c>
      <c r="P1114" s="31"/>
      <c r="Q1114" s="31"/>
      <c r="R1114" s="33"/>
      <c r="S1114" s="34" t="str">
        <f>HYPERLINK("http://www.cnpol.ru/covers/18109.jpg","фото на сайте")</f>
        <v>фото на сайте</v>
      </c>
    </row>
    <row r="1115" spans="1:19" ht="50.1" customHeight="1">
      <c r="A1115" s="31"/>
      <c r="B1115" s="32" t="s">
        <v>4508</v>
      </c>
      <c r="C1115" s="31" t="s">
        <v>390</v>
      </c>
      <c r="D1115" s="31" t="s">
        <v>1638</v>
      </c>
      <c r="E1115" s="31" t="s">
        <v>4509</v>
      </c>
      <c r="F1115" s="31">
        <v>526</v>
      </c>
      <c r="G1115" s="31">
        <v>86</v>
      </c>
      <c r="H1115" s="31">
        <v>10</v>
      </c>
      <c r="I1115" s="31">
        <v>30</v>
      </c>
      <c r="J1115" s="31" t="s">
        <v>4510</v>
      </c>
      <c r="K1115" s="31" t="s">
        <v>123</v>
      </c>
      <c r="L1115" s="31" t="s">
        <v>56</v>
      </c>
      <c r="M1115" s="31">
        <v>158</v>
      </c>
      <c r="N1115" s="31">
        <v>2015</v>
      </c>
      <c r="O1115" s="31">
        <v>76</v>
      </c>
      <c r="P1115" s="31"/>
      <c r="Q1115" s="31"/>
      <c r="R1115" s="33"/>
      <c r="S1115" s="34" t="str">
        <f>HYPERLINK("http://www.cnpol.ru/covers/16064.jpg","фото на сайте")</f>
        <v>фото на сайте</v>
      </c>
    </row>
    <row r="1116" spans="1:19" ht="50.1" customHeight="1">
      <c r="A1116" s="31"/>
      <c r="B1116" s="32" t="s">
        <v>4511</v>
      </c>
      <c r="C1116" s="31" t="s">
        <v>390</v>
      </c>
      <c r="D1116" s="31" t="s">
        <v>961</v>
      </c>
      <c r="E1116" s="31" t="s">
        <v>4512</v>
      </c>
      <c r="F1116" s="31">
        <v>1066</v>
      </c>
      <c r="G1116" s="31">
        <v>86</v>
      </c>
      <c r="H1116" s="31">
        <v>10</v>
      </c>
      <c r="I1116" s="31">
        <v>30</v>
      </c>
      <c r="J1116" s="31" t="s">
        <v>4513</v>
      </c>
      <c r="K1116" s="31" t="s">
        <v>123</v>
      </c>
      <c r="L1116" s="31" t="s">
        <v>56</v>
      </c>
      <c r="M1116" s="31">
        <v>159</v>
      </c>
      <c r="N1116" s="31">
        <v>2021</v>
      </c>
      <c r="O1116" s="31">
        <v>76</v>
      </c>
      <c r="P1116" s="31"/>
      <c r="Q1116" s="31"/>
      <c r="R1116" s="33"/>
      <c r="S1116" s="34" t="str">
        <f>HYPERLINK("http://www.cnpol.ru/covers/19945.jpg","фото на сайте")</f>
        <v>фото на сайте</v>
      </c>
    </row>
    <row r="1117" spans="1:19" ht="50.1" customHeight="1">
      <c r="A1117" s="31"/>
      <c r="B1117" s="32" t="s">
        <v>4514</v>
      </c>
      <c r="C1117" s="31" t="s">
        <v>390</v>
      </c>
      <c r="D1117" s="31" t="s">
        <v>2106</v>
      </c>
      <c r="E1117" s="31" t="s">
        <v>4515</v>
      </c>
      <c r="F1117" s="31">
        <v>1124</v>
      </c>
      <c r="G1117" s="31">
        <v>86</v>
      </c>
      <c r="H1117" s="31">
        <v>10</v>
      </c>
      <c r="I1117" s="31">
        <v>30</v>
      </c>
      <c r="J1117" s="31" t="s">
        <v>4516</v>
      </c>
      <c r="K1117" s="31" t="s">
        <v>123</v>
      </c>
      <c r="L1117" s="31" t="s">
        <v>56</v>
      </c>
      <c r="M1117" s="31">
        <v>159</v>
      </c>
      <c r="N1117" s="31">
        <v>2023</v>
      </c>
      <c r="O1117" s="31">
        <v>76</v>
      </c>
      <c r="P1117" s="31"/>
      <c r="Q1117" s="31"/>
      <c r="R1117" s="33" t="s">
        <v>4517</v>
      </c>
      <c r="S1117" s="34" t="str">
        <f>HYPERLINK("http://www.cnpol.ru/covers/20508.jpg","фото на сайте")</f>
        <v>фото на сайте</v>
      </c>
    </row>
    <row r="1118" spans="1:19" ht="50.1" customHeight="1">
      <c r="A1118" s="31"/>
      <c r="B1118" s="32" t="s">
        <v>4518</v>
      </c>
      <c r="C1118" s="31" t="s">
        <v>390</v>
      </c>
      <c r="D1118" s="31" t="s">
        <v>4519</v>
      </c>
      <c r="E1118" s="31" t="s">
        <v>4520</v>
      </c>
      <c r="F1118" s="31">
        <v>1156</v>
      </c>
      <c r="G1118" s="31">
        <v>86</v>
      </c>
      <c r="H1118" s="31">
        <v>10</v>
      </c>
      <c r="I1118" s="31">
        <v>30</v>
      </c>
      <c r="J1118" s="31" t="s">
        <v>4521</v>
      </c>
      <c r="K1118" s="31" t="s">
        <v>123</v>
      </c>
      <c r="L1118" s="31" t="s">
        <v>56</v>
      </c>
      <c r="M1118" s="31">
        <v>159</v>
      </c>
      <c r="N1118" s="31">
        <v>2023</v>
      </c>
      <c r="O1118" s="31">
        <v>76</v>
      </c>
      <c r="P1118" s="31"/>
      <c r="Q1118" s="31"/>
      <c r="R1118" s="33" t="s">
        <v>4522</v>
      </c>
      <c r="S1118" s="34" t="str">
        <f>HYPERLINK("http://www.cnpol.ru/covers/20892.jpg","фото на сайте")</f>
        <v>фото на сайте</v>
      </c>
    </row>
    <row r="1119" spans="1:19" ht="50.1" customHeight="1">
      <c r="A1119" s="31"/>
      <c r="B1119" s="32" t="s">
        <v>4523</v>
      </c>
      <c r="C1119" s="31" t="s">
        <v>413</v>
      </c>
      <c r="D1119" s="31" t="s">
        <v>4524</v>
      </c>
      <c r="E1119" s="31" t="s">
        <v>4525</v>
      </c>
      <c r="F1119" s="31">
        <v>85</v>
      </c>
      <c r="G1119" s="31">
        <v>117</v>
      </c>
      <c r="H1119" s="31">
        <v>10</v>
      </c>
      <c r="I1119" s="31">
        <v>36</v>
      </c>
      <c r="J1119" s="31" t="s">
        <v>4526</v>
      </c>
      <c r="K1119" s="31" t="s">
        <v>123</v>
      </c>
      <c r="L1119" s="31" t="s">
        <v>56</v>
      </c>
      <c r="M1119" s="31">
        <v>192</v>
      </c>
      <c r="N1119" s="31">
        <v>2016</v>
      </c>
      <c r="O1119" s="31">
        <v>90</v>
      </c>
      <c r="P1119" s="31"/>
      <c r="Q1119" s="31"/>
      <c r="R1119" s="33"/>
      <c r="S1119" s="34" t="str">
        <f>HYPERLINK("http://www.cnpol.ru/covers/16459.jpg","фото на сайте")</f>
        <v>фото на сайте</v>
      </c>
    </row>
    <row r="1120" spans="1:19" ht="50.1" customHeight="1">
      <c r="A1120" s="31"/>
      <c r="B1120" s="32" t="s">
        <v>4527</v>
      </c>
      <c r="C1120" s="31" t="s">
        <v>390</v>
      </c>
      <c r="D1120" s="31" t="s">
        <v>4374</v>
      </c>
      <c r="E1120" s="31" t="s">
        <v>4528</v>
      </c>
      <c r="F1120" s="31">
        <v>645</v>
      </c>
      <c r="G1120" s="31">
        <v>86</v>
      </c>
      <c r="H1120" s="31">
        <v>10</v>
      </c>
      <c r="I1120" s="31">
        <v>30</v>
      </c>
      <c r="J1120" s="31" t="s">
        <v>4529</v>
      </c>
      <c r="K1120" s="31" t="s">
        <v>123</v>
      </c>
      <c r="L1120" s="31" t="s">
        <v>56</v>
      </c>
      <c r="M1120" s="31">
        <v>160</v>
      </c>
      <c r="N1120" s="31">
        <v>2016</v>
      </c>
      <c r="O1120" s="31">
        <v>76</v>
      </c>
      <c r="P1120" s="31"/>
      <c r="Q1120" s="31"/>
      <c r="R1120" s="33"/>
      <c r="S1120" s="34" t="str">
        <f>HYPERLINK("http://www.cnpol.ru/covers/16964.jpg","фото на сайте")</f>
        <v>фото на сайте</v>
      </c>
    </row>
    <row r="1121" spans="1:19" ht="50.1" customHeight="1">
      <c r="A1121" s="31"/>
      <c r="B1121" s="32" t="s">
        <v>4530</v>
      </c>
      <c r="C1121" s="31" t="s">
        <v>418</v>
      </c>
      <c r="D1121" s="31" t="s">
        <v>4531</v>
      </c>
      <c r="E1121" s="31" t="s">
        <v>4532</v>
      </c>
      <c r="F1121" s="31">
        <v>123</v>
      </c>
      <c r="G1121" s="31">
        <v>153</v>
      </c>
      <c r="H1121" s="31">
        <v>10</v>
      </c>
      <c r="I1121" s="31">
        <v>16</v>
      </c>
      <c r="J1121" s="31" t="s">
        <v>4533</v>
      </c>
      <c r="K1121" s="31" t="s">
        <v>123</v>
      </c>
      <c r="L1121" s="31" t="s">
        <v>56</v>
      </c>
      <c r="M1121" s="31">
        <v>255</v>
      </c>
      <c r="N1121" s="31">
        <v>2023</v>
      </c>
      <c r="O1121" s="31">
        <v>270</v>
      </c>
      <c r="P1121" s="31"/>
      <c r="Q1121" s="31"/>
      <c r="R1121" s="33" t="s">
        <v>4534</v>
      </c>
      <c r="S1121" s="34" t="str">
        <f>HYPERLINK("http://www.cnpol.ru/covers/20531.jpg","фото на сайте")</f>
        <v>фото на сайте</v>
      </c>
    </row>
    <row r="1122" spans="1:19" ht="50.1" customHeight="1">
      <c r="A1122" s="31"/>
      <c r="B1122" s="32" t="s">
        <v>4535</v>
      </c>
      <c r="C1122" s="31" t="s">
        <v>413</v>
      </c>
      <c r="D1122" s="31" t="s">
        <v>4536</v>
      </c>
      <c r="E1122" s="31" t="s">
        <v>4537</v>
      </c>
      <c r="F1122" s="31">
        <v>59</v>
      </c>
      <c r="G1122" s="31">
        <v>117</v>
      </c>
      <c r="H1122" s="31">
        <v>10</v>
      </c>
      <c r="I1122" s="31">
        <v>36</v>
      </c>
      <c r="J1122" s="31" t="s">
        <v>4538</v>
      </c>
      <c r="K1122" s="31" t="s">
        <v>123</v>
      </c>
      <c r="L1122" s="31" t="s">
        <v>56</v>
      </c>
      <c r="M1122" s="31">
        <v>190</v>
      </c>
      <c r="N1122" s="31">
        <v>2015</v>
      </c>
      <c r="O1122" s="31">
        <v>90</v>
      </c>
      <c r="P1122" s="31"/>
      <c r="Q1122" s="31"/>
      <c r="R1122" s="33"/>
      <c r="S1122" s="34" t="str">
        <f>HYPERLINK("http://www.cnpol.ru/covers/16054.jpg","фото на сайте")</f>
        <v>фото на сайте</v>
      </c>
    </row>
    <row r="1123" spans="1:19" ht="50.1" customHeight="1">
      <c r="A1123" s="31"/>
      <c r="B1123" s="32" t="s">
        <v>4539</v>
      </c>
      <c r="C1123" s="31" t="s">
        <v>546</v>
      </c>
      <c r="D1123" s="31" t="s">
        <v>1846</v>
      </c>
      <c r="E1123" s="31" t="s">
        <v>4540</v>
      </c>
      <c r="F1123" s="31">
        <v>294</v>
      </c>
      <c r="G1123" s="31">
        <v>93</v>
      </c>
      <c r="H1123" s="31">
        <v>10</v>
      </c>
      <c r="I1123" s="31">
        <v>30</v>
      </c>
      <c r="J1123" s="31" t="s">
        <v>4541</v>
      </c>
      <c r="K1123" s="31" t="s">
        <v>123</v>
      </c>
      <c r="L1123" s="31" t="s">
        <v>56</v>
      </c>
      <c r="M1123" s="31">
        <v>160</v>
      </c>
      <c r="N1123" s="31">
        <v>2019</v>
      </c>
      <c r="O1123" s="31">
        <v>76</v>
      </c>
      <c r="P1123" s="31"/>
      <c r="Q1123" s="31"/>
      <c r="R1123" s="33"/>
      <c r="S1123" s="34" t="str">
        <f>HYPERLINK("http://www.cnpol.ru/covers/18500.jpg","фото на сайте")</f>
        <v>фото на сайте</v>
      </c>
    </row>
    <row r="1124" spans="1:19" ht="50.1" customHeight="1">
      <c r="A1124" s="31" t="s">
        <v>43</v>
      </c>
      <c r="B1124" s="32" t="s">
        <v>4542</v>
      </c>
      <c r="C1124" s="31" t="s">
        <v>390</v>
      </c>
      <c r="D1124" s="31" t="s">
        <v>4543</v>
      </c>
      <c r="E1124" s="31" t="s">
        <v>4544</v>
      </c>
      <c r="F1124" s="31">
        <v>1184</v>
      </c>
      <c r="G1124" s="31">
        <v>86</v>
      </c>
      <c r="H1124" s="31">
        <v>10</v>
      </c>
      <c r="I1124" s="31">
        <v>30</v>
      </c>
      <c r="J1124" s="31" t="s">
        <v>4545</v>
      </c>
      <c r="K1124" s="31" t="s">
        <v>123</v>
      </c>
      <c r="L1124" s="31" t="s">
        <v>56</v>
      </c>
      <c r="M1124" s="31">
        <v>159</v>
      </c>
      <c r="N1124" s="31">
        <v>2024</v>
      </c>
      <c r="O1124" s="31">
        <v>76</v>
      </c>
      <c r="P1124" s="31"/>
      <c r="Q1124" s="31"/>
      <c r="R1124" s="33" t="s">
        <v>4546</v>
      </c>
      <c r="S1124" s="34" t="str">
        <f>HYPERLINK("http://www.cnpol.ru/covers/21489.jpg","фото на сайте")</f>
        <v>фото на сайте</v>
      </c>
    </row>
    <row r="1125" spans="1:19" ht="50.1" customHeight="1">
      <c r="A1125" s="31"/>
      <c r="B1125" s="32" t="s">
        <v>4547</v>
      </c>
      <c r="C1125" s="31" t="s">
        <v>546</v>
      </c>
      <c r="D1125" s="31" t="s">
        <v>1581</v>
      </c>
      <c r="E1125" s="31" t="s">
        <v>4548</v>
      </c>
      <c r="F1125" s="31">
        <v>144</v>
      </c>
      <c r="G1125" s="31">
        <v>93</v>
      </c>
      <c r="H1125" s="31">
        <v>10</v>
      </c>
      <c r="I1125" s="31">
        <v>30</v>
      </c>
      <c r="J1125" s="31" t="s">
        <v>4549</v>
      </c>
      <c r="K1125" s="31" t="s">
        <v>123</v>
      </c>
      <c r="L1125" s="31" t="s">
        <v>56</v>
      </c>
      <c r="M1125" s="31">
        <v>158</v>
      </c>
      <c r="N1125" s="31">
        <v>2015</v>
      </c>
      <c r="O1125" s="31">
        <v>76</v>
      </c>
      <c r="P1125" s="31"/>
      <c r="Q1125" s="31"/>
      <c r="R1125" s="33"/>
      <c r="S1125" s="34" t="str">
        <f>HYPERLINK("http://www.cnpol.ru/covers/16358.jpg","фото на сайте")</f>
        <v>фото на сайте</v>
      </c>
    </row>
    <row r="1126" spans="1:19" ht="50.1" customHeight="1">
      <c r="A1126" s="31"/>
      <c r="B1126" s="32" t="s">
        <v>4550</v>
      </c>
      <c r="C1126" s="31" t="s">
        <v>528</v>
      </c>
      <c r="D1126" s="31" t="s">
        <v>529</v>
      </c>
      <c r="E1126" s="31" t="s">
        <v>4551</v>
      </c>
      <c r="F1126" s="31" t="s">
        <v>31</v>
      </c>
      <c r="G1126" s="31">
        <v>137</v>
      </c>
      <c r="H1126" s="31">
        <v>10</v>
      </c>
      <c r="I1126" s="31">
        <v>30</v>
      </c>
      <c r="J1126" s="31" t="s">
        <v>4552</v>
      </c>
      <c r="K1126" s="31" t="s">
        <v>55</v>
      </c>
      <c r="L1126" s="31" t="s">
        <v>56</v>
      </c>
      <c r="M1126" s="31">
        <v>160</v>
      </c>
      <c r="N1126" s="31">
        <v>2021</v>
      </c>
      <c r="O1126" s="31">
        <v>68</v>
      </c>
      <c r="P1126" s="31"/>
      <c r="Q1126" s="31"/>
      <c r="R1126" s="33"/>
      <c r="S1126" s="34" t="str">
        <f>HYPERLINK("http://www.cnpol.ru/covers/19702.jpg","фото на сайте")</f>
        <v>фото на сайте</v>
      </c>
    </row>
    <row r="1127" spans="1:19" ht="50.1" customHeight="1">
      <c r="A1127" s="31"/>
      <c r="B1127" s="32" t="s">
        <v>4553</v>
      </c>
      <c r="C1127" s="31" t="s">
        <v>464</v>
      </c>
      <c r="D1127" s="31" t="s">
        <v>4554</v>
      </c>
      <c r="E1127" s="31" t="s">
        <v>4555</v>
      </c>
      <c r="F1127" s="31" t="s">
        <v>31</v>
      </c>
      <c r="G1127" s="31">
        <v>137</v>
      </c>
      <c r="H1127" s="31">
        <v>10</v>
      </c>
      <c r="I1127" s="31">
        <v>50</v>
      </c>
      <c r="J1127" s="31" t="s">
        <v>4556</v>
      </c>
      <c r="K1127" s="31" t="s">
        <v>468</v>
      </c>
      <c r="L1127" s="31" t="s">
        <v>56</v>
      </c>
      <c r="M1127" s="31">
        <v>18</v>
      </c>
      <c r="N1127" s="31">
        <v>2005</v>
      </c>
      <c r="O1127" s="31">
        <v>88</v>
      </c>
      <c r="P1127" s="31"/>
      <c r="Q1127" s="31"/>
      <c r="R1127" s="33"/>
      <c r="S1127" s="34" t="str">
        <f>HYPERLINK("http://www.cnpol.ru/covers/5727.jpg","фото на сайте")</f>
        <v>фото на сайте</v>
      </c>
    </row>
    <row r="1128" spans="1:19" ht="50.1" customHeight="1">
      <c r="A1128" s="31"/>
      <c r="B1128" s="32" t="s">
        <v>4557</v>
      </c>
      <c r="C1128" s="31" t="s">
        <v>464</v>
      </c>
      <c r="D1128" s="31" t="s">
        <v>465</v>
      </c>
      <c r="E1128" s="31" t="s">
        <v>4558</v>
      </c>
      <c r="F1128" s="31" t="s">
        <v>31</v>
      </c>
      <c r="G1128" s="31">
        <v>119</v>
      </c>
      <c r="H1128" s="31">
        <v>10</v>
      </c>
      <c r="I1128" s="31">
        <v>150</v>
      </c>
      <c r="J1128" s="31" t="s">
        <v>4559</v>
      </c>
      <c r="K1128" s="31" t="s">
        <v>3186</v>
      </c>
      <c r="L1128" s="31" t="s">
        <v>1726</v>
      </c>
      <c r="M1128" s="31">
        <v>10</v>
      </c>
      <c r="N1128" s="31">
        <v>2005</v>
      </c>
      <c r="O1128" s="31">
        <v>34</v>
      </c>
      <c r="P1128" s="31"/>
      <c r="Q1128" s="31"/>
      <c r="R1128" s="33"/>
      <c r="S1128" s="34" t="str">
        <f>HYPERLINK("http://www.cnpol.ru/covers/5866.jpg","фото на сайте")</f>
        <v>фото на сайте</v>
      </c>
    </row>
    <row r="1129" spans="1:19" ht="50.1" customHeight="1">
      <c r="A1129" s="31" t="s">
        <v>43</v>
      </c>
      <c r="B1129" s="32" t="s">
        <v>4560</v>
      </c>
      <c r="C1129" s="31" t="s">
        <v>503</v>
      </c>
      <c r="D1129" s="31" t="s">
        <v>504</v>
      </c>
      <c r="E1129" s="31" t="s">
        <v>4561</v>
      </c>
      <c r="F1129" s="31" t="s">
        <v>31</v>
      </c>
      <c r="G1129" s="35">
        <v>1327</v>
      </c>
      <c r="H1129" s="31">
        <v>10</v>
      </c>
      <c r="I1129" s="31">
        <v>5</v>
      </c>
      <c r="J1129" s="31" t="s">
        <v>4562</v>
      </c>
      <c r="K1129" s="31" t="s">
        <v>33</v>
      </c>
      <c r="L1129" s="31" t="s">
        <v>34</v>
      </c>
      <c r="M1129" s="31">
        <v>511</v>
      </c>
      <c r="N1129" s="31">
        <v>2025</v>
      </c>
      <c r="O1129" s="31">
        <v>477</v>
      </c>
      <c r="P1129" s="31"/>
      <c r="Q1129" s="31"/>
      <c r="R1129" s="33" t="s">
        <v>4563</v>
      </c>
      <c r="S1129" s="34" t="str">
        <f>HYPERLINK("http://www.cnpol.ru/covers/21652.jpg","фото на сайте")</f>
        <v>фото на сайте</v>
      </c>
    </row>
    <row r="1130" spans="1:19" ht="50.1" customHeight="1">
      <c r="A1130" s="31" t="s">
        <v>35</v>
      </c>
      <c r="B1130" s="32" t="s">
        <v>4564</v>
      </c>
      <c r="C1130" s="31" t="s">
        <v>143</v>
      </c>
      <c r="D1130" s="31" t="s">
        <v>4565</v>
      </c>
      <c r="E1130" s="31" t="s">
        <v>4566</v>
      </c>
      <c r="F1130" s="31" t="s">
        <v>31</v>
      </c>
      <c r="G1130" s="35">
        <v>1076</v>
      </c>
      <c r="H1130" s="31">
        <v>10</v>
      </c>
      <c r="I1130" s="31">
        <v>6</v>
      </c>
      <c r="J1130" s="31" t="s">
        <v>4567</v>
      </c>
      <c r="K1130" s="31" t="s">
        <v>33</v>
      </c>
      <c r="L1130" s="31" t="s">
        <v>34</v>
      </c>
      <c r="M1130" s="31">
        <v>414</v>
      </c>
      <c r="N1130" s="31">
        <v>2025</v>
      </c>
      <c r="O1130" s="31" t="s">
        <v>220</v>
      </c>
      <c r="P1130" s="31"/>
      <c r="Q1130" s="31"/>
      <c r="R1130" s="33" t="s">
        <v>4568</v>
      </c>
      <c r="S1130" s="34" t="str">
        <f>HYPERLINK("http://www.cnpol.ru/covers/21808.jpg","фото на сайте")</f>
        <v>фото на сайте</v>
      </c>
    </row>
    <row r="1131" spans="1:19" ht="50.1" customHeight="1">
      <c r="A1131" s="31"/>
      <c r="B1131" s="32" t="s">
        <v>4569</v>
      </c>
      <c r="C1131" s="31" t="s">
        <v>390</v>
      </c>
      <c r="D1131" s="31" t="s">
        <v>4570</v>
      </c>
      <c r="E1131" s="31" t="s">
        <v>4571</v>
      </c>
      <c r="F1131" s="31">
        <v>458</v>
      </c>
      <c r="G1131" s="31">
        <v>86</v>
      </c>
      <c r="H1131" s="31">
        <v>10</v>
      </c>
      <c r="I1131" s="31">
        <v>30</v>
      </c>
      <c r="J1131" s="31" t="s">
        <v>4572</v>
      </c>
      <c r="K1131" s="31" t="s">
        <v>123</v>
      </c>
      <c r="L1131" s="31" t="s">
        <v>56</v>
      </c>
      <c r="M1131" s="31">
        <v>158</v>
      </c>
      <c r="N1131" s="31">
        <v>2014</v>
      </c>
      <c r="O1131" s="31">
        <v>76</v>
      </c>
      <c r="P1131" s="31"/>
      <c r="Q1131" s="31"/>
      <c r="R1131" s="33"/>
      <c r="S1131" s="34" t="str">
        <f>HYPERLINK("http://www.cnpol.ru/covers/15526.jpg","фото на сайте")</f>
        <v>фото на сайте</v>
      </c>
    </row>
    <row r="1132" spans="1:19" ht="50.1" customHeight="1">
      <c r="A1132" s="31"/>
      <c r="B1132" s="32" t="s">
        <v>4573</v>
      </c>
      <c r="C1132" s="31" t="s">
        <v>37</v>
      </c>
      <c r="D1132" s="31" t="s">
        <v>4574</v>
      </c>
      <c r="E1132" s="31" t="s">
        <v>4575</v>
      </c>
      <c r="F1132" s="31" t="s">
        <v>31</v>
      </c>
      <c r="G1132" s="31">
        <v>746</v>
      </c>
      <c r="H1132" s="31">
        <v>10</v>
      </c>
      <c r="I1132" s="31">
        <v>14</v>
      </c>
      <c r="J1132" s="31" t="s">
        <v>4576</v>
      </c>
      <c r="K1132" s="31" t="s">
        <v>33</v>
      </c>
      <c r="L1132" s="31" t="s">
        <v>34</v>
      </c>
      <c r="M1132" s="31">
        <v>416</v>
      </c>
      <c r="N1132" s="31">
        <v>2015</v>
      </c>
      <c r="O1132" s="31">
        <v>438</v>
      </c>
      <c r="P1132" s="31"/>
      <c r="Q1132" s="31"/>
      <c r="R1132" s="33"/>
      <c r="S1132" s="34" t="str">
        <f>HYPERLINK("http://www.cnpol.ru/covers/15930.jpg","фото на сайте")</f>
        <v>фото на сайте</v>
      </c>
    </row>
    <row r="1133" spans="1:19" ht="50.1" customHeight="1">
      <c r="A1133" s="31"/>
      <c r="B1133" s="32" t="s">
        <v>4577</v>
      </c>
      <c r="C1133" s="31" t="s">
        <v>854</v>
      </c>
      <c r="D1133" s="31" t="s">
        <v>4578</v>
      </c>
      <c r="E1133" s="31" t="s">
        <v>4579</v>
      </c>
      <c r="F1133" s="31" t="s">
        <v>31</v>
      </c>
      <c r="G1133" s="31">
        <v>154</v>
      </c>
      <c r="H1133" s="31">
        <v>10</v>
      </c>
      <c r="I1133" s="31">
        <v>24</v>
      </c>
      <c r="J1133" s="31" t="s">
        <v>4580</v>
      </c>
      <c r="K1133" s="31" t="s">
        <v>55</v>
      </c>
      <c r="L1133" s="31" t="s">
        <v>56</v>
      </c>
      <c r="M1133" s="31">
        <v>318</v>
      </c>
      <c r="N1133" s="31">
        <v>2008</v>
      </c>
      <c r="O1133" s="31">
        <v>136</v>
      </c>
      <c r="P1133" s="31"/>
      <c r="Q1133" s="31"/>
      <c r="R1133" s="33"/>
      <c r="S1133" s="34" t="str">
        <f>HYPERLINK("http://www.cnpol.ru/covers/8711.jpg","фото на сайте")</f>
        <v>фото на сайте</v>
      </c>
    </row>
    <row r="1134" spans="1:19" ht="50.1" customHeight="1">
      <c r="A1134" s="31"/>
      <c r="B1134" s="32" t="s">
        <v>4581</v>
      </c>
      <c r="C1134" s="31" t="s">
        <v>390</v>
      </c>
      <c r="D1134" s="31" t="s">
        <v>3610</v>
      </c>
      <c r="E1134" s="31" t="s">
        <v>4582</v>
      </c>
      <c r="F1134" s="31">
        <v>811</v>
      </c>
      <c r="G1134" s="31">
        <v>86</v>
      </c>
      <c r="H1134" s="31">
        <v>10</v>
      </c>
      <c r="I1134" s="31">
        <v>30</v>
      </c>
      <c r="J1134" s="31" t="s">
        <v>4583</v>
      </c>
      <c r="K1134" s="31" t="s">
        <v>123</v>
      </c>
      <c r="L1134" s="31" t="s">
        <v>56</v>
      </c>
      <c r="M1134" s="31">
        <v>160</v>
      </c>
      <c r="N1134" s="31">
        <v>2018</v>
      </c>
      <c r="O1134" s="31">
        <v>76</v>
      </c>
      <c r="P1134" s="31"/>
      <c r="Q1134" s="31"/>
      <c r="R1134" s="33"/>
      <c r="S1134" s="34" t="str">
        <f>HYPERLINK("http://www.cnpol.ru/covers/18155.jpg","фото на сайте")</f>
        <v>фото на сайте</v>
      </c>
    </row>
    <row r="1135" spans="1:19" ht="50.1" customHeight="1">
      <c r="A1135" s="31"/>
      <c r="B1135" s="32" t="s">
        <v>4584</v>
      </c>
      <c r="C1135" s="31" t="s">
        <v>1781</v>
      </c>
      <c r="D1135" s="31" t="s">
        <v>4585</v>
      </c>
      <c r="E1135" s="31" t="s">
        <v>4586</v>
      </c>
      <c r="F1135" s="31" t="s">
        <v>31</v>
      </c>
      <c r="G1135" s="31">
        <v>461</v>
      </c>
      <c r="H1135" s="31">
        <v>10</v>
      </c>
      <c r="I1135" s="31">
        <v>18</v>
      </c>
      <c r="J1135" s="31" t="s">
        <v>4587</v>
      </c>
      <c r="K1135" s="31" t="s">
        <v>33</v>
      </c>
      <c r="L1135" s="31" t="s">
        <v>34</v>
      </c>
      <c r="M1135" s="31">
        <v>224</v>
      </c>
      <c r="N1135" s="31">
        <v>2020</v>
      </c>
      <c r="O1135" s="31">
        <v>218</v>
      </c>
      <c r="P1135" s="31"/>
      <c r="Q1135" s="31"/>
      <c r="R1135" s="33"/>
      <c r="S1135" s="34" t="str">
        <f>HYPERLINK("http://www.cnpol.ru/covers/19401.jpg","фото на сайте")</f>
        <v>фото на сайте</v>
      </c>
    </row>
    <row r="1136" spans="1:19" ht="50.1" customHeight="1">
      <c r="A1136" s="31"/>
      <c r="B1136" s="32" t="s">
        <v>4588</v>
      </c>
      <c r="C1136" s="31" t="s">
        <v>413</v>
      </c>
      <c r="D1136" s="31" t="s">
        <v>4589</v>
      </c>
      <c r="E1136" s="31" t="s">
        <v>4590</v>
      </c>
      <c r="F1136" s="31">
        <v>7</v>
      </c>
      <c r="G1136" s="31">
        <v>117</v>
      </c>
      <c r="H1136" s="31">
        <v>10</v>
      </c>
      <c r="I1136" s="31">
        <v>30</v>
      </c>
      <c r="J1136" s="31" t="s">
        <v>4591</v>
      </c>
      <c r="K1136" s="31" t="s">
        <v>123</v>
      </c>
      <c r="L1136" s="31" t="s">
        <v>56</v>
      </c>
      <c r="M1136" s="31">
        <v>190</v>
      </c>
      <c r="N1136" s="31">
        <v>2014</v>
      </c>
      <c r="O1136" s="31">
        <v>92</v>
      </c>
      <c r="P1136" s="31"/>
      <c r="Q1136" s="31"/>
      <c r="R1136" s="33"/>
      <c r="S1136" s="34" t="str">
        <f>HYPERLINK("http://www.cnpol.ru/covers/15234.jpg","фото на сайте")</f>
        <v>фото на сайте</v>
      </c>
    </row>
    <row r="1137" spans="1:19" ht="50.1" customHeight="1">
      <c r="A1137" s="31"/>
      <c r="B1137" s="32" t="s">
        <v>4592</v>
      </c>
      <c r="C1137" s="31" t="s">
        <v>413</v>
      </c>
      <c r="D1137" s="31" t="s">
        <v>3741</v>
      </c>
      <c r="E1137" s="31" t="s">
        <v>4593</v>
      </c>
      <c r="F1137" s="31">
        <v>123</v>
      </c>
      <c r="G1137" s="31">
        <v>117</v>
      </c>
      <c r="H1137" s="31">
        <v>10</v>
      </c>
      <c r="I1137" s="31">
        <v>36</v>
      </c>
      <c r="J1137" s="31" t="s">
        <v>4594</v>
      </c>
      <c r="K1137" s="31" t="s">
        <v>123</v>
      </c>
      <c r="L1137" s="31" t="s">
        <v>56</v>
      </c>
      <c r="M1137" s="31">
        <v>192</v>
      </c>
      <c r="N1137" s="31">
        <v>2016</v>
      </c>
      <c r="O1137" s="31">
        <v>90</v>
      </c>
      <c r="P1137" s="31"/>
      <c r="Q1137" s="31"/>
      <c r="R1137" s="33"/>
      <c r="S1137" s="34" t="str">
        <f>HYPERLINK("http://www.cnpol.ru/covers/17013.jpg","фото на сайте")</f>
        <v>фото на сайте</v>
      </c>
    </row>
    <row r="1138" spans="1:19" ht="50.1" customHeight="1">
      <c r="A1138" s="31"/>
      <c r="B1138" s="32" t="s">
        <v>4595</v>
      </c>
      <c r="C1138" s="31" t="s">
        <v>385</v>
      </c>
      <c r="D1138" s="31" t="s">
        <v>386</v>
      </c>
      <c r="E1138" s="31" t="s">
        <v>4596</v>
      </c>
      <c r="F1138" s="31" t="s">
        <v>31</v>
      </c>
      <c r="G1138" s="31">
        <v>162</v>
      </c>
      <c r="H1138" s="31">
        <v>10</v>
      </c>
      <c r="I1138" s="31">
        <v>32</v>
      </c>
      <c r="J1138" s="31" t="s">
        <v>4597</v>
      </c>
      <c r="K1138" s="31" t="s">
        <v>55</v>
      </c>
      <c r="L1138" s="31" t="s">
        <v>56</v>
      </c>
      <c r="M1138" s="31">
        <v>253</v>
      </c>
      <c r="N1138" s="31">
        <v>2012</v>
      </c>
      <c r="O1138" s="31">
        <v>110</v>
      </c>
      <c r="P1138" s="31"/>
      <c r="Q1138" s="31"/>
      <c r="R1138" s="33"/>
      <c r="S1138" s="34" t="str">
        <f>HYPERLINK("http://www.cnpol.ru/covers/13406.jpg","фото на сайте")</f>
        <v>фото на сайте</v>
      </c>
    </row>
    <row r="1139" spans="1:19" ht="50.1" customHeight="1">
      <c r="A1139" s="31"/>
      <c r="B1139" s="32" t="s">
        <v>4598</v>
      </c>
      <c r="C1139" s="31" t="s">
        <v>385</v>
      </c>
      <c r="D1139" s="31" t="s">
        <v>386</v>
      </c>
      <c r="E1139" s="31" t="s">
        <v>4596</v>
      </c>
      <c r="F1139" s="31" t="s">
        <v>31</v>
      </c>
      <c r="G1139" s="31">
        <v>162</v>
      </c>
      <c r="H1139" s="31">
        <v>10</v>
      </c>
      <c r="I1139" s="31">
        <v>32</v>
      </c>
      <c r="J1139" s="31" t="s">
        <v>4599</v>
      </c>
      <c r="K1139" s="31" t="s">
        <v>55</v>
      </c>
      <c r="L1139" s="31" t="s">
        <v>56</v>
      </c>
      <c r="M1139" s="31">
        <v>256</v>
      </c>
      <c r="N1139" s="31">
        <v>2016</v>
      </c>
      <c r="O1139" s="31">
        <v>110</v>
      </c>
      <c r="P1139" s="31"/>
      <c r="Q1139" s="31"/>
      <c r="R1139" s="33"/>
      <c r="S1139" s="34" t="str">
        <f>HYPERLINK("http://www.cnpol.ru/covers/0133.jpg","фото на сайте")</f>
        <v>фото на сайте</v>
      </c>
    </row>
    <row r="1140" spans="1:19" ht="50.1" customHeight="1">
      <c r="A1140" s="31"/>
      <c r="B1140" s="32" t="s">
        <v>4600</v>
      </c>
      <c r="C1140" s="31" t="s">
        <v>400</v>
      </c>
      <c r="D1140" s="31" t="s">
        <v>3656</v>
      </c>
      <c r="E1140" s="31" t="s">
        <v>4601</v>
      </c>
      <c r="F1140" s="31" t="s">
        <v>31</v>
      </c>
      <c r="G1140" s="31">
        <v>503</v>
      </c>
      <c r="H1140" s="31">
        <v>10</v>
      </c>
      <c r="I1140" s="31">
        <v>12</v>
      </c>
      <c r="J1140" s="31" t="s">
        <v>4602</v>
      </c>
      <c r="K1140" s="31" t="s">
        <v>33</v>
      </c>
      <c r="L1140" s="31" t="s">
        <v>34</v>
      </c>
      <c r="M1140" s="31">
        <v>384</v>
      </c>
      <c r="N1140" s="31">
        <v>2017</v>
      </c>
      <c r="O1140" s="31">
        <v>310</v>
      </c>
      <c r="P1140" s="31"/>
      <c r="Q1140" s="31"/>
      <c r="R1140" s="33"/>
      <c r="S1140" s="34" t="str">
        <f>HYPERLINK("http://www.cnpol.ru/covers/17596.jpg","фото на сайте")</f>
        <v>фото на сайте</v>
      </c>
    </row>
    <row r="1141" spans="1:19" ht="50.1" customHeight="1">
      <c r="A1141" s="31" t="s">
        <v>43</v>
      </c>
      <c r="B1141" s="32" t="s">
        <v>4603</v>
      </c>
      <c r="C1141" s="31" t="s">
        <v>143</v>
      </c>
      <c r="D1141" s="31" t="s">
        <v>4604</v>
      </c>
      <c r="E1141" s="31" t="s">
        <v>4605</v>
      </c>
      <c r="F1141" s="31" t="s">
        <v>31</v>
      </c>
      <c r="G1141" s="31">
        <v>753</v>
      </c>
      <c r="H1141" s="31">
        <v>10</v>
      </c>
      <c r="I1141" s="31">
        <v>10</v>
      </c>
      <c r="J1141" s="31" t="s">
        <v>4606</v>
      </c>
      <c r="K1141" s="31" t="s">
        <v>33</v>
      </c>
      <c r="L1141" s="31" t="s">
        <v>34</v>
      </c>
      <c r="M1141" s="31">
        <v>223</v>
      </c>
      <c r="N1141" s="31">
        <v>2025</v>
      </c>
      <c r="O1141" s="31">
        <v>233</v>
      </c>
      <c r="P1141" s="31"/>
      <c r="Q1141" s="31"/>
      <c r="R1141" s="33" t="s">
        <v>4607</v>
      </c>
      <c r="S1141" s="34" t="str">
        <f>HYPERLINK("http://www.cnpol.ru/covers/21774.jpg","фото на сайте")</f>
        <v>фото на сайте</v>
      </c>
    </row>
    <row r="1142" spans="1:19" ht="50.1" customHeight="1">
      <c r="A1142" s="31"/>
      <c r="B1142" s="32" t="s">
        <v>4608</v>
      </c>
      <c r="C1142" s="31" t="s">
        <v>390</v>
      </c>
      <c r="D1142" s="31" t="s">
        <v>2294</v>
      </c>
      <c r="E1142" s="31" t="s">
        <v>4609</v>
      </c>
      <c r="F1142" s="31">
        <v>680</v>
      </c>
      <c r="G1142" s="31">
        <v>86</v>
      </c>
      <c r="H1142" s="31">
        <v>10</v>
      </c>
      <c r="I1142" s="31">
        <v>30</v>
      </c>
      <c r="J1142" s="31" t="s">
        <v>4610</v>
      </c>
      <c r="K1142" s="31" t="s">
        <v>123</v>
      </c>
      <c r="L1142" s="31" t="s">
        <v>56</v>
      </c>
      <c r="M1142" s="31">
        <v>160</v>
      </c>
      <c r="N1142" s="31">
        <v>2016</v>
      </c>
      <c r="O1142" s="31">
        <v>76</v>
      </c>
      <c r="P1142" s="31"/>
      <c r="Q1142" s="31"/>
      <c r="R1142" s="33"/>
      <c r="S1142" s="34" t="str">
        <f>HYPERLINK("http://www.cnpol.ru/covers/17233.jpg","фото на сайте")</f>
        <v>фото на сайте</v>
      </c>
    </row>
    <row r="1143" spans="1:19" ht="50.1" customHeight="1">
      <c r="A1143" s="31"/>
      <c r="B1143" s="32" t="s">
        <v>4611</v>
      </c>
      <c r="C1143" s="31" t="s">
        <v>546</v>
      </c>
      <c r="D1143" s="31" t="s">
        <v>1628</v>
      </c>
      <c r="E1143" s="31" t="s">
        <v>4612</v>
      </c>
      <c r="F1143" s="31">
        <v>271</v>
      </c>
      <c r="G1143" s="31">
        <v>93</v>
      </c>
      <c r="H1143" s="31">
        <v>10</v>
      </c>
      <c r="I1143" s="31">
        <v>30</v>
      </c>
      <c r="J1143" s="31" t="s">
        <v>4613</v>
      </c>
      <c r="K1143" s="31" t="s">
        <v>123</v>
      </c>
      <c r="L1143" s="31" t="s">
        <v>56</v>
      </c>
      <c r="M1143" s="31">
        <v>160</v>
      </c>
      <c r="N1143" s="31">
        <v>2018</v>
      </c>
      <c r="O1143" s="31">
        <v>76</v>
      </c>
      <c r="P1143" s="31"/>
      <c r="Q1143" s="31"/>
      <c r="R1143" s="33"/>
      <c r="S1143" s="34" t="str">
        <f>HYPERLINK("http://www.cnpol.ru/covers/18221.jpg","фото на сайте")</f>
        <v>фото на сайте</v>
      </c>
    </row>
    <row r="1144" spans="1:19" ht="50.1" customHeight="1">
      <c r="A1144" s="31"/>
      <c r="B1144" s="32" t="s">
        <v>4614</v>
      </c>
      <c r="C1144" s="31" t="s">
        <v>390</v>
      </c>
      <c r="D1144" s="31" t="s">
        <v>4615</v>
      </c>
      <c r="E1144" s="31" t="s">
        <v>4616</v>
      </c>
      <c r="F1144" s="31">
        <v>909</v>
      </c>
      <c r="G1144" s="31">
        <v>86</v>
      </c>
      <c r="H1144" s="31">
        <v>10</v>
      </c>
      <c r="I1144" s="31">
        <v>30</v>
      </c>
      <c r="J1144" s="31" t="s">
        <v>4617</v>
      </c>
      <c r="K1144" s="31" t="s">
        <v>123</v>
      </c>
      <c r="L1144" s="31" t="s">
        <v>56</v>
      </c>
      <c r="M1144" s="31">
        <v>160</v>
      </c>
      <c r="N1144" s="31">
        <v>2019</v>
      </c>
      <c r="O1144" s="31">
        <v>76</v>
      </c>
      <c r="P1144" s="31"/>
      <c r="Q1144" s="31"/>
      <c r="R1144" s="33"/>
      <c r="S1144" s="34" t="str">
        <f>HYPERLINK("http://www.cnpol.ru/covers/18759.jpg","фото на сайте")</f>
        <v>фото на сайте</v>
      </c>
    </row>
    <row r="1145" spans="1:19" ht="50.1" customHeight="1">
      <c r="A1145" s="31"/>
      <c r="B1145" s="32" t="s">
        <v>4618</v>
      </c>
      <c r="C1145" s="31" t="s">
        <v>546</v>
      </c>
      <c r="D1145" s="31" t="s">
        <v>4619</v>
      </c>
      <c r="E1145" s="31" t="s">
        <v>4620</v>
      </c>
      <c r="F1145" s="31">
        <v>147</v>
      </c>
      <c r="G1145" s="31">
        <v>93</v>
      </c>
      <c r="H1145" s="31">
        <v>10</v>
      </c>
      <c r="I1145" s="31">
        <v>30</v>
      </c>
      <c r="J1145" s="31" t="s">
        <v>4621</v>
      </c>
      <c r="K1145" s="31" t="s">
        <v>123</v>
      </c>
      <c r="L1145" s="31" t="s">
        <v>56</v>
      </c>
      <c r="M1145" s="31">
        <v>158</v>
      </c>
      <c r="N1145" s="31">
        <v>2016</v>
      </c>
      <c r="O1145" s="31">
        <v>76</v>
      </c>
      <c r="P1145" s="31"/>
      <c r="Q1145" s="31"/>
      <c r="R1145" s="33"/>
      <c r="S1145" s="34" t="str">
        <f>HYPERLINK("http://www.cnpol.ru/covers/16406.jpg","фото на сайте")</f>
        <v>фото на сайте</v>
      </c>
    </row>
    <row r="1146" spans="1:19" ht="50.1" customHeight="1">
      <c r="A1146" s="31"/>
      <c r="B1146" s="32" t="s">
        <v>4622</v>
      </c>
      <c r="C1146" s="31" t="s">
        <v>390</v>
      </c>
      <c r="D1146" s="31" t="s">
        <v>414</v>
      </c>
      <c r="E1146" s="31" t="s">
        <v>4623</v>
      </c>
      <c r="F1146" s="31">
        <v>980</v>
      </c>
      <c r="G1146" s="31">
        <v>86</v>
      </c>
      <c r="H1146" s="31">
        <v>10</v>
      </c>
      <c r="I1146" s="31">
        <v>30</v>
      </c>
      <c r="J1146" s="31" t="s">
        <v>4624</v>
      </c>
      <c r="K1146" s="31" t="s">
        <v>123</v>
      </c>
      <c r="L1146" s="31" t="s">
        <v>56</v>
      </c>
      <c r="M1146" s="31">
        <v>160</v>
      </c>
      <c r="N1146" s="31">
        <v>2020</v>
      </c>
      <c r="O1146" s="31">
        <v>76</v>
      </c>
      <c r="P1146" s="31"/>
      <c r="Q1146" s="31"/>
      <c r="R1146" s="33"/>
      <c r="S1146" s="34" t="str">
        <f>HYPERLINK("http://www.cnpol.ru/covers/19190.jpg","фото на сайте")</f>
        <v>фото на сайте</v>
      </c>
    </row>
    <row r="1147" spans="1:19" ht="50.1" customHeight="1">
      <c r="A1147" s="31"/>
      <c r="B1147" s="32" t="s">
        <v>4625</v>
      </c>
      <c r="C1147" s="31" t="s">
        <v>413</v>
      </c>
      <c r="D1147" s="31" t="s">
        <v>761</v>
      </c>
      <c r="E1147" s="31" t="s">
        <v>4626</v>
      </c>
      <c r="F1147" s="31">
        <v>58</v>
      </c>
      <c r="G1147" s="31">
        <v>117</v>
      </c>
      <c r="H1147" s="31">
        <v>10</v>
      </c>
      <c r="I1147" s="31">
        <v>36</v>
      </c>
      <c r="J1147" s="31" t="s">
        <v>4627</v>
      </c>
      <c r="K1147" s="31" t="s">
        <v>123</v>
      </c>
      <c r="L1147" s="31" t="s">
        <v>56</v>
      </c>
      <c r="M1147" s="31">
        <v>190</v>
      </c>
      <c r="N1147" s="31">
        <v>2015</v>
      </c>
      <c r="O1147" s="31">
        <v>90</v>
      </c>
      <c r="P1147" s="31"/>
      <c r="Q1147" s="31"/>
      <c r="R1147" s="33"/>
      <c r="S1147" s="34" t="str">
        <f>HYPERLINK("http://www.cnpol.ru/covers/16032.jpg","фото на сайте")</f>
        <v>фото на сайте</v>
      </c>
    </row>
    <row r="1148" spans="1:19" ht="50.1" customHeight="1">
      <c r="A1148" s="31"/>
      <c r="B1148" s="32" t="s">
        <v>4628</v>
      </c>
      <c r="C1148" s="31" t="s">
        <v>390</v>
      </c>
      <c r="D1148" s="31" t="s">
        <v>547</v>
      </c>
      <c r="E1148" s="31" t="s">
        <v>4629</v>
      </c>
      <c r="F1148" s="31">
        <v>740</v>
      </c>
      <c r="G1148" s="31">
        <v>86</v>
      </c>
      <c r="H1148" s="31">
        <v>10</v>
      </c>
      <c r="I1148" s="31">
        <v>30</v>
      </c>
      <c r="J1148" s="31" t="s">
        <v>4630</v>
      </c>
      <c r="K1148" s="31" t="s">
        <v>123</v>
      </c>
      <c r="L1148" s="31" t="s">
        <v>56</v>
      </c>
      <c r="M1148" s="31">
        <v>160</v>
      </c>
      <c r="N1148" s="31">
        <v>2017</v>
      </c>
      <c r="O1148" s="31">
        <v>76</v>
      </c>
      <c r="P1148" s="31"/>
      <c r="Q1148" s="31"/>
      <c r="R1148" s="33"/>
      <c r="S1148" s="34" t="str">
        <f>HYPERLINK("http://www.cnpol.ru/covers/17620.jpg","фото на сайте")</f>
        <v>фото на сайте</v>
      </c>
    </row>
    <row r="1149" spans="1:19" ht="50.1" customHeight="1">
      <c r="A1149" s="31"/>
      <c r="B1149" s="32" t="s">
        <v>4631</v>
      </c>
      <c r="C1149" s="31" t="s">
        <v>546</v>
      </c>
      <c r="D1149" s="31" t="s">
        <v>4632</v>
      </c>
      <c r="E1149" s="31" t="s">
        <v>4633</v>
      </c>
      <c r="F1149" s="31">
        <v>342</v>
      </c>
      <c r="G1149" s="31">
        <v>93</v>
      </c>
      <c r="H1149" s="31">
        <v>10</v>
      </c>
      <c r="I1149" s="31">
        <v>30</v>
      </c>
      <c r="J1149" s="31" t="s">
        <v>4634</v>
      </c>
      <c r="K1149" s="31" t="s">
        <v>123</v>
      </c>
      <c r="L1149" s="31" t="s">
        <v>56</v>
      </c>
      <c r="M1149" s="31">
        <v>160</v>
      </c>
      <c r="N1149" s="31">
        <v>2020</v>
      </c>
      <c r="O1149" s="31">
        <v>76</v>
      </c>
      <c r="P1149" s="31"/>
      <c r="Q1149" s="31"/>
      <c r="R1149" s="33"/>
      <c r="S1149" s="34" t="str">
        <f>HYPERLINK("http://www.cnpol.ru/covers/19059.jpg","фото на сайте")</f>
        <v>фото на сайте</v>
      </c>
    </row>
    <row r="1150" spans="1:19" ht="50.1" customHeight="1">
      <c r="A1150" s="31"/>
      <c r="B1150" s="32" t="s">
        <v>4635</v>
      </c>
      <c r="C1150" s="31" t="s">
        <v>520</v>
      </c>
      <c r="D1150" s="31" t="s">
        <v>559</v>
      </c>
      <c r="E1150" s="31" t="s">
        <v>4636</v>
      </c>
      <c r="F1150" s="31">
        <v>88</v>
      </c>
      <c r="G1150" s="31">
        <v>117</v>
      </c>
      <c r="H1150" s="31">
        <v>10</v>
      </c>
      <c r="I1150" s="31">
        <v>20</v>
      </c>
      <c r="J1150" s="31" t="s">
        <v>4637</v>
      </c>
      <c r="K1150" s="31" t="s">
        <v>123</v>
      </c>
      <c r="L1150" s="31" t="s">
        <v>56</v>
      </c>
      <c r="M1150" s="31">
        <v>191</v>
      </c>
      <c r="N1150" s="31">
        <v>2022</v>
      </c>
      <c r="O1150" s="31">
        <v>90</v>
      </c>
      <c r="P1150" s="31"/>
      <c r="Q1150" s="31"/>
      <c r="R1150" s="33"/>
      <c r="S1150" s="34" t="str">
        <f>HYPERLINK("http://www.cnpol.ru/covers/20224.jpg","фото на сайте")</f>
        <v>фото на сайте</v>
      </c>
    </row>
    <row r="1151" spans="1:19" ht="50.1" customHeight="1">
      <c r="A1151" s="31" t="s">
        <v>43</v>
      </c>
      <c r="B1151" s="32" t="s">
        <v>4638</v>
      </c>
      <c r="C1151" s="31" t="s">
        <v>390</v>
      </c>
      <c r="D1151" s="31" t="s">
        <v>4639</v>
      </c>
      <c r="E1151" s="31" t="s">
        <v>4640</v>
      </c>
      <c r="F1151" s="31">
        <v>1177</v>
      </c>
      <c r="G1151" s="31">
        <v>86</v>
      </c>
      <c r="H1151" s="31">
        <v>10</v>
      </c>
      <c r="I1151" s="31">
        <v>30</v>
      </c>
      <c r="J1151" s="31" t="s">
        <v>4641</v>
      </c>
      <c r="K1151" s="31" t="s">
        <v>123</v>
      </c>
      <c r="L1151" s="31" t="s">
        <v>56</v>
      </c>
      <c r="M1151" s="31">
        <v>159</v>
      </c>
      <c r="N1151" s="31">
        <v>2024</v>
      </c>
      <c r="O1151" s="31">
        <v>76</v>
      </c>
      <c r="P1151" s="31"/>
      <c r="Q1151" s="31"/>
      <c r="R1151" s="33" t="s">
        <v>4642</v>
      </c>
      <c r="S1151" s="34" t="str">
        <f>HYPERLINK("http://www.cnpol.ru/covers/21174.jpg","фото на сайте")</f>
        <v>фото на сайте</v>
      </c>
    </row>
    <row r="1152" spans="1:19" ht="50.1" customHeight="1">
      <c r="A1152" s="31"/>
      <c r="B1152" s="32" t="s">
        <v>4643</v>
      </c>
      <c r="C1152" s="31" t="s">
        <v>546</v>
      </c>
      <c r="D1152" s="31" t="s">
        <v>1741</v>
      </c>
      <c r="E1152" s="31" t="s">
        <v>4644</v>
      </c>
      <c r="F1152" s="31">
        <v>414</v>
      </c>
      <c r="G1152" s="31">
        <v>93</v>
      </c>
      <c r="H1152" s="31">
        <v>10</v>
      </c>
      <c r="I1152" s="31">
        <v>30</v>
      </c>
      <c r="J1152" s="31" t="s">
        <v>4645</v>
      </c>
      <c r="K1152" s="31" t="s">
        <v>123</v>
      </c>
      <c r="L1152" s="31" t="s">
        <v>56</v>
      </c>
      <c r="M1152" s="31">
        <v>159</v>
      </c>
      <c r="N1152" s="31">
        <v>2022</v>
      </c>
      <c r="O1152" s="31">
        <v>76</v>
      </c>
      <c r="P1152" s="31"/>
      <c r="Q1152" s="31"/>
      <c r="R1152" s="33" t="s">
        <v>4646</v>
      </c>
      <c r="S1152" s="34" t="str">
        <f>HYPERLINK("http://www.cnpol.ru/covers/20435.jpg","фото на сайте")</f>
        <v>фото на сайте</v>
      </c>
    </row>
    <row r="1153" spans="1:19" ht="50.1" customHeight="1">
      <c r="A1153" s="31"/>
      <c r="B1153" s="32" t="s">
        <v>4647</v>
      </c>
      <c r="C1153" s="31" t="s">
        <v>390</v>
      </c>
      <c r="D1153" s="31" t="s">
        <v>2645</v>
      </c>
      <c r="E1153" s="31" t="s">
        <v>4648</v>
      </c>
      <c r="F1153" s="31">
        <v>870</v>
      </c>
      <c r="G1153" s="31">
        <v>86</v>
      </c>
      <c r="H1153" s="31">
        <v>10</v>
      </c>
      <c r="I1153" s="31">
        <v>30</v>
      </c>
      <c r="J1153" s="31" t="s">
        <v>4649</v>
      </c>
      <c r="K1153" s="31" t="s">
        <v>123</v>
      </c>
      <c r="L1153" s="31" t="s">
        <v>56</v>
      </c>
      <c r="M1153" s="31">
        <v>160</v>
      </c>
      <c r="N1153" s="31">
        <v>2019</v>
      </c>
      <c r="O1153" s="31">
        <v>74</v>
      </c>
      <c r="P1153" s="31"/>
      <c r="Q1153" s="31"/>
      <c r="R1153" s="33"/>
      <c r="S1153" s="34" t="str">
        <f>HYPERLINK("http://www.cnpol.ru/covers/18522.jpg","фото на сайте")</f>
        <v>фото на сайте</v>
      </c>
    </row>
    <row r="1154" spans="1:19" ht="50.1" customHeight="1">
      <c r="A1154" s="31"/>
      <c r="B1154" s="32" t="s">
        <v>4650</v>
      </c>
      <c r="C1154" s="31" t="s">
        <v>546</v>
      </c>
      <c r="D1154" s="31" t="s">
        <v>1427</v>
      </c>
      <c r="E1154" s="31" t="s">
        <v>4651</v>
      </c>
      <c r="F1154" s="31">
        <v>355</v>
      </c>
      <c r="G1154" s="31">
        <v>93</v>
      </c>
      <c r="H1154" s="31">
        <v>10</v>
      </c>
      <c r="I1154" s="31">
        <v>30</v>
      </c>
      <c r="J1154" s="31" t="s">
        <v>4652</v>
      </c>
      <c r="K1154" s="31" t="s">
        <v>123</v>
      </c>
      <c r="L1154" s="31" t="s">
        <v>56</v>
      </c>
      <c r="M1154" s="31">
        <v>160</v>
      </c>
      <c r="N1154" s="31">
        <v>2020</v>
      </c>
      <c r="O1154" s="31">
        <v>76</v>
      </c>
      <c r="P1154" s="31"/>
      <c r="Q1154" s="31"/>
      <c r="R1154" s="33"/>
      <c r="S1154" s="34" t="str">
        <f>HYPERLINK("http://www.cnpol.ru/covers/19272.jpg","фото на сайте")</f>
        <v>фото на сайте</v>
      </c>
    </row>
    <row r="1155" spans="1:19" ht="50.1" customHeight="1">
      <c r="A1155" s="31"/>
      <c r="B1155" s="32" t="s">
        <v>4653</v>
      </c>
      <c r="C1155" s="31" t="s">
        <v>390</v>
      </c>
      <c r="D1155" s="31" t="s">
        <v>1850</v>
      </c>
      <c r="E1155" s="31" t="s">
        <v>4654</v>
      </c>
      <c r="F1155" s="31">
        <v>925</v>
      </c>
      <c r="G1155" s="31">
        <v>86</v>
      </c>
      <c r="H1155" s="31">
        <v>10</v>
      </c>
      <c r="I1155" s="31">
        <v>30</v>
      </c>
      <c r="J1155" s="31" t="s">
        <v>4655</v>
      </c>
      <c r="K1155" s="31" t="s">
        <v>123</v>
      </c>
      <c r="L1155" s="31" t="s">
        <v>56</v>
      </c>
      <c r="M1155" s="31">
        <v>160</v>
      </c>
      <c r="N1155" s="31">
        <v>2019</v>
      </c>
      <c r="O1155" s="31">
        <v>76</v>
      </c>
      <c r="P1155" s="31"/>
      <c r="Q1155" s="31"/>
      <c r="R1155" s="33"/>
      <c r="S1155" s="34" t="str">
        <f>HYPERLINK("http://www.cnpol.ru/covers/18863.jpg","фото на сайте")</f>
        <v>фото на сайте</v>
      </c>
    </row>
    <row r="1156" spans="1:19" ht="50.1" customHeight="1">
      <c r="A1156" s="31"/>
      <c r="B1156" s="32" t="s">
        <v>4656</v>
      </c>
      <c r="C1156" s="31" t="s">
        <v>390</v>
      </c>
      <c r="D1156" s="31" t="s">
        <v>4657</v>
      </c>
      <c r="E1156" s="31" t="s">
        <v>4658</v>
      </c>
      <c r="F1156" s="31">
        <v>577</v>
      </c>
      <c r="G1156" s="31">
        <v>86</v>
      </c>
      <c r="H1156" s="31">
        <v>10</v>
      </c>
      <c r="I1156" s="31">
        <v>30</v>
      </c>
      <c r="J1156" s="31" t="s">
        <v>4659</v>
      </c>
      <c r="K1156" s="31" t="s">
        <v>123</v>
      </c>
      <c r="L1156" s="31" t="s">
        <v>56</v>
      </c>
      <c r="M1156" s="31">
        <v>158</v>
      </c>
      <c r="N1156" s="31">
        <v>2016</v>
      </c>
      <c r="O1156" s="31">
        <v>76</v>
      </c>
      <c r="P1156" s="31"/>
      <c r="Q1156" s="31"/>
      <c r="R1156" s="33"/>
      <c r="S1156" s="34" t="str">
        <f>HYPERLINK("http://www.cnpol.ru/covers/16431.jpg","фото на сайте")</f>
        <v>фото на сайте</v>
      </c>
    </row>
    <row r="1157" spans="1:19" ht="50.1" customHeight="1">
      <c r="A1157" s="31"/>
      <c r="B1157" s="32" t="s">
        <v>4660</v>
      </c>
      <c r="C1157" s="31" t="s">
        <v>390</v>
      </c>
      <c r="D1157" s="31" t="s">
        <v>1758</v>
      </c>
      <c r="E1157" s="31" t="s">
        <v>4661</v>
      </c>
      <c r="F1157" s="31">
        <v>1140</v>
      </c>
      <c r="G1157" s="31">
        <v>86</v>
      </c>
      <c r="H1157" s="31">
        <v>10</v>
      </c>
      <c r="I1157" s="31">
        <v>30</v>
      </c>
      <c r="J1157" s="31" t="s">
        <v>4662</v>
      </c>
      <c r="K1157" s="31" t="s">
        <v>123</v>
      </c>
      <c r="L1157" s="31" t="s">
        <v>56</v>
      </c>
      <c r="M1157" s="31">
        <v>159</v>
      </c>
      <c r="N1157" s="31">
        <v>2023</v>
      </c>
      <c r="O1157" s="31">
        <v>76</v>
      </c>
      <c r="P1157" s="31"/>
      <c r="Q1157" s="31"/>
      <c r="R1157" s="33" t="s">
        <v>4663</v>
      </c>
      <c r="S1157" s="34" t="str">
        <f>HYPERLINK("http://www.cnpol.ru/covers/20661.jpg","фото на сайте")</f>
        <v>фото на сайте</v>
      </c>
    </row>
    <row r="1158" spans="1:19" ht="50.1" customHeight="1">
      <c r="A1158" s="31"/>
      <c r="B1158" s="32" t="s">
        <v>4664</v>
      </c>
      <c r="C1158" s="31" t="s">
        <v>390</v>
      </c>
      <c r="D1158" s="31" t="s">
        <v>1115</v>
      </c>
      <c r="E1158" s="31" t="s">
        <v>4665</v>
      </c>
      <c r="F1158" s="31">
        <v>893</v>
      </c>
      <c r="G1158" s="31">
        <v>86</v>
      </c>
      <c r="H1158" s="31">
        <v>10</v>
      </c>
      <c r="I1158" s="31">
        <v>30</v>
      </c>
      <c r="J1158" s="31" t="s">
        <v>4666</v>
      </c>
      <c r="K1158" s="31" t="s">
        <v>123</v>
      </c>
      <c r="L1158" s="31" t="s">
        <v>56</v>
      </c>
      <c r="M1158" s="31">
        <v>160</v>
      </c>
      <c r="N1158" s="31">
        <v>2019</v>
      </c>
      <c r="O1158" s="31">
        <v>78</v>
      </c>
      <c r="P1158" s="31"/>
      <c r="Q1158" s="31"/>
      <c r="R1158" s="33"/>
      <c r="S1158" s="34" t="str">
        <f>HYPERLINK("http://www.cnpol.ru/covers/18657.jpg","фото на сайте")</f>
        <v>фото на сайте</v>
      </c>
    </row>
    <row r="1159" spans="1:19" ht="50.1" customHeight="1">
      <c r="A1159" s="31"/>
      <c r="B1159" s="32" t="s">
        <v>4667</v>
      </c>
      <c r="C1159" s="31" t="s">
        <v>953</v>
      </c>
      <c r="D1159" s="31" t="s">
        <v>4244</v>
      </c>
      <c r="E1159" s="31" t="s">
        <v>4668</v>
      </c>
      <c r="F1159" s="31" t="s">
        <v>31</v>
      </c>
      <c r="G1159" s="31">
        <v>154</v>
      </c>
      <c r="H1159" s="31">
        <v>10</v>
      </c>
      <c r="I1159" s="31">
        <v>24</v>
      </c>
      <c r="J1159" s="31" t="s">
        <v>4669</v>
      </c>
      <c r="K1159" s="31" t="s">
        <v>55</v>
      </c>
      <c r="L1159" s="31" t="s">
        <v>56</v>
      </c>
      <c r="M1159" s="31">
        <v>318</v>
      </c>
      <c r="N1159" s="31">
        <v>2008</v>
      </c>
      <c r="O1159" s="31">
        <v>142</v>
      </c>
      <c r="P1159" s="31"/>
      <c r="Q1159" s="31"/>
      <c r="R1159" s="33"/>
      <c r="S1159" s="34" t="str">
        <f>HYPERLINK("http://www.cnpol.ru/covers/10804.jpg","фото на сайте")</f>
        <v>фото на сайте</v>
      </c>
    </row>
    <row r="1160" spans="1:19" ht="50.1" customHeight="1">
      <c r="A1160" s="31"/>
      <c r="B1160" s="32" t="s">
        <v>4670</v>
      </c>
      <c r="C1160" s="31" t="s">
        <v>520</v>
      </c>
      <c r="D1160" s="31" t="s">
        <v>4671</v>
      </c>
      <c r="E1160" s="31" t="s">
        <v>4672</v>
      </c>
      <c r="F1160" s="31">
        <v>2</v>
      </c>
      <c r="G1160" s="31">
        <v>117</v>
      </c>
      <c r="H1160" s="31">
        <v>10</v>
      </c>
      <c r="I1160" s="31">
        <v>30</v>
      </c>
      <c r="J1160" s="31" t="s">
        <v>4673</v>
      </c>
      <c r="K1160" s="31" t="s">
        <v>123</v>
      </c>
      <c r="L1160" s="31" t="s">
        <v>56</v>
      </c>
      <c r="M1160" s="31">
        <v>190</v>
      </c>
      <c r="N1160" s="31">
        <v>2015</v>
      </c>
      <c r="O1160" s="31">
        <v>90</v>
      </c>
      <c r="P1160" s="31"/>
      <c r="Q1160" s="31"/>
      <c r="R1160" s="33"/>
      <c r="S1160" s="34" t="str">
        <f>HYPERLINK("http://www.cnpol.ru/covers/16000.jpg","фото на сайте")</f>
        <v>фото на сайте</v>
      </c>
    </row>
    <row r="1161" spans="1:19" ht="50.1" customHeight="1">
      <c r="A1161" s="31"/>
      <c r="B1161" s="32" t="s">
        <v>4674</v>
      </c>
      <c r="C1161" s="31" t="s">
        <v>390</v>
      </c>
      <c r="D1161" s="31" t="s">
        <v>4675</v>
      </c>
      <c r="E1161" s="31" t="s">
        <v>4676</v>
      </c>
      <c r="F1161" s="31">
        <v>585</v>
      </c>
      <c r="G1161" s="31">
        <v>86</v>
      </c>
      <c r="H1161" s="31">
        <v>10</v>
      </c>
      <c r="I1161" s="31">
        <v>30</v>
      </c>
      <c r="J1161" s="31" t="s">
        <v>4677</v>
      </c>
      <c r="K1161" s="31" t="s">
        <v>123</v>
      </c>
      <c r="L1161" s="31" t="s">
        <v>56</v>
      </c>
      <c r="M1161" s="31">
        <v>158</v>
      </c>
      <c r="N1161" s="31">
        <v>2016</v>
      </c>
      <c r="O1161" s="31">
        <v>76</v>
      </c>
      <c r="P1161" s="31"/>
      <c r="Q1161" s="31"/>
      <c r="R1161" s="33"/>
      <c r="S1161" s="34" t="str">
        <f>HYPERLINK("http://www.cnpol.ru/covers/16498.jpg","фото на сайте")</f>
        <v>фото на сайте</v>
      </c>
    </row>
    <row r="1162" spans="1:19" ht="50.1" customHeight="1">
      <c r="A1162" s="31"/>
      <c r="B1162" s="32" t="s">
        <v>4678</v>
      </c>
      <c r="C1162" s="31" t="s">
        <v>390</v>
      </c>
      <c r="D1162" s="31" t="s">
        <v>1660</v>
      </c>
      <c r="E1162" s="31" t="s">
        <v>4679</v>
      </c>
      <c r="F1162" s="31">
        <v>769</v>
      </c>
      <c r="G1162" s="31">
        <v>86</v>
      </c>
      <c r="H1162" s="31">
        <v>10</v>
      </c>
      <c r="I1162" s="31">
        <v>30</v>
      </c>
      <c r="J1162" s="31" t="s">
        <v>4680</v>
      </c>
      <c r="K1162" s="31" t="s">
        <v>123</v>
      </c>
      <c r="L1162" s="31" t="s">
        <v>56</v>
      </c>
      <c r="M1162" s="31">
        <v>160</v>
      </c>
      <c r="N1162" s="31">
        <v>2017</v>
      </c>
      <c r="O1162" s="31">
        <v>76</v>
      </c>
      <c r="P1162" s="31"/>
      <c r="Q1162" s="31"/>
      <c r="R1162" s="33"/>
      <c r="S1162" s="34" t="str">
        <f>HYPERLINK("http://www.cnpol.ru/covers/17804.jpg","фото на сайте")</f>
        <v>фото на сайте</v>
      </c>
    </row>
    <row r="1163" spans="1:19" ht="50.1" customHeight="1">
      <c r="A1163" s="31"/>
      <c r="B1163" s="32" t="s">
        <v>4681</v>
      </c>
      <c r="C1163" s="31" t="s">
        <v>546</v>
      </c>
      <c r="D1163" s="31" t="s">
        <v>1461</v>
      </c>
      <c r="E1163" s="31" t="s">
        <v>4682</v>
      </c>
      <c r="F1163" s="31">
        <v>412</v>
      </c>
      <c r="G1163" s="31">
        <v>93</v>
      </c>
      <c r="H1163" s="31">
        <v>10</v>
      </c>
      <c r="I1163" s="31">
        <v>30</v>
      </c>
      <c r="J1163" s="31" t="s">
        <v>4683</v>
      </c>
      <c r="K1163" s="31" t="s">
        <v>123</v>
      </c>
      <c r="L1163" s="31" t="s">
        <v>56</v>
      </c>
      <c r="M1163" s="31">
        <v>159</v>
      </c>
      <c r="N1163" s="31">
        <v>2022</v>
      </c>
      <c r="O1163" s="31">
        <v>76</v>
      </c>
      <c r="P1163" s="31"/>
      <c r="Q1163" s="31"/>
      <c r="R1163" s="33" t="s">
        <v>4684</v>
      </c>
      <c r="S1163" s="34" t="str">
        <f>HYPERLINK("http://www.cnpol.ru/covers/20394.jpg","фото на сайте")</f>
        <v>фото на сайте</v>
      </c>
    </row>
    <row r="1164" spans="1:19" ht="50.1" customHeight="1">
      <c r="A1164" s="31"/>
      <c r="B1164" s="32" t="s">
        <v>4685</v>
      </c>
      <c r="C1164" s="31" t="s">
        <v>390</v>
      </c>
      <c r="D1164" s="31" t="s">
        <v>2106</v>
      </c>
      <c r="E1164" s="31" t="s">
        <v>4686</v>
      </c>
      <c r="F1164" s="31">
        <v>1017</v>
      </c>
      <c r="G1164" s="31">
        <v>86</v>
      </c>
      <c r="H1164" s="31">
        <v>10</v>
      </c>
      <c r="I1164" s="31">
        <v>30</v>
      </c>
      <c r="J1164" s="31" t="s">
        <v>4687</v>
      </c>
      <c r="K1164" s="31" t="s">
        <v>123</v>
      </c>
      <c r="L1164" s="31" t="s">
        <v>56</v>
      </c>
      <c r="M1164" s="31">
        <v>160</v>
      </c>
      <c r="N1164" s="31">
        <v>2021</v>
      </c>
      <c r="O1164" s="31">
        <v>76</v>
      </c>
      <c r="P1164" s="31"/>
      <c r="Q1164" s="31"/>
      <c r="R1164" s="33"/>
      <c r="S1164" s="34" t="str">
        <f>HYPERLINK("http://www.cnpol.ru/covers/19507.jpg","фото на сайте")</f>
        <v>фото на сайте</v>
      </c>
    </row>
    <row r="1165" spans="1:19" ht="50.1" customHeight="1">
      <c r="A1165" s="31"/>
      <c r="B1165" s="32" t="s">
        <v>4688</v>
      </c>
      <c r="C1165" s="31" t="s">
        <v>390</v>
      </c>
      <c r="D1165" s="31" t="s">
        <v>1628</v>
      </c>
      <c r="E1165" s="31" t="s">
        <v>4689</v>
      </c>
      <c r="F1165" s="31">
        <v>1004</v>
      </c>
      <c r="G1165" s="31">
        <v>86</v>
      </c>
      <c r="H1165" s="31">
        <v>10</v>
      </c>
      <c r="I1165" s="31">
        <v>30</v>
      </c>
      <c r="J1165" s="31" t="s">
        <v>4690</v>
      </c>
      <c r="K1165" s="31" t="s">
        <v>123</v>
      </c>
      <c r="L1165" s="31" t="s">
        <v>56</v>
      </c>
      <c r="M1165" s="31">
        <v>160</v>
      </c>
      <c r="N1165" s="31">
        <v>2020</v>
      </c>
      <c r="O1165" s="31">
        <v>76</v>
      </c>
      <c r="P1165" s="31"/>
      <c r="Q1165" s="31"/>
      <c r="R1165" s="33"/>
      <c r="S1165" s="34" t="str">
        <f>HYPERLINK("http://www.cnpol.ru/covers/19418.jpg","фото на сайте")</f>
        <v>фото на сайте</v>
      </c>
    </row>
    <row r="1166" spans="1:19" ht="50.1" customHeight="1">
      <c r="A1166" s="31"/>
      <c r="B1166" s="32" t="s">
        <v>4691</v>
      </c>
      <c r="C1166" s="31" t="s">
        <v>390</v>
      </c>
      <c r="D1166" s="31" t="s">
        <v>391</v>
      </c>
      <c r="E1166" s="31" t="s">
        <v>4692</v>
      </c>
      <c r="F1166" s="31">
        <v>1095</v>
      </c>
      <c r="G1166" s="31">
        <v>86</v>
      </c>
      <c r="H1166" s="31">
        <v>10</v>
      </c>
      <c r="I1166" s="31">
        <v>30</v>
      </c>
      <c r="J1166" s="31" t="s">
        <v>4693</v>
      </c>
      <c r="K1166" s="31" t="s">
        <v>123</v>
      </c>
      <c r="L1166" s="31" t="s">
        <v>56</v>
      </c>
      <c r="M1166" s="31">
        <v>159</v>
      </c>
      <c r="N1166" s="31">
        <v>2022</v>
      </c>
      <c r="O1166" s="31">
        <v>76</v>
      </c>
      <c r="P1166" s="31"/>
      <c r="Q1166" s="31"/>
      <c r="R1166" s="33"/>
      <c r="S1166" s="34" t="str">
        <f>HYPERLINK("http://www.cnpol.ru/covers/20271.jpg","фото на сайте")</f>
        <v>фото на сайте</v>
      </c>
    </row>
    <row r="1167" spans="1:19" ht="50.1" customHeight="1">
      <c r="A1167" s="31"/>
      <c r="B1167" s="32" t="s">
        <v>4694</v>
      </c>
      <c r="C1167" s="31" t="s">
        <v>390</v>
      </c>
      <c r="D1167" s="31" t="s">
        <v>1461</v>
      </c>
      <c r="E1167" s="31" t="s">
        <v>4695</v>
      </c>
      <c r="F1167" s="31">
        <v>567</v>
      </c>
      <c r="G1167" s="31">
        <v>86</v>
      </c>
      <c r="H1167" s="31">
        <v>10</v>
      </c>
      <c r="I1167" s="31">
        <v>30</v>
      </c>
      <c r="J1167" s="31" t="s">
        <v>4696</v>
      </c>
      <c r="K1167" s="31" t="s">
        <v>123</v>
      </c>
      <c r="L1167" s="31" t="s">
        <v>56</v>
      </c>
      <c r="M1167" s="31">
        <v>158</v>
      </c>
      <c r="N1167" s="31">
        <v>2015</v>
      </c>
      <c r="O1167" s="31">
        <v>76</v>
      </c>
      <c r="P1167" s="31"/>
      <c r="Q1167" s="31"/>
      <c r="R1167" s="33"/>
      <c r="S1167" s="34" t="str">
        <f>HYPERLINK("http://www.cnpol.ru/covers/16357.jpg","фото на сайте")</f>
        <v>фото на сайте</v>
      </c>
    </row>
    <row r="1168" spans="1:19" ht="50.1" customHeight="1">
      <c r="A1168" s="31"/>
      <c r="B1168" s="32" t="s">
        <v>4697</v>
      </c>
      <c r="C1168" s="31" t="s">
        <v>546</v>
      </c>
      <c r="D1168" s="31" t="s">
        <v>1427</v>
      </c>
      <c r="E1168" s="31" t="s">
        <v>4698</v>
      </c>
      <c r="F1168" s="31">
        <v>345</v>
      </c>
      <c r="G1168" s="31">
        <v>93</v>
      </c>
      <c r="H1168" s="31">
        <v>10</v>
      </c>
      <c r="I1168" s="31">
        <v>30</v>
      </c>
      <c r="J1168" s="31" t="s">
        <v>4699</v>
      </c>
      <c r="K1168" s="31" t="s">
        <v>123</v>
      </c>
      <c r="L1168" s="31" t="s">
        <v>56</v>
      </c>
      <c r="M1168" s="31">
        <v>160</v>
      </c>
      <c r="N1168" s="31">
        <v>2020</v>
      </c>
      <c r="O1168" s="31">
        <v>76</v>
      </c>
      <c r="P1168" s="31"/>
      <c r="Q1168" s="31"/>
      <c r="R1168" s="33"/>
      <c r="S1168" s="34" t="str">
        <f>HYPERLINK("http://www.cnpol.ru/covers/19115.jpg","фото на сайте")</f>
        <v>фото на сайте</v>
      </c>
    </row>
    <row r="1169" spans="1:19" ht="50.1" customHeight="1">
      <c r="A1169" s="31"/>
      <c r="B1169" s="32" t="s">
        <v>4700</v>
      </c>
      <c r="C1169" s="31" t="s">
        <v>1237</v>
      </c>
      <c r="D1169" s="31" t="s">
        <v>1238</v>
      </c>
      <c r="E1169" s="31" t="s">
        <v>4701</v>
      </c>
      <c r="F1169" s="31" t="s">
        <v>31</v>
      </c>
      <c r="G1169" s="31">
        <v>807</v>
      </c>
      <c r="H1169" s="31">
        <v>10</v>
      </c>
      <c r="I1169" s="31">
        <v>14</v>
      </c>
      <c r="J1169" s="31" t="s">
        <v>4702</v>
      </c>
      <c r="K1169" s="31" t="s">
        <v>33</v>
      </c>
      <c r="L1169" s="31" t="s">
        <v>34</v>
      </c>
      <c r="M1169" s="31">
        <v>384</v>
      </c>
      <c r="N1169" s="31">
        <v>2019</v>
      </c>
      <c r="O1169" s="31">
        <v>436</v>
      </c>
      <c r="P1169" s="31"/>
      <c r="Q1169" s="31"/>
      <c r="R1169" s="33"/>
      <c r="S1169" s="34" t="str">
        <f>HYPERLINK("http://www.cnpol.ru/covers/18859.jpg","фото на сайте")</f>
        <v>фото на сайте</v>
      </c>
    </row>
    <row r="1170" spans="1:19" ht="50.1" customHeight="1">
      <c r="A1170" s="31"/>
      <c r="B1170" s="32" t="s">
        <v>4703</v>
      </c>
      <c r="C1170" s="31" t="s">
        <v>746</v>
      </c>
      <c r="D1170" s="31" t="s">
        <v>167</v>
      </c>
      <c r="E1170" s="31" t="s">
        <v>4704</v>
      </c>
      <c r="F1170" s="31" t="s">
        <v>31</v>
      </c>
      <c r="G1170" s="31">
        <v>522</v>
      </c>
      <c r="H1170" s="31">
        <v>10</v>
      </c>
      <c r="I1170" s="31">
        <v>14</v>
      </c>
      <c r="J1170" s="31" t="s">
        <v>4705</v>
      </c>
      <c r="K1170" s="31" t="s">
        <v>33</v>
      </c>
      <c r="L1170" s="31" t="s">
        <v>34</v>
      </c>
      <c r="M1170" s="31">
        <v>256</v>
      </c>
      <c r="N1170" s="31">
        <v>2016</v>
      </c>
      <c r="O1170" s="31">
        <v>252</v>
      </c>
      <c r="P1170" s="31"/>
      <c r="Q1170" s="31"/>
      <c r="R1170" s="33"/>
      <c r="S1170" s="34" t="str">
        <f>HYPERLINK("http://www.cnpol.ru/covers/16990.jpg","фото на сайте")</f>
        <v>фото на сайте</v>
      </c>
    </row>
    <row r="1171" spans="1:19" ht="50.1" customHeight="1">
      <c r="A1171" s="31"/>
      <c r="B1171" s="32" t="s">
        <v>4706</v>
      </c>
      <c r="C1171" s="31" t="s">
        <v>4707</v>
      </c>
      <c r="D1171" s="31" t="s">
        <v>4708</v>
      </c>
      <c r="E1171" s="31" t="s">
        <v>4709</v>
      </c>
      <c r="F1171" s="31">
        <v>4</v>
      </c>
      <c r="G1171" s="31">
        <v>325</v>
      </c>
      <c r="H1171" s="31">
        <v>10</v>
      </c>
      <c r="I1171" s="31">
        <v>10</v>
      </c>
      <c r="J1171" s="31" t="s">
        <v>4710</v>
      </c>
      <c r="K1171" s="31" t="s">
        <v>33</v>
      </c>
      <c r="L1171" s="31" t="s">
        <v>34</v>
      </c>
      <c r="M1171" s="31">
        <v>510</v>
      </c>
      <c r="N1171" s="31">
        <v>2000</v>
      </c>
      <c r="O1171" s="31">
        <v>490</v>
      </c>
      <c r="P1171" s="31"/>
      <c r="Q1171" s="31"/>
      <c r="R1171" s="33"/>
      <c r="S1171" s="34" t="str">
        <f>HYPERLINK("http://www.cnpol.ru/covers/1904.jpg","фото на сайте")</f>
        <v>фото на сайте</v>
      </c>
    </row>
    <row r="1172" spans="1:19" ht="50.1" customHeight="1">
      <c r="A1172" s="31"/>
      <c r="B1172" s="32" t="s">
        <v>4711</v>
      </c>
      <c r="C1172" s="31" t="s">
        <v>1102</v>
      </c>
      <c r="D1172" s="31" t="s">
        <v>4712</v>
      </c>
      <c r="E1172" s="31" t="s">
        <v>4713</v>
      </c>
      <c r="F1172" s="31" t="s">
        <v>31</v>
      </c>
      <c r="G1172" s="31">
        <v>593</v>
      </c>
      <c r="H1172" s="31">
        <v>10</v>
      </c>
      <c r="I1172" s="31">
        <v>12</v>
      </c>
      <c r="J1172" s="31" t="s">
        <v>4714</v>
      </c>
      <c r="K1172" s="31" t="s">
        <v>33</v>
      </c>
      <c r="L1172" s="31" t="s">
        <v>34</v>
      </c>
      <c r="M1172" s="31">
        <v>352</v>
      </c>
      <c r="N1172" s="31">
        <v>2016</v>
      </c>
      <c r="O1172" s="31">
        <v>280</v>
      </c>
      <c r="P1172" s="31"/>
      <c r="Q1172" s="31"/>
      <c r="R1172" s="33"/>
      <c r="S1172" s="34" t="str">
        <f>HYPERLINK("http://www.cnpol.ru/covers/17037.jpg","фото на сайте")</f>
        <v>фото на сайте</v>
      </c>
    </row>
    <row r="1173" spans="1:19" ht="50.1" customHeight="1">
      <c r="A1173" s="31"/>
      <c r="B1173" s="32" t="s">
        <v>4715</v>
      </c>
      <c r="C1173" s="31" t="s">
        <v>4716</v>
      </c>
      <c r="D1173" s="31" t="s">
        <v>4717</v>
      </c>
      <c r="E1173" s="31" t="s">
        <v>4718</v>
      </c>
      <c r="F1173" s="31" t="s">
        <v>31</v>
      </c>
      <c r="G1173" s="31">
        <v>486</v>
      </c>
      <c r="H1173" s="31">
        <v>10</v>
      </c>
      <c r="I1173" s="31">
        <v>18</v>
      </c>
      <c r="J1173" s="31" t="s">
        <v>4719</v>
      </c>
      <c r="K1173" s="31" t="s">
        <v>359</v>
      </c>
      <c r="L1173" s="31" t="s">
        <v>34</v>
      </c>
      <c r="M1173" s="31">
        <v>223</v>
      </c>
      <c r="N1173" s="31">
        <v>2005</v>
      </c>
      <c r="O1173" s="31">
        <v>198</v>
      </c>
      <c r="P1173" s="31"/>
      <c r="Q1173" s="31"/>
      <c r="R1173" s="33"/>
      <c r="S1173" s="34" t="str">
        <f>HYPERLINK("http://www.cnpol.ru/covers/6197.jpg","фото на сайте")</f>
        <v>фото на сайте</v>
      </c>
    </row>
    <row r="1174" spans="1:19" ht="50.1" customHeight="1">
      <c r="A1174" s="31"/>
      <c r="B1174" s="32" t="s">
        <v>4720</v>
      </c>
      <c r="C1174" s="31" t="s">
        <v>390</v>
      </c>
      <c r="D1174" s="31" t="s">
        <v>4721</v>
      </c>
      <c r="E1174" s="31" t="s">
        <v>4722</v>
      </c>
      <c r="F1174" s="31">
        <v>686</v>
      </c>
      <c r="G1174" s="31">
        <v>86</v>
      </c>
      <c r="H1174" s="31">
        <v>10</v>
      </c>
      <c r="I1174" s="31">
        <v>30</v>
      </c>
      <c r="J1174" s="31" t="s">
        <v>4723</v>
      </c>
      <c r="K1174" s="31" t="s">
        <v>123</v>
      </c>
      <c r="L1174" s="31" t="s">
        <v>56</v>
      </c>
      <c r="M1174" s="31">
        <v>160</v>
      </c>
      <c r="N1174" s="31">
        <v>2017</v>
      </c>
      <c r="O1174" s="31">
        <v>76</v>
      </c>
      <c r="P1174" s="31"/>
      <c r="Q1174" s="31"/>
      <c r="R1174" s="33"/>
      <c r="S1174" s="34" t="str">
        <f>HYPERLINK("http://www.cnpol.ru/covers/17279.jpg","фото на сайте")</f>
        <v>фото на сайте</v>
      </c>
    </row>
    <row r="1175" spans="1:19" ht="50.1" customHeight="1">
      <c r="A1175" s="31"/>
      <c r="B1175" s="32" t="s">
        <v>4724</v>
      </c>
      <c r="C1175" s="31" t="s">
        <v>390</v>
      </c>
      <c r="D1175" s="31" t="s">
        <v>2106</v>
      </c>
      <c r="E1175" s="31" t="s">
        <v>4725</v>
      </c>
      <c r="F1175" s="31">
        <v>456</v>
      </c>
      <c r="G1175" s="31">
        <v>86</v>
      </c>
      <c r="H1175" s="31">
        <v>10</v>
      </c>
      <c r="I1175" s="31">
        <v>30</v>
      </c>
      <c r="J1175" s="31" t="s">
        <v>4726</v>
      </c>
      <c r="K1175" s="31" t="s">
        <v>123</v>
      </c>
      <c r="L1175" s="31" t="s">
        <v>56</v>
      </c>
      <c r="M1175" s="31">
        <v>158</v>
      </c>
      <c r="N1175" s="31">
        <v>2014</v>
      </c>
      <c r="O1175" s="31">
        <v>78</v>
      </c>
      <c r="P1175" s="31"/>
      <c r="Q1175" s="31"/>
      <c r="R1175" s="33"/>
      <c r="S1175" s="34" t="str">
        <f>HYPERLINK("http://www.cnpol.ru/covers/15521.jpg","фото на сайте")</f>
        <v>фото на сайте</v>
      </c>
    </row>
    <row r="1176" spans="1:19" ht="50.1" customHeight="1">
      <c r="A1176" s="31"/>
      <c r="B1176" s="32" t="s">
        <v>4727</v>
      </c>
      <c r="C1176" s="31" t="s">
        <v>2930</v>
      </c>
      <c r="D1176" s="31" t="s">
        <v>2926</v>
      </c>
      <c r="E1176" s="31" t="s">
        <v>4728</v>
      </c>
      <c r="F1176" s="31" t="s">
        <v>31</v>
      </c>
      <c r="G1176" s="31">
        <v>137</v>
      </c>
      <c r="H1176" s="31">
        <v>10</v>
      </c>
      <c r="I1176" s="31">
        <v>24</v>
      </c>
      <c r="J1176" s="31" t="s">
        <v>4729</v>
      </c>
      <c r="K1176" s="31" t="s">
        <v>55</v>
      </c>
      <c r="L1176" s="31" t="s">
        <v>56</v>
      </c>
      <c r="M1176" s="31">
        <v>318</v>
      </c>
      <c r="N1176" s="31">
        <v>2008</v>
      </c>
      <c r="O1176" s="31">
        <v>132</v>
      </c>
      <c r="P1176" s="31"/>
      <c r="Q1176" s="31"/>
      <c r="R1176" s="33"/>
      <c r="S1176" s="34" t="str">
        <f>HYPERLINK("http://www.cnpol.ru/covers/10716.jpg","фото на сайте")</f>
        <v>фото на сайте</v>
      </c>
    </row>
    <row r="1177" spans="1:19" ht="50.1" customHeight="1">
      <c r="A1177" s="31"/>
      <c r="B1177" s="32" t="s">
        <v>4730</v>
      </c>
      <c r="C1177" s="31" t="s">
        <v>3711</v>
      </c>
      <c r="D1177" s="31" t="s">
        <v>4731</v>
      </c>
      <c r="E1177" s="31" t="s">
        <v>4732</v>
      </c>
      <c r="F1177" s="31" t="s">
        <v>31</v>
      </c>
      <c r="G1177" s="31">
        <v>461</v>
      </c>
      <c r="H1177" s="31">
        <v>10</v>
      </c>
      <c r="I1177" s="31">
        <v>14</v>
      </c>
      <c r="J1177" s="31" t="s">
        <v>4733</v>
      </c>
      <c r="K1177" s="31" t="s">
        <v>33</v>
      </c>
      <c r="L1177" s="31" t="s">
        <v>34</v>
      </c>
      <c r="M1177" s="31">
        <v>351</v>
      </c>
      <c r="N1177" s="31">
        <v>2009</v>
      </c>
      <c r="O1177" s="31">
        <v>342</v>
      </c>
      <c r="P1177" s="31"/>
      <c r="Q1177" s="31"/>
      <c r="R1177" s="33"/>
      <c r="S1177" s="34" t="str">
        <f>HYPERLINK("http://www.cnpol.ru/covers/11232.jpg","фото на сайте")</f>
        <v>фото на сайте</v>
      </c>
    </row>
    <row r="1178" spans="1:19" ht="50.1" customHeight="1">
      <c r="A1178" s="31"/>
      <c r="B1178" s="32" t="s">
        <v>4734</v>
      </c>
      <c r="C1178" s="31" t="s">
        <v>390</v>
      </c>
      <c r="D1178" s="31" t="s">
        <v>3610</v>
      </c>
      <c r="E1178" s="31" t="s">
        <v>4735</v>
      </c>
      <c r="F1178" s="31">
        <v>480</v>
      </c>
      <c r="G1178" s="31">
        <v>86</v>
      </c>
      <c r="H1178" s="31">
        <v>10</v>
      </c>
      <c r="I1178" s="31">
        <v>30</v>
      </c>
      <c r="J1178" s="31" t="s">
        <v>4736</v>
      </c>
      <c r="K1178" s="31" t="s">
        <v>123</v>
      </c>
      <c r="L1178" s="31" t="s">
        <v>56</v>
      </c>
      <c r="M1178" s="31">
        <v>158</v>
      </c>
      <c r="N1178" s="31">
        <v>2014</v>
      </c>
      <c r="O1178" s="31">
        <v>76</v>
      </c>
      <c r="P1178" s="31"/>
      <c r="Q1178" s="31"/>
      <c r="R1178" s="33"/>
      <c r="S1178" s="34" t="str">
        <f>HYPERLINK("http://www.cnpol.ru/covers/15708.jpg","фото на сайте")</f>
        <v>фото на сайте</v>
      </c>
    </row>
    <row r="1179" spans="1:19" ht="50.1" customHeight="1">
      <c r="A1179" s="31"/>
      <c r="B1179" s="32" t="s">
        <v>4737</v>
      </c>
      <c r="C1179" s="31" t="s">
        <v>546</v>
      </c>
      <c r="D1179" s="31" t="s">
        <v>842</v>
      </c>
      <c r="E1179" s="31" t="s">
        <v>4738</v>
      </c>
      <c r="F1179" s="31">
        <v>168</v>
      </c>
      <c r="G1179" s="31">
        <v>93</v>
      </c>
      <c r="H1179" s="31">
        <v>10</v>
      </c>
      <c r="I1179" s="31">
        <v>30</v>
      </c>
      <c r="J1179" s="31" t="s">
        <v>4739</v>
      </c>
      <c r="K1179" s="31" t="s">
        <v>123</v>
      </c>
      <c r="L1179" s="31" t="s">
        <v>56</v>
      </c>
      <c r="M1179" s="31">
        <v>160</v>
      </c>
      <c r="N1179" s="31">
        <v>2016</v>
      </c>
      <c r="O1179" s="31">
        <v>76</v>
      </c>
      <c r="P1179" s="31"/>
      <c r="Q1179" s="31"/>
      <c r="R1179" s="33"/>
      <c r="S1179" s="34" t="str">
        <f>HYPERLINK("http://www.cnpol.ru/covers/16707.jpg","фото на сайте")</f>
        <v>фото на сайте</v>
      </c>
    </row>
    <row r="1180" spans="1:19" ht="50.1" customHeight="1">
      <c r="A1180" s="31"/>
      <c r="B1180" s="32" t="s">
        <v>4740</v>
      </c>
      <c r="C1180" s="31" t="s">
        <v>546</v>
      </c>
      <c r="D1180" s="31" t="s">
        <v>1846</v>
      </c>
      <c r="E1180" s="31" t="s">
        <v>4741</v>
      </c>
      <c r="F1180" s="31">
        <v>263</v>
      </c>
      <c r="G1180" s="31">
        <v>93</v>
      </c>
      <c r="H1180" s="31">
        <v>10</v>
      </c>
      <c r="I1180" s="31">
        <v>30</v>
      </c>
      <c r="J1180" s="31" t="s">
        <v>4742</v>
      </c>
      <c r="K1180" s="31" t="s">
        <v>123</v>
      </c>
      <c r="L1180" s="31" t="s">
        <v>56</v>
      </c>
      <c r="M1180" s="31">
        <v>160</v>
      </c>
      <c r="N1180" s="31">
        <v>2018</v>
      </c>
      <c r="O1180" s="31">
        <v>76</v>
      </c>
      <c r="P1180" s="31"/>
      <c r="Q1180" s="31"/>
      <c r="R1180" s="33"/>
      <c r="S1180" s="34" t="str">
        <f>HYPERLINK("http://www.cnpol.ru/covers/18100.jpg","фото на сайте")</f>
        <v>фото на сайте</v>
      </c>
    </row>
    <row r="1181" spans="1:19" ht="50.1" customHeight="1">
      <c r="A1181" s="31"/>
      <c r="B1181" s="32" t="s">
        <v>4743</v>
      </c>
      <c r="C1181" s="31" t="s">
        <v>390</v>
      </c>
      <c r="D1181" s="31" t="s">
        <v>1660</v>
      </c>
      <c r="E1181" s="31" t="s">
        <v>4744</v>
      </c>
      <c r="F1181" s="31">
        <v>646</v>
      </c>
      <c r="G1181" s="31">
        <v>86</v>
      </c>
      <c r="H1181" s="31">
        <v>10</v>
      </c>
      <c r="I1181" s="31">
        <v>30</v>
      </c>
      <c r="J1181" s="31" t="s">
        <v>4745</v>
      </c>
      <c r="K1181" s="31" t="s">
        <v>123</v>
      </c>
      <c r="L1181" s="31" t="s">
        <v>56</v>
      </c>
      <c r="M1181" s="31">
        <v>158</v>
      </c>
      <c r="N1181" s="31">
        <v>2016</v>
      </c>
      <c r="O1181" s="31">
        <v>76</v>
      </c>
      <c r="P1181" s="31"/>
      <c r="Q1181" s="31"/>
      <c r="R1181" s="33"/>
      <c r="S1181" s="34" t="str">
        <f>HYPERLINK("http://www.cnpol.ru/covers/16976.jpg","фото на сайте")</f>
        <v>фото на сайте</v>
      </c>
    </row>
    <row r="1182" spans="1:19" ht="50.1" customHeight="1">
      <c r="A1182" s="31"/>
      <c r="B1182" s="32" t="s">
        <v>4746</v>
      </c>
      <c r="C1182" s="31" t="s">
        <v>390</v>
      </c>
      <c r="D1182" s="31" t="s">
        <v>1758</v>
      </c>
      <c r="E1182" s="31" t="s">
        <v>4747</v>
      </c>
      <c r="F1182" s="31">
        <v>1018</v>
      </c>
      <c r="G1182" s="31">
        <v>86</v>
      </c>
      <c r="H1182" s="31">
        <v>10</v>
      </c>
      <c r="I1182" s="31">
        <v>30</v>
      </c>
      <c r="J1182" s="31" t="s">
        <v>4748</v>
      </c>
      <c r="K1182" s="31" t="s">
        <v>123</v>
      </c>
      <c r="L1182" s="31" t="s">
        <v>56</v>
      </c>
      <c r="M1182" s="31">
        <v>160</v>
      </c>
      <c r="N1182" s="31">
        <v>2021</v>
      </c>
      <c r="O1182" s="31">
        <v>76</v>
      </c>
      <c r="P1182" s="31"/>
      <c r="Q1182" s="31"/>
      <c r="R1182" s="33"/>
      <c r="S1182" s="34" t="str">
        <f>HYPERLINK("http://www.cnpol.ru/covers/19525.jpg","фото на сайте")</f>
        <v>фото на сайте</v>
      </c>
    </row>
    <row r="1183" spans="1:19" ht="50.1" customHeight="1">
      <c r="A1183" s="31"/>
      <c r="B1183" s="32" t="s">
        <v>4749</v>
      </c>
      <c r="C1183" s="31" t="s">
        <v>390</v>
      </c>
      <c r="D1183" s="31" t="s">
        <v>1347</v>
      </c>
      <c r="E1183" s="31" t="s">
        <v>4750</v>
      </c>
      <c r="F1183" s="31">
        <v>759</v>
      </c>
      <c r="G1183" s="31">
        <v>86</v>
      </c>
      <c r="H1183" s="31">
        <v>10</v>
      </c>
      <c r="I1183" s="31">
        <v>30</v>
      </c>
      <c r="J1183" s="31" t="s">
        <v>4751</v>
      </c>
      <c r="K1183" s="31" t="s">
        <v>123</v>
      </c>
      <c r="L1183" s="31" t="s">
        <v>56</v>
      </c>
      <c r="M1183" s="31">
        <v>160</v>
      </c>
      <c r="N1183" s="31">
        <v>2017</v>
      </c>
      <c r="O1183" s="31">
        <v>76</v>
      </c>
      <c r="P1183" s="31"/>
      <c r="Q1183" s="31"/>
      <c r="R1183" s="33"/>
      <c r="S1183" s="34" t="str">
        <f>HYPERLINK("http://www.cnpol.ru/covers/17732.jpg","фото на сайте")</f>
        <v>фото на сайте</v>
      </c>
    </row>
    <row r="1184" spans="1:19" ht="50.1" customHeight="1">
      <c r="A1184" s="31"/>
      <c r="B1184" s="32" t="s">
        <v>4752</v>
      </c>
      <c r="C1184" s="31" t="s">
        <v>390</v>
      </c>
      <c r="D1184" s="31" t="s">
        <v>2177</v>
      </c>
      <c r="E1184" s="31" t="s">
        <v>4753</v>
      </c>
      <c r="F1184" s="31">
        <v>738</v>
      </c>
      <c r="G1184" s="31">
        <v>86</v>
      </c>
      <c r="H1184" s="31">
        <v>10</v>
      </c>
      <c r="I1184" s="31">
        <v>30</v>
      </c>
      <c r="J1184" s="31" t="s">
        <v>4754</v>
      </c>
      <c r="K1184" s="31" t="s">
        <v>123</v>
      </c>
      <c r="L1184" s="31" t="s">
        <v>56</v>
      </c>
      <c r="M1184" s="31">
        <v>160</v>
      </c>
      <c r="N1184" s="31">
        <v>2017</v>
      </c>
      <c r="O1184" s="31">
        <v>76</v>
      </c>
      <c r="P1184" s="31"/>
      <c r="Q1184" s="31"/>
      <c r="R1184" s="33"/>
      <c r="S1184" s="34" t="str">
        <f>HYPERLINK("http://www.cnpol.ru/covers/17610.jpg","фото на сайте")</f>
        <v>фото на сайте</v>
      </c>
    </row>
    <row r="1185" spans="1:19" ht="50.1" customHeight="1">
      <c r="A1185" s="31"/>
      <c r="B1185" s="32" t="s">
        <v>4755</v>
      </c>
      <c r="C1185" s="31" t="s">
        <v>546</v>
      </c>
      <c r="D1185" s="31" t="s">
        <v>3116</v>
      </c>
      <c r="E1185" s="31" t="s">
        <v>4756</v>
      </c>
      <c r="F1185" s="31">
        <v>379</v>
      </c>
      <c r="G1185" s="31">
        <v>93</v>
      </c>
      <c r="H1185" s="31">
        <v>10</v>
      </c>
      <c r="I1185" s="31">
        <v>30</v>
      </c>
      <c r="J1185" s="31" t="s">
        <v>4757</v>
      </c>
      <c r="K1185" s="31" t="s">
        <v>123</v>
      </c>
      <c r="L1185" s="31" t="s">
        <v>56</v>
      </c>
      <c r="M1185" s="31">
        <v>160</v>
      </c>
      <c r="N1185" s="31">
        <v>2021</v>
      </c>
      <c r="O1185" s="31">
        <v>76</v>
      </c>
      <c r="P1185" s="31"/>
      <c r="Q1185" s="31"/>
      <c r="R1185" s="33"/>
      <c r="S1185" s="34" t="str">
        <f>HYPERLINK("http://www.cnpol.ru/covers/19731.jpg","фото на сайте")</f>
        <v>фото на сайте</v>
      </c>
    </row>
    <row r="1186" spans="1:19" ht="50.1" customHeight="1">
      <c r="A1186" s="31"/>
      <c r="B1186" s="32" t="s">
        <v>4758</v>
      </c>
      <c r="C1186" s="31" t="s">
        <v>413</v>
      </c>
      <c r="D1186" s="31" t="s">
        <v>1628</v>
      </c>
      <c r="E1186" s="31" t="s">
        <v>4759</v>
      </c>
      <c r="F1186" s="31">
        <v>159</v>
      </c>
      <c r="G1186" s="31">
        <v>117</v>
      </c>
      <c r="H1186" s="31">
        <v>10</v>
      </c>
      <c r="I1186" s="31">
        <v>30</v>
      </c>
      <c r="J1186" s="31" t="s">
        <v>4760</v>
      </c>
      <c r="K1186" s="31" t="s">
        <v>123</v>
      </c>
      <c r="L1186" s="31" t="s">
        <v>56</v>
      </c>
      <c r="M1186" s="31">
        <v>192</v>
      </c>
      <c r="N1186" s="31">
        <v>2018</v>
      </c>
      <c r="O1186" s="31">
        <v>90</v>
      </c>
      <c r="P1186" s="31"/>
      <c r="Q1186" s="31"/>
      <c r="R1186" s="33"/>
      <c r="S1186" s="34" t="str">
        <f>HYPERLINK("http://www.cnpol.ru/covers/18384.jpg","фото на сайте")</f>
        <v>фото на сайте</v>
      </c>
    </row>
    <row r="1187" spans="1:19" ht="50.1" customHeight="1">
      <c r="A1187" s="31"/>
      <c r="B1187" s="32" t="s">
        <v>4761</v>
      </c>
      <c r="C1187" s="31" t="s">
        <v>546</v>
      </c>
      <c r="D1187" s="31" t="s">
        <v>765</v>
      </c>
      <c r="E1187" s="31" t="s">
        <v>4762</v>
      </c>
      <c r="F1187" s="31">
        <v>287</v>
      </c>
      <c r="G1187" s="31">
        <v>93</v>
      </c>
      <c r="H1187" s="31">
        <v>10</v>
      </c>
      <c r="I1187" s="31">
        <v>30</v>
      </c>
      <c r="J1187" s="31" t="s">
        <v>4763</v>
      </c>
      <c r="K1187" s="31" t="s">
        <v>123</v>
      </c>
      <c r="L1187" s="31" t="s">
        <v>56</v>
      </c>
      <c r="M1187" s="31">
        <v>160</v>
      </c>
      <c r="N1187" s="31">
        <v>2018</v>
      </c>
      <c r="O1187" s="31">
        <v>76</v>
      </c>
      <c r="P1187" s="31"/>
      <c r="Q1187" s="31"/>
      <c r="R1187" s="33"/>
      <c r="S1187" s="34" t="str">
        <f>HYPERLINK("http://www.cnpol.ru/covers/18411.jpg","фото на сайте")</f>
        <v>фото на сайте</v>
      </c>
    </row>
    <row r="1188" spans="1:19" ht="50.1" customHeight="1">
      <c r="A1188" s="31"/>
      <c r="B1188" s="32" t="s">
        <v>4764</v>
      </c>
      <c r="C1188" s="31" t="s">
        <v>1390</v>
      </c>
      <c r="D1188" s="31" t="s">
        <v>4765</v>
      </c>
      <c r="E1188" s="31" t="s">
        <v>4766</v>
      </c>
      <c r="F1188" s="31" t="s">
        <v>31</v>
      </c>
      <c r="G1188" s="31">
        <v>218</v>
      </c>
      <c r="H1188" s="31">
        <v>10</v>
      </c>
      <c r="I1188" s="31">
        <v>20</v>
      </c>
      <c r="J1188" s="31" t="s">
        <v>4767</v>
      </c>
      <c r="K1188" s="31" t="s">
        <v>130</v>
      </c>
      <c r="L1188" s="31" t="s">
        <v>56</v>
      </c>
      <c r="M1188" s="31">
        <v>224</v>
      </c>
      <c r="N1188" s="31">
        <v>2018</v>
      </c>
      <c r="O1188" s="31">
        <v>208</v>
      </c>
      <c r="P1188" s="31"/>
      <c r="Q1188" s="31"/>
      <c r="R1188" s="33"/>
      <c r="S1188" s="34" t="str">
        <f>HYPERLINK("http://www.cnpol.ru/covers/17977.jpg","фото на сайте")</f>
        <v>фото на сайте</v>
      </c>
    </row>
    <row r="1189" spans="1:19" ht="50.1" customHeight="1">
      <c r="A1189" s="31"/>
      <c r="B1189" s="32" t="s">
        <v>4768</v>
      </c>
      <c r="C1189" s="31" t="s">
        <v>423</v>
      </c>
      <c r="D1189" s="31" t="s">
        <v>4769</v>
      </c>
      <c r="E1189" s="31" t="s">
        <v>4770</v>
      </c>
      <c r="F1189" s="31" t="s">
        <v>31</v>
      </c>
      <c r="G1189" s="31">
        <v>154</v>
      </c>
      <c r="H1189" s="31">
        <v>10</v>
      </c>
      <c r="I1189" s="31">
        <v>28</v>
      </c>
      <c r="J1189" s="31" t="s">
        <v>4771</v>
      </c>
      <c r="K1189" s="31" t="s">
        <v>55</v>
      </c>
      <c r="L1189" s="31" t="s">
        <v>56</v>
      </c>
      <c r="M1189" s="31">
        <v>285</v>
      </c>
      <c r="N1189" s="31">
        <v>2008</v>
      </c>
      <c r="O1189" s="31">
        <v>120</v>
      </c>
      <c r="P1189" s="31"/>
      <c r="Q1189" s="31"/>
      <c r="R1189" s="33"/>
      <c r="S1189" s="34" t="str">
        <f>HYPERLINK("http://www.cnpol.ru/covers/10280.jpg","фото на сайте")</f>
        <v>фото на сайте</v>
      </c>
    </row>
    <row r="1190" spans="1:19" ht="50.1" customHeight="1">
      <c r="A1190" s="31"/>
      <c r="B1190" s="32" t="s">
        <v>4772</v>
      </c>
      <c r="C1190" s="31" t="s">
        <v>390</v>
      </c>
      <c r="D1190" s="31" t="s">
        <v>3691</v>
      </c>
      <c r="E1190" s="31" t="s">
        <v>4773</v>
      </c>
      <c r="F1190" s="31">
        <v>362</v>
      </c>
      <c r="G1190" s="31">
        <v>86</v>
      </c>
      <c r="H1190" s="31">
        <v>10</v>
      </c>
      <c r="I1190" s="31">
        <v>30</v>
      </c>
      <c r="J1190" s="31" t="s">
        <v>4774</v>
      </c>
      <c r="K1190" s="31" t="s">
        <v>123</v>
      </c>
      <c r="L1190" s="31" t="s">
        <v>56</v>
      </c>
      <c r="M1190" s="31">
        <v>158</v>
      </c>
      <c r="N1190" s="31">
        <v>2013</v>
      </c>
      <c r="O1190" s="31">
        <v>78</v>
      </c>
      <c r="P1190" s="31"/>
      <c r="Q1190" s="31"/>
      <c r="R1190" s="33"/>
      <c r="S1190" s="34" t="str">
        <f>HYPERLINK("http://www.cnpol.ru/covers/14670.jpg","фото на сайте")</f>
        <v>фото на сайте</v>
      </c>
    </row>
    <row r="1191" spans="1:19" ht="50.1" customHeight="1">
      <c r="A1191" s="31"/>
      <c r="B1191" s="32" t="s">
        <v>4775</v>
      </c>
      <c r="C1191" s="31" t="s">
        <v>390</v>
      </c>
      <c r="D1191" s="31" t="s">
        <v>1705</v>
      </c>
      <c r="E1191" s="31" t="s">
        <v>4776</v>
      </c>
      <c r="F1191" s="31">
        <v>720</v>
      </c>
      <c r="G1191" s="31">
        <v>86</v>
      </c>
      <c r="H1191" s="31">
        <v>10</v>
      </c>
      <c r="I1191" s="31">
        <v>30</v>
      </c>
      <c r="J1191" s="31" t="s">
        <v>4777</v>
      </c>
      <c r="K1191" s="31" t="s">
        <v>123</v>
      </c>
      <c r="L1191" s="31" t="s">
        <v>56</v>
      </c>
      <c r="M1191" s="31">
        <v>160</v>
      </c>
      <c r="N1191" s="31">
        <v>2017</v>
      </c>
      <c r="O1191" s="31">
        <v>76</v>
      </c>
      <c r="P1191" s="31"/>
      <c r="Q1191" s="31"/>
      <c r="R1191" s="33"/>
      <c r="S1191" s="34" t="str">
        <f>HYPERLINK("http://www.cnpol.ru/covers/17492.jpg","фото на сайте")</f>
        <v>фото на сайте</v>
      </c>
    </row>
    <row r="1192" spans="1:19" ht="50.1" customHeight="1">
      <c r="A1192" s="31"/>
      <c r="B1192" s="32" t="s">
        <v>4778</v>
      </c>
      <c r="C1192" s="31" t="s">
        <v>520</v>
      </c>
      <c r="D1192" s="31" t="s">
        <v>4006</v>
      </c>
      <c r="E1192" s="31" t="s">
        <v>4779</v>
      </c>
      <c r="F1192" s="31">
        <v>77</v>
      </c>
      <c r="G1192" s="31">
        <v>117</v>
      </c>
      <c r="H1192" s="31">
        <v>10</v>
      </c>
      <c r="I1192" s="31">
        <v>30</v>
      </c>
      <c r="J1192" s="31" t="s">
        <v>4780</v>
      </c>
      <c r="K1192" s="31" t="s">
        <v>123</v>
      </c>
      <c r="L1192" s="31" t="s">
        <v>56</v>
      </c>
      <c r="M1192" s="31">
        <v>192</v>
      </c>
      <c r="N1192" s="31">
        <v>2020</v>
      </c>
      <c r="O1192" s="31">
        <v>90</v>
      </c>
      <c r="P1192" s="31"/>
      <c r="Q1192" s="31"/>
      <c r="R1192" s="33"/>
      <c r="S1192" s="34" t="str">
        <f>HYPERLINK("http://www.cnpol.ru/covers/19156.jpg","фото на сайте")</f>
        <v>фото на сайте</v>
      </c>
    </row>
    <row r="1193" spans="1:19" ht="50.1" customHeight="1">
      <c r="A1193" s="31"/>
      <c r="B1193" s="32" t="s">
        <v>4781</v>
      </c>
      <c r="C1193" s="31" t="s">
        <v>418</v>
      </c>
      <c r="D1193" s="31" t="s">
        <v>3894</v>
      </c>
      <c r="E1193" s="31" t="s">
        <v>4782</v>
      </c>
      <c r="F1193" s="31">
        <v>107</v>
      </c>
      <c r="G1193" s="31">
        <v>153</v>
      </c>
      <c r="H1193" s="31">
        <v>10</v>
      </c>
      <c r="I1193" s="31">
        <v>24</v>
      </c>
      <c r="J1193" s="31" t="s">
        <v>4783</v>
      </c>
      <c r="K1193" s="31" t="s">
        <v>123</v>
      </c>
      <c r="L1193" s="31" t="s">
        <v>56</v>
      </c>
      <c r="M1193" s="31">
        <v>256</v>
      </c>
      <c r="N1193" s="31">
        <v>2020</v>
      </c>
      <c r="O1193" s="31">
        <v>120</v>
      </c>
      <c r="P1193" s="31"/>
      <c r="Q1193" s="31"/>
      <c r="R1193" s="33"/>
      <c r="S1193" s="34" t="str">
        <f>HYPERLINK("http://www.cnpol.ru/covers/19124.jpg","фото на сайте")</f>
        <v>фото на сайте</v>
      </c>
    </row>
    <row r="1194" spans="1:19" ht="50.1" customHeight="1">
      <c r="A1194" s="31"/>
      <c r="B1194" s="32" t="s">
        <v>4784</v>
      </c>
      <c r="C1194" s="31" t="s">
        <v>37</v>
      </c>
      <c r="D1194" s="31" t="s">
        <v>4785</v>
      </c>
      <c r="E1194" s="31" t="s">
        <v>4786</v>
      </c>
      <c r="F1194" s="31" t="s">
        <v>31</v>
      </c>
      <c r="G1194" s="31">
        <v>503</v>
      </c>
      <c r="H1194" s="31">
        <v>10</v>
      </c>
      <c r="I1194" s="31">
        <v>12</v>
      </c>
      <c r="J1194" s="31" t="s">
        <v>4787</v>
      </c>
      <c r="K1194" s="31" t="s">
        <v>33</v>
      </c>
      <c r="L1194" s="31" t="s">
        <v>34</v>
      </c>
      <c r="M1194" s="31">
        <v>320</v>
      </c>
      <c r="N1194" s="31">
        <v>2016</v>
      </c>
      <c r="O1194" s="31">
        <v>296</v>
      </c>
      <c r="P1194" s="31"/>
      <c r="Q1194" s="31"/>
      <c r="R1194" s="33"/>
      <c r="S1194" s="34" t="str">
        <f>HYPERLINK("http://www.cnpol.ru/covers/17068.jpg","фото на сайте")</f>
        <v>фото на сайте</v>
      </c>
    </row>
    <row r="1195" spans="1:19" ht="50.1" customHeight="1">
      <c r="A1195" s="31"/>
      <c r="B1195" s="32" t="s">
        <v>4788</v>
      </c>
      <c r="C1195" s="31" t="s">
        <v>119</v>
      </c>
      <c r="D1195" s="31" t="s">
        <v>4418</v>
      </c>
      <c r="E1195" s="31" t="s">
        <v>4789</v>
      </c>
      <c r="F1195" s="31" t="s">
        <v>31</v>
      </c>
      <c r="G1195" s="31">
        <v>503</v>
      </c>
      <c r="H1195" s="31">
        <v>10</v>
      </c>
      <c r="I1195" s="31">
        <v>12</v>
      </c>
      <c r="J1195" s="31" t="s">
        <v>4790</v>
      </c>
      <c r="K1195" s="31" t="s">
        <v>194</v>
      </c>
      <c r="L1195" s="31" t="s">
        <v>34</v>
      </c>
      <c r="M1195" s="31">
        <v>384</v>
      </c>
      <c r="N1195" s="31">
        <v>2018</v>
      </c>
      <c r="O1195" s="31">
        <v>272</v>
      </c>
      <c r="P1195" s="31"/>
      <c r="Q1195" s="31"/>
      <c r="R1195" s="33"/>
      <c r="S1195" s="34" t="str">
        <f>HYPERLINK("http://www.cnpol.ru/covers/18375.jpg","фото на сайте")</f>
        <v>фото на сайте</v>
      </c>
    </row>
    <row r="1196" spans="1:19" ht="50.1" customHeight="1">
      <c r="A1196" s="31"/>
      <c r="B1196" s="32" t="s">
        <v>4791</v>
      </c>
      <c r="C1196" s="31" t="s">
        <v>1442</v>
      </c>
      <c r="D1196" s="31" t="s">
        <v>1443</v>
      </c>
      <c r="E1196" s="31" t="s">
        <v>4792</v>
      </c>
      <c r="F1196" s="31" t="s">
        <v>31</v>
      </c>
      <c r="G1196" s="35">
        <v>1046</v>
      </c>
      <c r="H1196" s="31">
        <v>10</v>
      </c>
      <c r="I1196" s="31">
        <v>10</v>
      </c>
      <c r="J1196" s="31" t="s">
        <v>4793</v>
      </c>
      <c r="K1196" s="31" t="s">
        <v>33</v>
      </c>
      <c r="L1196" s="31" t="s">
        <v>34</v>
      </c>
      <c r="M1196" s="31">
        <v>397</v>
      </c>
      <c r="N1196" s="31">
        <v>2022</v>
      </c>
      <c r="O1196" s="31">
        <v>320</v>
      </c>
      <c r="P1196" s="31"/>
      <c r="Q1196" s="31"/>
      <c r="R1196" s="33" t="s">
        <v>4794</v>
      </c>
      <c r="S1196" s="34" t="str">
        <f>HYPERLINK("http://www.cnpol.ru/covers/20323.jpg","фото на сайте")</f>
        <v>фото на сайте</v>
      </c>
    </row>
    <row r="1197" spans="1:19" ht="50.1" customHeight="1">
      <c r="A1197" s="31"/>
      <c r="B1197" s="32" t="s">
        <v>4795</v>
      </c>
      <c r="C1197" s="31" t="s">
        <v>528</v>
      </c>
      <c r="D1197" s="31" t="s">
        <v>529</v>
      </c>
      <c r="E1197" s="31" t="s">
        <v>4796</v>
      </c>
      <c r="F1197" s="31" t="s">
        <v>31</v>
      </c>
      <c r="G1197" s="31">
        <v>137</v>
      </c>
      <c r="H1197" s="31">
        <v>10</v>
      </c>
      <c r="I1197" s="31">
        <v>24</v>
      </c>
      <c r="J1197" s="31" t="s">
        <v>4797</v>
      </c>
      <c r="K1197" s="31" t="s">
        <v>123</v>
      </c>
      <c r="L1197" s="31" t="s">
        <v>56</v>
      </c>
      <c r="M1197" s="31">
        <v>160</v>
      </c>
      <c r="N1197" s="31">
        <v>2017</v>
      </c>
      <c r="O1197" s="31">
        <v>68</v>
      </c>
      <c r="P1197" s="31"/>
      <c r="Q1197" s="31"/>
      <c r="R1197" s="33"/>
      <c r="S1197" s="34" t="str">
        <f>HYPERLINK("http://www.cnpol.ru/covers/17530.jpg","фото на сайте")</f>
        <v>фото на сайте</v>
      </c>
    </row>
    <row r="1198" spans="1:19" ht="50.1" customHeight="1">
      <c r="A1198" s="31"/>
      <c r="B1198" s="32" t="s">
        <v>4798</v>
      </c>
      <c r="C1198" s="31" t="s">
        <v>4799</v>
      </c>
      <c r="D1198" s="31" t="s">
        <v>4800</v>
      </c>
      <c r="E1198" s="31" t="s">
        <v>4801</v>
      </c>
      <c r="F1198" s="31" t="s">
        <v>31</v>
      </c>
      <c r="G1198" s="31">
        <v>194</v>
      </c>
      <c r="H1198" s="31">
        <v>10</v>
      </c>
      <c r="I1198" s="31">
        <v>10</v>
      </c>
      <c r="J1198" s="31" t="s">
        <v>4802</v>
      </c>
      <c r="K1198" s="31" t="s">
        <v>300</v>
      </c>
      <c r="L1198" s="31" t="s">
        <v>56</v>
      </c>
      <c r="M1198" s="31">
        <v>286</v>
      </c>
      <c r="N1198" s="31">
        <v>2011</v>
      </c>
      <c r="O1198" s="31">
        <v>144</v>
      </c>
      <c r="P1198" s="31"/>
      <c r="Q1198" s="31"/>
      <c r="R1198" s="33"/>
      <c r="S1198" s="34" t="str">
        <f>HYPERLINK("http://www.cnpol.ru/covers/12930.jpg","фото на сайте")</f>
        <v>фото на сайте</v>
      </c>
    </row>
    <row r="1199" spans="1:19" ht="50.1" customHeight="1">
      <c r="A1199" s="31"/>
      <c r="B1199" s="32" t="s">
        <v>4803</v>
      </c>
      <c r="C1199" s="31" t="s">
        <v>520</v>
      </c>
      <c r="D1199" s="31" t="s">
        <v>4804</v>
      </c>
      <c r="E1199" s="31" t="s">
        <v>4805</v>
      </c>
      <c r="F1199" s="31">
        <v>68</v>
      </c>
      <c r="G1199" s="31">
        <v>117</v>
      </c>
      <c r="H1199" s="31">
        <v>10</v>
      </c>
      <c r="I1199" s="31">
        <v>30</v>
      </c>
      <c r="J1199" s="31" t="s">
        <v>4806</v>
      </c>
      <c r="K1199" s="31" t="s">
        <v>123</v>
      </c>
      <c r="L1199" s="31" t="s">
        <v>56</v>
      </c>
      <c r="M1199" s="31">
        <v>192</v>
      </c>
      <c r="N1199" s="31">
        <v>2019</v>
      </c>
      <c r="O1199" s="31">
        <v>90</v>
      </c>
      <c r="P1199" s="31"/>
      <c r="Q1199" s="31"/>
      <c r="R1199" s="33"/>
      <c r="S1199" s="34" t="str">
        <f>HYPERLINK("http://www.cnpol.ru/covers/18752.jpg","фото на сайте")</f>
        <v>фото на сайте</v>
      </c>
    </row>
    <row r="1200" spans="1:19" ht="50.1" customHeight="1">
      <c r="A1200" s="31"/>
      <c r="B1200" s="32" t="s">
        <v>4807</v>
      </c>
      <c r="C1200" s="31" t="s">
        <v>400</v>
      </c>
      <c r="D1200" s="31" t="s">
        <v>4808</v>
      </c>
      <c r="E1200" s="31" t="s">
        <v>4809</v>
      </c>
      <c r="F1200" s="31" t="s">
        <v>31</v>
      </c>
      <c r="G1200" s="31">
        <v>503</v>
      </c>
      <c r="H1200" s="31">
        <v>10</v>
      </c>
      <c r="I1200" s="31">
        <v>14</v>
      </c>
      <c r="J1200" s="31" t="s">
        <v>4810</v>
      </c>
      <c r="K1200" s="31" t="s">
        <v>33</v>
      </c>
      <c r="L1200" s="31" t="s">
        <v>34</v>
      </c>
      <c r="M1200" s="31">
        <v>319</v>
      </c>
      <c r="N1200" s="31">
        <v>2021</v>
      </c>
      <c r="O1200" s="31">
        <v>274</v>
      </c>
      <c r="P1200" s="31"/>
      <c r="Q1200" s="31"/>
      <c r="R1200" s="33"/>
      <c r="S1200" s="34" t="str">
        <f>HYPERLINK("http://www.cnpol.ru/covers/19543.jpg","фото на сайте")</f>
        <v>фото на сайте</v>
      </c>
    </row>
    <row r="1201" spans="1:19" ht="50.1" customHeight="1">
      <c r="A1201" s="31"/>
      <c r="B1201" s="32" t="s">
        <v>4811</v>
      </c>
      <c r="C1201" s="31" t="s">
        <v>4812</v>
      </c>
      <c r="D1201" s="31" t="s">
        <v>4813</v>
      </c>
      <c r="E1201" s="31" t="s">
        <v>4814</v>
      </c>
      <c r="F1201" s="31" t="s">
        <v>31</v>
      </c>
      <c r="G1201" s="31">
        <v>593</v>
      </c>
      <c r="H1201" s="31">
        <v>10</v>
      </c>
      <c r="I1201" s="31">
        <v>10</v>
      </c>
      <c r="J1201" s="31" t="s">
        <v>4815</v>
      </c>
      <c r="K1201" s="31" t="s">
        <v>33</v>
      </c>
      <c r="L1201" s="31" t="s">
        <v>34</v>
      </c>
      <c r="M1201" s="31">
        <v>444</v>
      </c>
      <c r="N1201" s="31">
        <v>2013</v>
      </c>
      <c r="O1201" s="31">
        <v>410</v>
      </c>
      <c r="P1201" s="31"/>
      <c r="Q1201" s="31"/>
      <c r="R1201" s="33"/>
      <c r="S1201" s="34" t="str">
        <f>HYPERLINK("http://www.cnpol.ru/covers/14115.jpg","фото на сайте")</f>
        <v>фото на сайте</v>
      </c>
    </row>
    <row r="1202" spans="1:19" ht="50.1" customHeight="1">
      <c r="A1202" s="31"/>
      <c r="B1202" s="32" t="s">
        <v>4816</v>
      </c>
      <c r="C1202" s="31" t="s">
        <v>4817</v>
      </c>
      <c r="D1202" s="31" t="s">
        <v>3210</v>
      </c>
      <c r="E1202" s="31" t="s">
        <v>4818</v>
      </c>
      <c r="F1202" s="31" t="s">
        <v>31</v>
      </c>
      <c r="G1202" s="31">
        <v>154</v>
      </c>
      <c r="H1202" s="31">
        <v>10</v>
      </c>
      <c r="I1202" s="31">
        <v>20</v>
      </c>
      <c r="J1202" s="31" t="s">
        <v>4819</v>
      </c>
      <c r="K1202" s="31" t="s">
        <v>55</v>
      </c>
      <c r="L1202" s="31" t="s">
        <v>56</v>
      </c>
      <c r="M1202" s="31">
        <v>412</v>
      </c>
      <c r="N1202" s="31">
        <v>2007</v>
      </c>
      <c r="O1202" s="31">
        <v>172</v>
      </c>
      <c r="P1202" s="31"/>
      <c r="Q1202" s="31"/>
      <c r="R1202" s="33"/>
      <c r="S1202" s="34" t="str">
        <f>HYPERLINK("http://www.cnpol.ru/covers/8780.jpg","фото на сайте")</f>
        <v>фото на сайте</v>
      </c>
    </row>
    <row r="1203" spans="1:19" ht="50.1" customHeight="1">
      <c r="A1203" s="31"/>
      <c r="B1203" s="32" t="s">
        <v>4820</v>
      </c>
      <c r="C1203" s="31" t="s">
        <v>418</v>
      </c>
      <c r="D1203" s="31" t="s">
        <v>1356</v>
      </c>
      <c r="E1203" s="31" t="s">
        <v>4821</v>
      </c>
      <c r="F1203" s="31">
        <v>26</v>
      </c>
      <c r="G1203" s="31">
        <v>153</v>
      </c>
      <c r="H1203" s="31">
        <v>10</v>
      </c>
      <c r="I1203" s="31">
        <v>28</v>
      </c>
      <c r="J1203" s="31" t="s">
        <v>4822</v>
      </c>
      <c r="K1203" s="31" t="s">
        <v>123</v>
      </c>
      <c r="L1203" s="31" t="s">
        <v>56</v>
      </c>
      <c r="M1203" s="31">
        <v>224</v>
      </c>
      <c r="N1203" s="31">
        <v>2013</v>
      </c>
      <c r="O1203" s="31">
        <v>104</v>
      </c>
      <c r="P1203" s="31"/>
      <c r="Q1203" s="31"/>
      <c r="R1203" s="33"/>
      <c r="S1203" s="34" t="str">
        <f>HYPERLINK("http://www.cnpol.ru/covers/14411.jpg","фото на сайте")</f>
        <v>фото на сайте</v>
      </c>
    </row>
    <row r="1204" spans="1:19" ht="50.1" customHeight="1">
      <c r="A1204" s="31"/>
      <c r="B1204" s="32" t="s">
        <v>4823</v>
      </c>
      <c r="C1204" s="31" t="s">
        <v>390</v>
      </c>
      <c r="D1204" s="31" t="s">
        <v>4824</v>
      </c>
      <c r="E1204" s="31" t="s">
        <v>4825</v>
      </c>
      <c r="F1204" s="31">
        <v>461</v>
      </c>
      <c r="G1204" s="31">
        <v>86</v>
      </c>
      <c r="H1204" s="31">
        <v>10</v>
      </c>
      <c r="I1204" s="31">
        <v>30</v>
      </c>
      <c r="J1204" s="31" t="s">
        <v>4826</v>
      </c>
      <c r="K1204" s="31" t="s">
        <v>123</v>
      </c>
      <c r="L1204" s="31" t="s">
        <v>56</v>
      </c>
      <c r="M1204" s="31">
        <v>158</v>
      </c>
      <c r="N1204" s="31">
        <v>2014</v>
      </c>
      <c r="O1204" s="31">
        <v>76</v>
      </c>
      <c r="P1204" s="31"/>
      <c r="Q1204" s="31"/>
      <c r="R1204" s="33"/>
      <c r="S1204" s="34" t="str">
        <f>HYPERLINK("http://www.cnpol.ru/covers/15547.jpg","фото на сайте")</f>
        <v>фото на сайте</v>
      </c>
    </row>
    <row r="1205" spans="1:19" ht="50.1" customHeight="1">
      <c r="A1205" s="31"/>
      <c r="B1205" s="32" t="s">
        <v>4827</v>
      </c>
      <c r="C1205" s="31" t="s">
        <v>1920</v>
      </c>
      <c r="D1205" s="31" t="s">
        <v>1921</v>
      </c>
      <c r="E1205" s="31" t="s">
        <v>4828</v>
      </c>
      <c r="F1205" s="31" t="s">
        <v>31</v>
      </c>
      <c r="G1205" s="31">
        <v>258</v>
      </c>
      <c r="H1205" s="31">
        <v>10</v>
      </c>
      <c r="I1205" s="31">
        <v>28</v>
      </c>
      <c r="J1205" s="31" t="s">
        <v>4829</v>
      </c>
      <c r="K1205" s="31" t="s">
        <v>130</v>
      </c>
      <c r="L1205" s="31" t="s">
        <v>56</v>
      </c>
      <c r="M1205" s="31">
        <v>248</v>
      </c>
      <c r="N1205" s="31">
        <v>2010</v>
      </c>
      <c r="O1205" s="31">
        <v>162</v>
      </c>
      <c r="P1205" s="31"/>
      <c r="Q1205" s="31"/>
      <c r="R1205" s="33"/>
      <c r="S1205" s="34" t="str">
        <f>HYPERLINK("http://www.cnpol.ru/covers/12394.jpg","фото на сайте")</f>
        <v>фото на сайте</v>
      </c>
    </row>
    <row r="1206" spans="1:19" ht="50.1" customHeight="1">
      <c r="A1206" s="31"/>
      <c r="B1206" s="32" t="s">
        <v>4830</v>
      </c>
      <c r="C1206" s="31" t="s">
        <v>1920</v>
      </c>
      <c r="D1206" s="31" t="s">
        <v>1921</v>
      </c>
      <c r="E1206" s="31" t="s">
        <v>4828</v>
      </c>
      <c r="F1206" s="31" t="s">
        <v>31</v>
      </c>
      <c r="G1206" s="31">
        <v>258</v>
      </c>
      <c r="H1206" s="31">
        <v>10</v>
      </c>
      <c r="I1206" s="31">
        <v>28</v>
      </c>
      <c r="J1206" s="31" t="s">
        <v>4829</v>
      </c>
      <c r="K1206" s="31" t="s">
        <v>130</v>
      </c>
      <c r="L1206" s="31" t="s">
        <v>56</v>
      </c>
      <c r="M1206" s="31">
        <v>248</v>
      </c>
      <c r="N1206" s="31">
        <v>2011</v>
      </c>
      <c r="O1206" s="31">
        <v>162</v>
      </c>
      <c r="P1206" s="31"/>
      <c r="Q1206" s="31"/>
      <c r="R1206" s="33"/>
      <c r="S1206" s="34" t="str">
        <f>HYPERLINK("http://www.cnpol.ru/covers/12780.jpg","фото на сайте")</f>
        <v>фото на сайте</v>
      </c>
    </row>
    <row r="1207" spans="1:19" ht="50.1" customHeight="1">
      <c r="A1207" s="31"/>
      <c r="B1207" s="32" t="s">
        <v>4831</v>
      </c>
      <c r="C1207" s="31" t="s">
        <v>1920</v>
      </c>
      <c r="D1207" s="31" t="s">
        <v>1921</v>
      </c>
      <c r="E1207" s="31" t="s">
        <v>4828</v>
      </c>
      <c r="F1207" s="31" t="s">
        <v>31</v>
      </c>
      <c r="G1207" s="31">
        <v>258</v>
      </c>
      <c r="H1207" s="31">
        <v>10</v>
      </c>
      <c r="I1207" s="31">
        <v>24</v>
      </c>
      <c r="J1207" s="31" t="s">
        <v>4832</v>
      </c>
      <c r="K1207" s="31" t="s">
        <v>130</v>
      </c>
      <c r="L1207" s="31" t="s">
        <v>56</v>
      </c>
      <c r="M1207" s="31">
        <v>256</v>
      </c>
      <c r="N1207" s="31">
        <v>2022</v>
      </c>
      <c r="O1207" s="31">
        <v>148</v>
      </c>
      <c r="P1207" s="31"/>
      <c r="Q1207" s="31"/>
      <c r="R1207" s="33"/>
      <c r="S1207" s="34" t="str">
        <f>HYPERLINK("http://www.cnpol.ru/covers/20147.jpg","фото на сайте")</f>
        <v>фото на сайте</v>
      </c>
    </row>
    <row r="1208" spans="1:19" ht="50.1" customHeight="1">
      <c r="A1208" s="31"/>
      <c r="B1208" s="32" t="s">
        <v>4833</v>
      </c>
      <c r="C1208" s="31" t="s">
        <v>4834</v>
      </c>
      <c r="D1208" s="31" t="s">
        <v>4835</v>
      </c>
      <c r="E1208" s="31" t="s">
        <v>4836</v>
      </c>
      <c r="F1208" s="31" t="s">
        <v>31</v>
      </c>
      <c r="G1208" s="31">
        <v>290</v>
      </c>
      <c r="H1208" s="31">
        <v>10</v>
      </c>
      <c r="I1208" s="31">
        <v>14</v>
      </c>
      <c r="J1208" s="31" t="s">
        <v>4837</v>
      </c>
      <c r="K1208" s="31" t="s">
        <v>300</v>
      </c>
      <c r="L1208" s="31" t="s">
        <v>56</v>
      </c>
      <c r="M1208" s="31">
        <v>352</v>
      </c>
      <c r="N1208" s="31">
        <v>2016</v>
      </c>
      <c r="O1208" s="31">
        <v>174</v>
      </c>
      <c r="P1208" s="31"/>
      <c r="Q1208" s="31"/>
      <c r="R1208" s="33"/>
      <c r="S1208" s="34" t="str">
        <f>HYPERLINK("http://www.cnpol.ru/covers/17181.jpg","фото на сайте")</f>
        <v>фото на сайте</v>
      </c>
    </row>
    <row r="1209" spans="1:19" ht="50.1" customHeight="1">
      <c r="A1209" s="31"/>
      <c r="B1209" s="32" t="s">
        <v>4838</v>
      </c>
      <c r="C1209" s="31" t="s">
        <v>3229</v>
      </c>
      <c r="D1209" s="31" t="s">
        <v>4835</v>
      </c>
      <c r="E1209" s="31" t="s">
        <v>4836</v>
      </c>
      <c r="F1209" s="31" t="s">
        <v>31</v>
      </c>
      <c r="G1209" s="31">
        <v>675</v>
      </c>
      <c r="H1209" s="31">
        <v>10</v>
      </c>
      <c r="I1209" s="31">
        <v>18</v>
      </c>
      <c r="J1209" s="31" t="s">
        <v>4839</v>
      </c>
      <c r="K1209" s="31" t="s">
        <v>33</v>
      </c>
      <c r="L1209" s="31" t="s">
        <v>34</v>
      </c>
      <c r="M1209" s="31">
        <v>317</v>
      </c>
      <c r="N1209" s="31">
        <v>2013</v>
      </c>
      <c r="O1209" s="31">
        <v>348</v>
      </c>
      <c r="P1209" s="31"/>
      <c r="Q1209" s="31"/>
      <c r="R1209" s="33"/>
      <c r="S1209" s="34" t="str">
        <f>HYPERLINK("http://www.cnpol.ru/covers/14683.jpg","фото на сайте")</f>
        <v>фото на сайте</v>
      </c>
    </row>
    <row r="1210" spans="1:19" ht="50.1" customHeight="1">
      <c r="A1210" s="31"/>
      <c r="B1210" s="32" t="s">
        <v>4840</v>
      </c>
      <c r="C1210" s="31" t="s">
        <v>37</v>
      </c>
      <c r="D1210" s="31" t="s">
        <v>4841</v>
      </c>
      <c r="E1210" s="31" t="s">
        <v>4842</v>
      </c>
      <c r="F1210" s="31" t="s">
        <v>31</v>
      </c>
      <c r="G1210" s="35">
        <v>1194</v>
      </c>
      <c r="H1210" s="31">
        <v>10</v>
      </c>
      <c r="I1210" s="31">
        <v>10</v>
      </c>
      <c r="J1210" s="31" t="s">
        <v>4843</v>
      </c>
      <c r="K1210" s="31" t="s">
        <v>41</v>
      </c>
      <c r="L1210" s="31" t="s">
        <v>34</v>
      </c>
      <c r="M1210" s="31">
        <v>560</v>
      </c>
      <c r="N1210" s="31">
        <v>2014</v>
      </c>
      <c r="O1210" s="31">
        <v>648</v>
      </c>
      <c r="P1210" s="31"/>
      <c r="Q1210" s="31"/>
      <c r="R1210" s="33"/>
      <c r="S1210" s="34" t="str">
        <f>HYPERLINK("http://www.cnpol.ru/covers/15376.jpg","фото на сайте")</f>
        <v>фото на сайте</v>
      </c>
    </row>
    <row r="1211" spans="1:19" ht="50.1" customHeight="1">
      <c r="A1211" s="31"/>
      <c r="B1211" s="32" t="s">
        <v>4844</v>
      </c>
      <c r="C1211" s="31" t="s">
        <v>1822</v>
      </c>
      <c r="D1211" s="31" t="s">
        <v>1814</v>
      </c>
      <c r="E1211" s="31" t="s">
        <v>4845</v>
      </c>
      <c r="F1211" s="31" t="s">
        <v>31</v>
      </c>
      <c r="G1211" s="31">
        <v>593</v>
      </c>
      <c r="H1211" s="31">
        <v>10</v>
      </c>
      <c r="I1211" s="31">
        <v>16</v>
      </c>
      <c r="J1211" s="31" t="s">
        <v>4846</v>
      </c>
      <c r="K1211" s="31" t="s">
        <v>194</v>
      </c>
      <c r="L1211" s="31" t="s">
        <v>34</v>
      </c>
      <c r="M1211" s="31">
        <v>160</v>
      </c>
      <c r="N1211" s="31">
        <v>2022</v>
      </c>
      <c r="O1211" s="31">
        <v>200</v>
      </c>
      <c r="P1211" s="31"/>
      <c r="Q1211" s="31"/>
      <c r="R1211" s="33"/>
      <c r="S1211" s="34" t="str">
        <f>HYPERLINK("http://www.cnpol.ru/covers/20217.jpg","фото на сайте")</f>
        <v>фото на сайте</v>
      </c>
    </row>
    <row r="1212" spans="1:19" ht="50.1" customHeight="1">
      <c r="A1212" s="31"/>
      <c r="B1212" s="32" t="s">
        <v>4847</v>
      </c>
      <c r="C1212" s="31" t="s">
        <v>4848</v>
      </c>
      <c r="D1212" s="31" t="s">
        <v>4849</v>
      </c>
      <c r="E1212" s="31" t="s">
        <v>4850</v>
      </c>
      <c r="F1212" s="31" t="s">
        <v>31</v>
      </c>
      <c r="G1212" s="31">
        <v>325</v>
      </c>
      <c r="H1212" s="31">
        <v>10</v>
      </c>
      <c r="I1212" s="31">
        <v>14</v>
      </c>
      <c r="J1212" s="31" t="s">
        <v>4851</v>
      </c>
      <c r="K1212" s="31" t="s">
        <v>33</v>
      </c>
      <c r="L1212" s="31" t="s">
        <v>34</v>
      </c>
      <c r="M1212" s="31">
        <v>349</v>
      </c>
      <c r="N1212" s="31">
        <v>2005</v>
      </c>
      <c r="O1212" s="31">
        <v>302</v>
      </c>
      <c r="P1212" s="31"/>
      <c r="Q1212" s="31"/>
      <c r="R1212" s="33"/>
      <c r="S1212" s="34" t="str">
        <f>HYPERLINK("http://www.cnpol.ru/covers/5421.jpg","фото на сайте")</f>
        <v>фото на сайте</v>
      </c>
    </row>
    <row r="1213" spans="1:19" ht="50.1" customHeight="1">
      <c r="A1213" s="31"/>
      <c r="B1213" s="32" t="s">
        <v>4852</v>
      </c>
      <c r="C1213" s="31" t="s">
        <v>143</v>
      </c>
      <c r="D1213" s="31" t="s">
        <v>4853</v>
      </c>
      <c r="E1213" s="31" t="s">
        <v>4854</v>
      </c>
      <c r="F1213" s="31" t="s">
        <v>31</v>
      </c>
      <c r="G1213" s="35">
        <v>1613</v>
      </c>
      <c r="H1213" s="31">
        <v>10</v>
      </c>
      <c r="I1213" s="31">
        <v>6</v>
      </c>
      <c r="J1213" s="31" t="s">
        <v>4855</v>
      </c>
      <c r="K1213" s="31" t="s">
        <v>41</v>
      </c>
      <c r="L1213" s="31" t="s">
        <v>34</v>
      </c>
      <c r="M1213" s="31">
        <v>671</v>
      </c>
      <c r="N1213" s="31">
        <v>2022</v>
      </c>
      <c r="O1213" s="31">
        <v>570</v>
      </c>
      <c r="P1213" s="31"/>
      <c r="Q1213" s="31"/>
      <c r="R1213" s="33"/>
      <c r="S1213" s="34" t="str">
        <f>HYPERLINK("http://www.cnpol.ru/covers/20244.jpg","фото на сайте")</f>
        <v>фото на сайте</v>
      </c>
    </row>
    <row r="1214" spans="1:19" ht="50.1" customHeight="1">
      <c r="A1214" s="31"/>
      <c r="B1214" s="32" t="s">
        <v>4856</v>
      </c>
      <c r="C1214" s="31" t="s">
        <v>479</v>
      </c>
      <c r="D1214" s="31" t="s">
        <v>4857</v>
      </c>
      <c r="E1214" s="31" t="s">
        <v>4858</v>
      </c>
      <c r="F1214" s="31" t="s">
        <v>31</v>
      </c>
      <c r="G1214" s="35">
        <v>1397</v>
      </c>
      <c r="H1214" s="31">
        <v>10</v>
      </c>
      <c r="I1214" s="31">
        <v>8</v>
      </c>
      <c r="J1214" s="31" t="s">
        <v>4859</v>
      </c>
      <c r="K1214" s="31" t="s">
        <v>41</v>
      </c>
      <c r="L1214" s="31" t="s">
        <v>34</v>
      </c>
      <c r="M1214" s="31">
        <v>606</v>
      </c>
      <c r="N1214" s="31">
        <v>2016</v>
      </c>
      <c r="O1214" s="31">
        <v>696</v>
      </c>
      <c r="P1214" s="31"/>
      <c r="Q1214" s="31"/>
      <c r="R1214" s="33"/>
      <c r="S1214" s="34" t="str">
        <f>HYPERLINK("http://www.cnpol.ru/covers/17145.jpg","фото на сайте")</f>
        <v>фото на сайте</v>
      </c>
    </row>
    <row r="1215" spans="1:19" ht="50.1" customHeight="1">
      <c r="A1215" s="31" t="s">
        <v>35</v>
      </c>
      <c r="B1215" s="32" t="s">
        <v>4860</v>
      </c>
      <c r="C1215" s="31" t="s">
        <v>37</v>
      </c>
      <c r="D1215" s="31" t="s">
        <v>4861</v>
      </c>
      <c r="E1215" s="31" t="s">
        <v>4862</v>
      </c>
      <c r="F1215" s="31" t="s">
        <v>31</v>
      </c>
      <c r="G1215" s="35">
        <v>1125</v>
      </c>
      <c r="H1215" s="31">
        <v>10</v>
      </c>
      <c r="I1215" s="31">
        <v>10</v>
      </c>
      <c r="J1215" s="31" t="s">
        <v>4863</v>
      </c>
      <c r="K1215" s="31" t="s">
        <v>33</v>
      </c>
      <c r="L1215" s="31" t="s">
        <v>34</v>
      </c>
      <c r="M1215" s="31">
        <v>447</v>
      </c>
      <c r="N1215" s="31">
        <v>2024</v>
      </c>
      <c r="O1215" s="31">
        <v>480</v>
      </c>
      <c r="P1215" s="31"/>
      <c r="Q1215" s="31"/>
      <c r="R1215" s="33" t="s">
        <v>4864</v>
      </c>
      <c r="S1215" s="34" t="str">
        <f>HYPERLINK("http://www.cnpol.ru/covers/21012.jpg","фото на сайте")</f>
        <v>фото на сайте</v>
      </c>
    </row>
    <row r="1216" spans="1:19" ht="50.1" customHeight="1">
      <c r="A1216" s="31"/>
      <c r="B1216" s="32" t="s">
        <v>4865</v>
      </c>
      <c r="C1216" s="31" t="s">
        <v>385</v>
      </c>
      <c r="D1216" s="31" t="s">
        <v>386</v>
      </c>
      <c r="E1216" s="31" t="s">
        <v>4866</v>
      </c>
      <c r="F1216" s="31" t="s">
        <v>31</v>
      </c>
      <c r="G1216" s="31">
        <v>162</v>
      </c>
      <c r="H1216" s="31">
        <v>10</v>
      </c>
      <c r="I1216" s="31">
        <v>32</v>
      </c>
      <c r="J1216" s="31" t="s">
        <v>4867</v>
      </c>
      <c r="K1216" s="31" t="s">
        <v>55</v>
      </c>
      <c r="L1216" s="31" t="s">
        <v>56</v>
      </c>
      <c r="M1216" s="31">
        <v>253</v>
      </c>
      <c r="N1216" s="31">
        <v>2014</v>
      </c>
      <c r="O1216" s="31">
        <v>108</v>
      </c>
      <c r="P1216" s="31"/>
      <c r="Q1216" s="31"/>
      <c r="R1216" s="33"/>
      <c r="S1216" s="34" t="str">
        <f>HYPERLINK("http://www.cnpol.ru/covers/15368.jpg","фото на сайте")</f>
        <v>фото на сайте</v>
      </c>
    </row>
    <row r="1217" spans="1:19" ht="50.1" customHeight="1">
      <c r="A1217" s="31"/>
      <c r="B1217" s="32" t="s">
        <v>4868</v>
      </c>
      <c r="C1217" s="31" t="s">
        <v>385</v>
      </c>
      <c r="D1217" s="31" t="s">
        <v>386</v>
      </c>
      <c r="E1217" s="31" t="s">
        <v>4866</v>
      </c>
      <c r="F1217" s="31" t="s">
        <v>31</v>
      </c>
      <c r="G1217" s="31">
        <v>162</v>
      </c>
      <c r="H1217" s="31">
        <v>10</v>
      </c>
      <c r="I1217" s="31">
        <v>32</v>
      </c>
      <c r="J1217" s="31" t="s">
        <v>4869</v>
      </c>
      <c r="K1217" s="31" t="s">
        <v>55</v>
      </c>
      <c r="L1217" s="31" t="s">
        <v>56</v>
      </c>
      <c r="M1217" s="31">
        <v>256</v>
      </c>
      <c r="N1217" s="31">
        <v>2016</v>
      </c>
      <c r="O1217" s="31">
        <v>108</v>
      </c>
      <c r="P1217" s="31"/>
      <c r="Q1217" s="31"/>
      <c r="R1217" s="33"/>
      <c r="S1217" s="34" t="str">
        <f>HYPERLINK("http://www.cnpol.ru/covers/0164.jpg","фото на сайте")</f>
        <v>фото на сайте</v>
      </c>
    </row>
    <row r="1218" spans="1:19" ht="50.1" customHeight="1">
      <c r="A1218" s="31"/>
      <c r="B1218" s="32" t="s">
        <v>4870</v>
      </c>
      <c r="C1218" s="31" t="s">
        <v>37</v>
      </c>
      <c r="D1218" s="31" t="s">
        <v>4871</v>
      </c>
      <c r="E1218" s="31" t="s">
        <v>4872</v>
      </c>
      <c r="F1218" s="31" t="s">
        <v>31</v>
      </c>
      <c r="G1218" s="31">
        <v>539</v>
      </c>
      <c r="H1218" s="31">
        <v>10</v>
      </c>
      <c r="I1218" s="31">
        <v>10</v>
      </c>
      <c r="J1218" s="31" t="s">
        <v>4873</v>
      </c>
      <c r="K1218" s="31" t="s">
        <v>33</v>
      </c>
      <c r="L1218" s="31" t="s">
        <v>34</v>
      </c>
      <c r="M1218" s="31">
        <v>351</v>
      </c>
      <c r="N1218" s="31">
        <v>2023</v>
      </c>
      <c r="O1218" s="31">
        <v>310</v>
      </c>
      <c r="P1218" s="31"/>
      <c r="Q1218" s="31"/>
      <c r="R1218" s="33" t="s">
        <v>4874</v>
      </c>
      <c r="S1218" s="34" t="str">
        <f>HYPERLINK("http://www.cnpol.ru/covers/20636.jpg","фото на сайте")</f>
        <v>фото на сайте</v>
      </c>
    </row>
    <row r="1219" spans="1:19" ht="50.1" customHeight="1">
      <c r="A1219" s="31"/>
      <c r="B1219" s="32" t="s">
        <v>4875</v>
      </c>
      <c r="C1219" s="31" t="s">
        <v>3062</v>
      </c>
      <c r="D1219" s="31" t="s">
        <v>4876</v>
      </c>
      <c r="E1219" s="31" t="s">
        <v>4877</v>
      </c>
      <c r="F1219" s="31" t="s">
        <v>31</v>
      </c>
      <c r="G1219" s="31">
        <v>325</v>
      </c>
      <c r="H1219" s="31">
        <v>10</v>
      </c>
      <c r="I1219" s="31">
        <v>14</v>
      </c>
      <c r="J1219" s="31" t="s">
        <v>4878</v>
      </c>
      <c r="K1219" s="31" t="s">
        <v>33</v>
      </c>
      <c r="L1219" s="31" t="s">
        <v>34</v>
      </c>
      <c r="M1219" s="31">
        <v>239</v>
      </c>
      <c r="N1219" s="31">
        <v>2008</v>
      </c>
      <c r="O1219" s="31">
        <v>282</v>
      </c>
      <c r="P1219" s="31"/>
      <c r="Q1219" s="31"/>
      <c r="R1219" s="33"/>
      <c r="S1219" s="34" t="str">
        <f>HYPERLINK("http://www.cnpol.ru/covers/7417.jpg","фото на сайте")</f>
        <v>фото на сайте</v>
      </c>
    </row>
    <row r="1220" spans="1:19" ht="50.1" customHeight="1">
      <c r="A1220" s="31" t="s">
        <v>43</v>
      </c>
      <c r="B1220" s="32" t="s">
        <v>4879</v>
      </c>
      <c r="C1220" s="31" t="s">
        <v>143</v>
      </c>
      <c r="D1220" s="31" t="s">
        <v>3293</v>
      </c>
      <c r="E1220" s="31" t="s">
        <v>4880</v>
      </c>
      <c r="F1220" s="31" t="s">
        <v>31</v>
      </c>
      <c r="G1220" s="31">
        <v>807</v>
      </c>
      <c r="H1220" s="31">
        <v>10</v>
      </c>
      <c r="I1220" s="31">
        <v>14</v>
      </c>
      <c r="J1220" s="31" t="s">
        <v>4881</v>
      </c>
      <c r="K1220" s="31" t="s">
        <v>33</v>
      </c>
      <c r="L1220" s="31" t="s">
        <v>34</v>
      </c>
      <c r="M1220" s="31">
        <v>255</v>
      </c>
      <c r="N1220" s="31">
        <v>2024</v>
      </c>
      <c r="O1220" s="31" t="s">
        <v>220</v>
      </c>
      <c r="P1220" s="31"/>
      <c r="Q1220" s="31"/>
      <c r="R1220" s="33" t="s">
        <v>4882</v>
      </c>
      <c r="S1220" s="34" t="str">
        <f>HYPERLINK("http://www.cnpol.ru/covers/21330.jpg","фото на сайте")</f>
        <v>фото на сайте</v>
      </c>
    </row>
    <row r="1221" spans="1:19" ht="50.1" customHeight="1">
      <c r="A1221" s="31" t="s">
        <v>43</v>
      </c>
      <c r="B1221" s="32" t="s">
        <v>4883</v>
      </c>
      <c r="C1221" s="31" t="s">
        <v>143</v>
      </c>
      <c r="D1221" s="31" t="s">
        <v>4884</v>
      </c>
      <c r="E1221" s="31" t="s">
        <v>4885</v>
      </c>
      <c r="F1221" s="31" t="s">
        <v>31</v>
      </c>
      <c r="G1221" s="31">
        <v>723</v>
      </c>
      <c r="H1221" s="31">
        <v>10</v>
      </c>
      <c r="I1221" s="31">
        <v>10</v>
      </c>
      <c r="J1221" s="31" t="s">
        <v>4886</v>
      </c>
      <c r="K1221" s="31" t="s">
        <v>33</v>
      </c>
      <c r="L1221" s="31" t="s">
        <v>34</v>
      </c>
      <c r="M1221" s="31">
        <v>319</v>
      </c>
      <c r="N1221" s="31">
        <v>2025</v>
      </c>
      <c r="O1221" s="31">
        <v>377</v>
      </c>
      <c r="P1221" s="31"/>
      <c r="Q1221" s="31"/>
      <c r="R1221" s="33" t="s">
        <v>4887</v>
      </c>
      <c r="S1221" s="34" t="str">
        <f>HYPERLINK("http://www.cnpol.ru/covers/21462.jpg","фото на сайте")</f>
        <v>фото на сайте</v>
      </c>
    </row>
    <row r="1222" spans="1:19" ht="50.1" customHeight="1">
      <c r="A1222" s="31"/>
      <c r="B1222" s="32" t="s">
        <v>4888</v>
      </c>
      <c r="C1222" s="31" t="s">
        <v>390</v>
      </c>
      <c r="D1222" s="31" t="s">
        <v>1343</v>
      </c>
      <c r="E1222" s="31" t="s">
        <v>4889</v>
      </c>
      <c r="F1222" s="31">
        <v>406</v>
      </c>
      <c r="G1222" s="31">
        <v>86</v>
      </c>
      <c r="H1222" s="31">
        <v>10</v>
      </c>
      <c r="I1222" s="31">
        <v>30</v>
      </c>
      <c r="J1222" s="31" t="s">
        <v>4890</v>
      </c>
      <c r="K1222" s="31" t="s">
        <v>300</v>
      </c>
      <c r="L1222" s="31" t="s">
        <v>56</v>
      </c>
      <c r="M1222" s="31">
        <v>158</v>
      </c>
      <c r="N1222" s="31">
        <v>2014</v>
      </c>
      <c r="O1222" s="31">
        <v>76</v>
      </c>
      <c r="P1222" s="31"/>
      <c r="Q1222" s="31"/>
      <c r="R1222" s="33"/>
      <c r="S1222" s="34" t="str">
        <f>HYPERLINK("http://www.cnpol.ru/covers/15145.jpg","фото на сайте")</f>
        <v>фото на сайте</v>
      </c>
    </row>
    <row r="1223" spans="1:19" ht="50.1" customHeight="1">
      <c r="A1223" s="31"/>
      <c r="B1223" s="32" t="s">
        <v>4891</v>
      </c>
      <c r="C1223" s="31" t="s">
        <v>37</v>
      </c>
      <c r="D1223" s="31" t="s">
        <v>4892</v>
      </c>
      <c r="E1223" s="31" t="s">
        <v>4893</v>
      </c>
      <c r="F1223" s="31" t="s">
        <v>31</v>
      </c>
      <c r="G1223" s="31">
        <v>611</v>
      </c>
      <c r="H1223" s="31">
        <v>10</v>
      </c>
      <c r="I1223" s="31">
        <v>8</v>
      </c>
      <c r="J1223" s="31" t="s">
        <v>4894</v>
      </c>
      <c r="K1223" s="31" t="s">
        <v>33</v>
      </c>
      <c r="L1223" s="31" t="s">
        <v>34</v>
      </c>
      <c r="M1223" s="31">
        <v>575</v>
      </c>
      <c r="N1223" s="31">
        <v>2023</v>
      </c>
      <c r="O1223" s="31">
        <v>426</v>
      </c>
      <c r="P1223" s="31"/>
      <c r="Q1223" s="31"/>
      <c r="R1223" s="33" t="s">
        <v>4895</v>
      </c>
      <c r="S1223" s="34" t="str">
        <f>HYPERLINK("http://www.cnpol.ru/covers/20842.jpg","фото на сайте")</f>
        <v>фото на сайте</v>
      </c>
    </row>
    <row r="1224" spans="1:19" ht="50.1" customHeight="1">
      <c r="A1224" s="31"/>
      <c r="B1224" s="32" t="s">
        <v>4896</v>
      </c>
      <c r="C1224" s="31" t="s">
        <v>479</v>
      </c>
      <c r="D1224" s="31" t="s">
        <v>4857</v>
      </c>
      <c r="E1224" s="31" t="s">
        <v>4897</v>
      </c>
      <c r="F1224" s="31" t="s">
        <v>31</v>
      </c>
      <c r="G1224" s="35">
        <v>1265</v>
      </c>
      <c r="H1224" s="31">
        <v>10</v>
      </c>
      <c r="I1224" s="31">
        <v>10</v>
      </c>
      <c r="J1224" s="31" t="s">
        <v>4898</v>
      </c>
      <c r="K1224" s="31" t="s">
        <v>41</v>
      </c>
      <c r="L1224" s="31" t="s">
        <v>34</v>
      </c>
      <c r="M1224" s="31">
        <v>495</v>
      </c>
      <c r="N1224" s="31">
        <v>2016</v>
      </c>
      <c r="O1224" s="31">
        <v>588</v>
      </c>
      <c r="P1224" s="31"/>
      <c r="Q1224" s="31"/>
      <c r="R1224" s="33"/>
      <c r="S1224" s="34" t="str">
        <f>HYPERLINK("http://www.cnpol.ru/covers/17148.jpg","фото на сайте")</f>
        <v>фото на сайте</v>
      </c>
    </row>
    <row r="1225" spans="1:19" ht="50.1" customHeight="1">
      <c r="A1225" s="31"/>
      <c r="B1225" s="32" t="s">
        <v>4899</v>
      </c>
      <c r="C1225" s="31" t="s">
        <v>37</v>
      </c>
      <c r="D1225" s="31" t="s">
        <v>4900</v>
      </c>
      <c r="E1225" s="31" t="s">
        <v>4901</v>
      </c>
      <c r="F1225" s="31" t="s">
        <v>31</v>
      </c>
      <c r="G1225" s="31">
        <v>795</v>
      </c>
      <c r="H1225" s="31">
        <v>10</v>
      </c>
      <c r="I1225" s="31">
        <v>6</v>
      </c>
      <c r="J1225" s="31" t="s">
        <v>4902</v>
      </c>
      <c r="K1225" s="31" t="s">
        <v>41</v>
      </c>
      <c r="L1225" s="31" t="s">
        <v>34</v>
      </c>
      <c r="M1225" s="31">
        <v>623</v>
      </c>
      <c r="N1225" s="31">
        <v>2024</v>
      </c>
      <c r="O1225" s="31">
        <v>661</v>
      </c>
      <c r="P1225" s="31"/>
      <c r="Q1225" s="31"/>
      <c r="R1225" s="33" t="s">
        <v>4903</v>
      </c>
      <c r="S1225" s="34" t="str">
        <f>HYPERLINK("http://www.cnpol.ru/covers/20939.jpg","фото на сайте")</f>
        <v>фото на сайте</v>
      </c>
    </row>
    <row r="1226" spans="1:19" ht="50.1" customHeight="1">
      <c r="A1226" s="31" t="s">
        <v>43</v>
      </c>
      <c r="B1226" s="32" t="s">
        <v>4904</v>
      </c>
      <c r="C1226" s="31" t="s">
        <v>1271</v>
      </c>
      <c r="D1226" s="31" t="s">
        <v>1272</v>
      </c>
      <c r="E1226" s="31" t="s">
        <v>4905</v>
      </c>
      <c r="F1226" s="31" t="s">
        <v>31</v>
      </c>
      <c r="G1226" s="31">
        <v>745</v>
      </c>
      <c r="H1226" s="31">
        <v>10</v>
      </c>
      <c r="I1226" s="31">
        <v>14</v>
      </c>
      <c r="J1226" s="31" t="s">
        <v>4906</v>
      </c>
      <c r="K1226" s="31" t="s">
        <v>33</v>
      </c>
      <c r="L1226" s="31" t="s">
        <v>34</v>
      </c>
      <c r="M1226" s="31">
        <v>256</v>
      </c>
      <c r="N1226" s="31">
        <v>2024</v>
      </c>
      <c r="O1226" s="31">
        <v>280</v>
      </c>
      <c r="P1226" s="31"/>
      <c r="Q1226" s="31"/>
      <c r="R1226" s="33" t="s">
        <v>4907</v>
      </c>
      <c r="S1226" s="34" t="str">
        <f>HYPERLINK("http://www.cnpol.ru/covers/21298.jpg","фото на сайте")</f>
        <v>фото на сайте</v>
      </c>
    </row>
    <row r="1227" spans="1:19" ht="50.1" customHeight="1">
      <c r="A1227" s="31"/>
      <c r="B1227" s="32" t="s">
        <v>4908</v>
      </c>
      <c r="C1227" s="31" t="s">
        <v>390</v>
      </c>
      <c r="D1227" s="31" t="s">
        <v>2106</v>
      </c>
      <c r="E1227" s="31" t="s">
        <v>4909</v>
      </c>
      <c r="F1227" s="31">
        <v>1087</v>
      </c>
      <c r="G1227" s="31">
        <v>86</v>
      </c>
      <c r="H1227" s="31">
        <v>10</v>
      </c>
      <c r="I1227" s="31">
        <v>30</v>
      </c>
      <c r="J1227" s="31" t="s">
        <v>4910</v>
      </c>
      <c r="K1227" s="31" t="s">
        <v>123</v>
      </c>
      <c r="L1227" s="31" t="s">
        <v>56</v>
      </c>
      <c r="M1227" s="31">
        <v>159</v>
      </c>
      <c r="N1227" s="31">
        <v>2022</v>
      </c>
      <c r="O1227" s="31">
        <v>76</v>
      </c>
      <c r="P1227" s="31"/>
      <c r="Q1227" s="31"/>
      <c r="R1227" s="33"/>
      <c r="S1227" s="34" t="str">
        <f>HYPERLINK("http://www.cnpol.ru/covers/20161.jpg","фото на сайте")</f>
        <v>фото на сайте</v>
      </c>
    </row>
    <row r="1228" spans="1:19" ht="50.1" customHeight="1">
      <c r="A1228" s="31"/>
      <c r="B1228" s="32" t="s">
        <v>4911</v>
      </c>
      <c r="C1228" s="31" t="s">
        <v>390</v>
      </c>
      <c r="D1228" s="31" t="s">
        <v>989</v>
      </c>
      <c r="E1228" s="31" t="s">
        <v>4912</v>
      </c>
      <c r="F1228" s="31">
        <v>679</v>
      </c>
      <c r="G1228" s="31">
        <v>86</v>
      </c>
      <c r="H1228" s="31">
        <v>10</v>
      </c>
      <c r="I1228" s="31">
        <v>30</v>
      </c>
      <c r="J1228" s="31" t="s">
        <v>4913</v>
      </c>
      <c r="K1228" s="31" t="s">
        <v>123</v>
      </c>
      <c r="L1228" s="31" t="s">
        <v>56</v>
      </c>
      <c r="M1228" s="31">
        <v>160</v>
      </c>
      <c r="N1228" s="31">
        <v>2016</v>
      </c>
      <c r="O1228" s="31">
        <v>76</v>
      </c>
      <c r="P1228" s="31"/>
      <c r="Q1228" s="31"/>
      <c r="R1228" s="33"/>
      <c r="S1228" s="34" t="str">
        <f>HYPERLINK("http://www.cnpol.ru/covers/17208.jpg","фото на сайте")</f>
        <v>фото на сайте</v>
      </c>
    </row>
    <row r="1229" spans="1:19" ht="50.1" customHeight="1">
      <c r="A1229" s="31" t="s">
        <v>43</v>
      </c>
      <c r="B1229" s="32" t="s">
        <v>4914</v>
      </c>
      <c r="C1229" s="31" t="s">
        <v>390</v>
      </c>
      <c r="D1229" s="31" t="s">
        <v>1461</v>
      </c>
      <c r="E1229" s="31" t="s">
        <v>4915</v>
      </c>
      <c r="F1229" s="31">
        <v>1179</v>
      </c>
      <c r="G1229" s="31">
        <v>86</v>
      </c>
      <c r="H1229" s="31">
        <v>10</v>
      </c>
      <c r="I1229" s="31">
        <v>30</v>
      </c>
      <c r="J1229" s="31" t="s">
        <v>4916</v>
      </c>
      <c r="K1229" s="31" t="s">
        <v>123</v>
      </c>
      <c r="L1229" s="31" t="s">
        <v>56</v>
      </c>
      <c r="M1229" s="31">
        <v>159</v>
      </c>
      <c r="N1229" s="31">
        <v>2024</v>
      </c>
      <c r="O1229" s="31">
        <v>76</v>
      </c>
      <c r="P1229" s="31"/>
      <c r="Q1229" s="31"/>
      <c r="R1229" s="33" t="s">
        <v>4917</v>
      </c>
      <c r="S1229" s="34" t="str">
        <f>HYPERLINK("http://www.cnpol.ru/covers/21235.jpg","фото на сайте")</f>
        <v>фото на сайте</v>
      </c>
    </row>
    <row r="1230" spans="1:19" ht="50.1" customHeight="1">
      <c r="A1230" s="31"/>
      <c r="B1230" s="32" t="s">
        <v>4918</v>
      </c>
      <c r="C1230" s="31" t="s">
        <v>400</v>
      </c>
      <c r="D1230" s="31" t="s">
        <v>785</v>
      </c>
      <c r="E1230" s="31" t="s">
        <v>4919</v>
      </c>
      <c r="F1230" s="31" t="s">
        <v>31</v>
      </c>
      <c r="G1230" s="31">
        <v>503</v>
      </c>
      <c r="H1230" s="31">
        <v>10</v>
      </c>
      <c r="I1230" s="31">
        <v>14</v>
      </c>
      <c r="J1230" s="31" t="s">
        <v>4920</v>
      </c>
      <c r="K1230" s="31" t="s">
        <v>33</v>
      </c>
      <c r="L1230" s="31" t="s">
        <v>34</v>
      </c>
      <c r="M1230" s="31">
        <v>288</v>
      </c>
      <c r="N1230" s="31">
        <v>2019</v>
      </c>
      <c r="O1230" s="31">
        <v>250</v>
      </c>
      <c r="P1230" s="31"/>
      <c r="Q1230" s="31"/>
      <c r="R1230" s="33"/>
      <c r="S1230" s="34" t="str">
        <f>HYPERLINK("http://www.cnpol.ru/covers/18513.jpg","фото на сайте")</f>
        <v>фото на сайте</v>
      </c>
    </row>
    <row r="1231" spans="1:19" ht="50.1" customHeight="1">
      <c r="A1231" s="31" t="s">
        <v>35</v>
      </c>
      <c r="B1231" s="32" t="s">
        <v>4921</v>
      </c>
      <c r="C1231" s="31" t="s">
        <v>4922</v>
      </c>
      <c r="D1231" s="31" t="s">
        <v>4923</v>
      </c>
      <c r="E1231" s="31" t="s">
        <v>4924</v>
      </c>
      <c r="F1231" s="31" t="s">
        <v>31</v>
      </c>
      <c r="G1231" s="35">
        <v>1046</v>
      </c>
      <c r="H1231" s="31">
        <v>10</v>
      </c>
      <c r="I1231" s="31">
        <v>8</v>
      </c>
      <c r="J1231" s="31" t="s">
        <v>4925</v>
      </c>
      <c r="K1231" s="31" t="s">
        <v>41</v>
      </c>
      <c r="L1231" s="31" t="s">
        <v>34</v>
      </c>
      <c r="M1231" s="31">
        <v>319</v>
      </c>
      <c r="N1231" s="31">
        <v>2025</v>
      </c>
      <c r="O1231" s="31">
        <v>435</v>
      </c>
      <c r="P1231" s="31"/>
      <c r="Q1231" s="31"/>
      <c r="R1231" s="33" t="s">
        <v>4926</v>
      </c>
      <c r="S1231" s="34" t="str">
        <f>HYPERLINK("http://www.cnpol.ru/covers/21528.jpg","фото на сайте")</f>
        <v>фото на сайте</v>
      </c>
    </row>
    <row r="1232" spans="1:19" ht="50.1" customHeight="1">
      <c r="A1232" s="31"/>
      <c r="B1232" s="32" t="s">
        <v>4927</v>
      </c>
      <c r="C1232" s="31" t="s">
        <v>385</v>
      </c>
      <c r="D1232" s="31" t="s">
        <v>386</v>
      </c>
      <c r="E1232" s="31" t="s">
        <v>4928</v>
      </c>
      <c r="F1232" s="31" t="s">
        <v>31</v>
      </c>
      <c r="G1232" s="31">
        <v>162</v>
      </c>
      <c r="H1232" s="31">
        <v>10</v>
      </c>
      <c r="I1232" s="31">
        <v>32</v>
      </c>
      <c r="J1232" s="31" t="s">
        <v>4929</v>
      </c>
      <c r="K1232" s="31" t="s">
        <v>55</v>
      </c>
      <c r="L1232" s="31" t="s">
        <v>56</v>
      </c>
      <c r="M1232" s="31">
        <v>256</v>
      </c>
      <c r="N1232" s="31">
        <v>2016</v>
      </c>
      <c r="O1232" s="31">
        <v>105</v>
      </c>
      <c r="P1232" s="31"/>
      <c r="Q1232" s="31"/>
      <c r="R1232" s="33"/>
      <c r="S1232" s="34" t="str">
        <f>HYPERLINK("http://www.cnpol.ru/covers/0134.jpg","фото на сайте")</f>
        <v>фото на сайте</v>
      </c>
    </row>
    <row r="1233" spans="1:19" ht="50.1" customHeight="1">
      <c r="A1233" s="31"/>
      <c r="B1233" s="32" t="s">
        <v>4930</v>
      </c>
      <c r="C1233" s="31" t="s">
        <v>138</v>
      </c>
      <c r="D1233" s="31" t="s">
        <v>4931</v>
      </c>
      <c r="E1233" s="31" t="s">
        <v>4932</v>
      </c>
      <c r="F1233" s="31" t="s">
        <v>31</v>
      </c>
      <c r="G1233" s="31">
        <v>575</v>
      </c>
      <c r="H1233" s="31">
        <v>10</v>
      </c>
      <c r="I1233" s="31">
        <v>16</v>
      </c>
      <c r="J1233" s="31" t="s">
        <v>4933</v>
      </c>
      <c r="K1233" s="31" t="s">
        <v>158</v>
      </c>
      <c r="L1233" s="31" t="s">
        <v>34</v>
      </c>
      <c r="M1233" s="31">
        <v>320</v>
      </c>
      <c r="N1233" s="31">
        <v>2015</v>
      </c>
      <c r="O1233" s="31">
        <v>300</v>
      </c>
      <c r="P1233" s="31"/>
      <c r="Q1233" s="31"/>
      <c r="R1233" s="33"/>
      <c r="S1233" s="34" t="str">
        <f>HYPERLINK("http://www.cnpol.ru/covers/16193.jpg","фото на сайте")</f>
        <v>фото на сайте</v>
      </c>
    </row>
    <row r="1234" spans="1:19" ht="50.1" customHeight="1">
      <c r="A1234" s="31"/>
      <c r="B1234" s="32" t="s">
        <v>4934</v>
      </c>
      <c r="C1234" s="31" t="s">
        <v>546</v>
      </c>
      <c r="D1234" s="31" t="s">
        <v>4935</v>
      </c>
      <c r="E1234" s="31" t="s">
        <v>4936</v>
      </c>
      <c r="F1234" s="31">
        <v>421</v>
      </c>
      <c r="G1234" s="31">
        <v>93</v>
      </c>
      <c r="H1234" s="31">
        <v>10</v>
      </c>
      <c r="I1234" s="31">
        <v>30</v>
      </c>
      <c r="J1234" s="31" t="s">
        <v>4937</v>
      </c>
      <c r="K1234" s="31" t="s">
        <v>123</v>
      </c>
      <c r="L1234" s="31" t="s">
        <v>56</v>
      </c>
      <c r="M1234" s="31">
        <v>159</v>
      </c>
      <c r="N1234" s="31">
        <v>2023</v>
      </c>
      <c r="O1234" s="31">
        <v>76</v>
      </c>
      <c r="P1234" s="31"/>
      <c r="Q1234" s="31"/>
      <c r="R1234" s="33" t="s">
        <v>4938</v>
      </c>
      <c r="S1234" s="34" t="str">
        <f>HYPERLINK("http://www.cnpol.ru/covers/20530.jpg","фото на сайте")</f>
        <v>фото на сайте</v>
      </c>
    </row>
    <row r="1235" spans="1:19" ht="50.1" customHeight="1">
      <c r="A1235" s="31"/>
      <c r="B1235" s="32" t="s">
        <v>4939</v>
      </c>
      <c r="C1235" s="31" t="s">
        <v>413</v>
      </c>
      <c r="D1235" s="31" t="s">
        <v>3099</v>
      </c>
      <c r="E1235" s="31" t="s">
        <v>4940</v>
      </c>
      <c r="F1235" s="31">
        <v>64</v>
      </c>
      <c r="G1235" s="31">
        <v>117</v>
      </c>
      <c r="H1235" s="31">
        <v>10</v>
      </c>
      <c r="I1235" s="31">
        <v>36</v>
      </c>
      <c r="J1235" s="31" t="s">
        <v>4941</v>
      </c>
      <c r="K1235" s="31" t="s">
        <v>123</v>
      </c>
      <c r="L1235" s="31" t="s">
        <v>56</v>
      </c>
      <c r="M1235" s="31">
        <v>190</v>
      </c>
      <c r="N1235" s="31">
        <v>2015</v>
      </c>
      <c r="O1235" s="31">
        <v>90</v>
      </c>
      <c r="P1235" s="31"/>
      <c r="Q1235" s="31"/>
      <c r="R1235" s="33"/>
      <c r="S1235" s="34" t="str">
        <f>HYPERLINK("http://www.cnpol.ru/covers/16119.jpg","фото на сайте")</f>
        <v>фото на сайте</v>
      </c>
    </row>
    <row r="1236" spans="1:19" ht="50.1" customHeight="1">
      <c r="A1236" s="31"/>
      <c r="B1236" s="32" t="s">
        <v>4942</v>
      </c>
      <c r="C1236" s="31" t="s">
        <v>678</v>
      </c>
      <c r="D1236" s="31" t="s">
        <v>4943</v>
      </c>
      <c r="E1236" s="31" t="s">
        <v>4944</v>
      </c>
      <c r="F1236" s="31" t="s">
        <v>31</v>
      </c>
      <c r="G1236" s="31">
        <v>325</v>
      </c>
      <c r="H1236" s="31">
        <v>10</v>
      </c>
      <c r="I1236" s="31">
        <v>10</v>
      </c>
      <c r="J1236" s="31" t="s">
        <v>4945</v>
      </c>
      <c r="K1236" s="31" t="s">
        <v>33</v>
      </c>
      <c r="L1236" s="31" t="s">
        <v>34</v>
      </c>
      <c r="M1236" s="31">
        <v>375</v>
      </c>
      <c r="N1236" s="31">
        <v>2000</v>
      </c>
      <c r="O1236" s="31">
        <v>452</v>
      </c>
      <c r="P1236" s="31"/>
      <c r="Q1236" s="31"/>
      <c r="R1236" s="33"/>
      <c r="S1236" s="34" t="str">
        <f>HYPERLINK("http://www.cnpol.ru/covers/1818.jpg","фото на сайте")</f>
        <v>фото на сайте</v>
      </c>
    </row>
    <row r="1237" spans="1:19" ht="50.1" customHeight="1">
      <c r="A1237" s="31"/>
      <c r="B1237" s="32" t="s">
        <v>4946</v>
      </c>
      <c r="C1237" s="31" t="s">
        <v>546</v>
      </c>
      <c r="D1237" s="31" t="s">
        <v>1842</v>
      </c>
      <c r="E1237" s="31" t="s">
        <v>4947</v>
      </c>
      <c r="F1237" s="31">
        <v>311</v>
      </c>
      <c r="G1237" s="31">
        <v>93</v>
      </c>
      <c r="H1237" s="31">
        <v>10</v>
      </c>
      <c r="I1237" s="31">
        <v>30</v>
      </c>
      <c r="J1237" s="31" t="s">
        <v>4948</v>
      </c>
      <c r="K1237" s="31" t="s">
        <v>123</v>
      </c>
      <c r="L1237" s="31" t="s">
        <v>56</v>
      </c>
      <c r="M1237" s="31">
        <v>160</v>
      </c>
      <c r="N1237" s="31">
        <v>2019</v>
      </c>
      <c r="O1237" s="31">
        <v>78</v>
      </c>
      <c r="P1237" s="31"/>
      <c r="Q1237" s="31"/>
      <c r="R1237" s="33"/>
      <c r="S1237" s="34" t="str">
        <f>HYPERLINK("http://www.cnpol.ru/covers/18713.jpg","фото на сайте")</f>
        <v>фото на сайте</v>
      </c>
    </row>
    <row r="1238" spans="1:19" ht="50.1" customHeight="1">
      <c r="A1238" s="31"/>
      <c r="B1238" s="32" t="s">
        <v>4949</v>
      </c>
      <c r="C1238" s="31" t="s">
        <v>3497</v>
      </c>
      <c r="D1238" s="31" t="s">
        <v>3498</v>
      </c>
      <c r="E1238" s="31" t="s">
        <v>4950</v>
      </c>
      <c r="F1238" s="31" t="s">
        <v>31</v>
      </c>
      <c r="G1238" s="31">
        <v>685</v>
      </c>
      <c r="H1238" s="31">
        <v>10</v>
      </c>
      <c r="I1238" s="31">
        <v>10</v>
      </c>
      <c r="J1238" s="31" t="s">
        <v>4951</v>
      </c>
      <c r="K1238" s="31" t="s">
        <v>158</v>
      </c>
      <c r="L1238" s="31" t="s">
        <v>34</v>
      </c>
      <c r="M1238" s="31">
        <v>383</v>
      </c>
      <c r="N1238" s="31">
        <v>2021</v>
      </c>
      <c r="O1238" s="31">
        <v>296</v>
      </c>
      <c r="P1238" s="31"/>
      <c r="Q1238" s="31"/>
      <c r="R1238" s="33"/>
      <c r="S1238" s="34" t="str">
        <f>HYPERLINK("http://www.cnpol.ru/covers/19994.jpg","фото на сайте")</f>
        <v>фото на сайте</v>
      </c>
    </row>
    <row r="1239" spans="1:19" ht="50.1" customHeight="1">
      <c r="A1239" s="31"/>
      <c r="B1239" s="32" t="s">
        <v>4952</v>
      </c>
      <c r="C1239" s="31" t="s">
        <v>390</v>
      </c>
      <c r="D1239" s="31" t="s">
        <v>4953</v>
      </c>
      <c r="E1239" s="31" t="s">
        <v>4954</v>
      </c>
      <c r="F1239" s="31">
        <v>792</v>
      </c>
      <c r="G1239" s="31">
        <v>86</v>
      </c>
      <c r="H1239" s="31">
        <v>10</v>
      </c>
      <c r="I1239" s="31">
        <v>30</v>
      </c>
      <c r="J1239" s="31" t="s">
        <v>4955</v>
      </c>
      <c r="K1239" s="31" t="s">
        <v>123</v>
      </c>
      <c r="L1239" s="31" t="s">
        <v>56</v>
      </c>
      <c r="M1239" s="31">
        <v>160</v>
      </c>
      <c r="N1239" s="31">
        <v>2018</v>
      </c>
      <c r="O1239" s="31">
        <v>76</v>
      </c>
      <c r="P1239" s="31"/>
      <c r="Q1239" s="31"/>
      <c r="R1239" s="33"/>
      <c r="S1239" s="34" t="str">
        <f>HYPERLINK("http://www.cnpol.ru/covers/17984.jpg","фото на сайте")</f>
        <v>фото на сайте</v>
      </c>
    </row>
    <row r="1240" spans="1:19" ht="50.1" customHeight="1">
      <c r="A1240" s="31"/>
      <c r="B1240" s="32" t="s">
        <v>4956</v>
      </c>
      <c r="C1240" s="31" t="s">
        <v>2233</v>
      </c>
      <c r="D1240" s="31" t="s">
        <v>4957</v>
      </c>
      <c r="E1240" s="31" t="s">
        <v>4958</v>
      </c>
      <c r="F1240" s="31" t="s">
        <v>31</v>
      </c>
      <c r="G1240" s="31">
        <v>137</v>
      </c>
      <c r="H1240" s="31">
        <v>10</v>
      </c>
      <c r="I1240" s="31">
        <v>22</v>
      </c>
      <c r="J1240" s="31" t="s">
        <v>4959</v>
      </c>
      <c r="K1240" s="31" t="s">
        <v>55</v>
      </c>
      <c r="L1240" s="31" t="s">
        <v>56</v>
      </c>
      <c r="M1240" s="31">
        <v>255</v>
      </c>
      <c r="N1240" s="31">
        <v>2010</v>
      </c>
      <c r="O1240" s="31">
        <v>110</v>
      </c>
      <c r="P1240" s="31"/>
      <c r="Q1240" s="31"/>
      <c r="R1240" s="33"/>
      <c r="S1240" s="34" t="str">
        <f>HYPERLINK("http://www.cnpol.ru/covers/11735.jpg","фото на сайте")</f>
        <v>фото на сайте</v>
      </c>
    </row>
    <row r="1241" spans="1:19" ht="50.1" customHeight="1">
      <c r="A1241" s="31"/>
      <c r="B1241" s="32" t="s">
        <v>4960</v>
      </c>
      <c r="C1241" s="31" t="s">
        <v>385</v>
      </c>
      <c r="D1241" s="31" t="s">
        <v>386</v>
      </c>
      <c r="E1241" s="31" t="s">
        <v>4961</v>
      </c>
      <c r="F1241" s="31" t="s">
        <v>31</v>
      </c>
      <c r="G1241" s="31">
        <v>162</v>
      </c>
      <c r="H1241" s="31">
        <v>10</v>
      </c>
      <c r="I1241" s="31">
        <v>32</v>
      </c>
      <c r="J1241" s="31" t="s">
        <v>4962</v>
      </c>
      <c r="K1241" s="31" t="s">
        <v>55</v>
      </c>
      <c r="L1241" s="31" t="s">
        <v>56</v>
      </c>
      <c r="M1241" s="31">
        <v>192</v>
      </c>
      <c r="N1241" s="31">
        <v>2014</v>
      </c>
      <c r="O1241" s="31">
        <v>80</v>
      </c>
      <c r="P1241" s="31"/>
      <c r="Q1241" s="31"/>
      <c r="R1241" s="33"/>
      <c r="S1241" s="34" t="str">
        <f>HYPERLINK("http://www.cnpol.ru/covers/15281.jpg","фото на сайте")</f>
        <v>фото на сайте</v>
      </c>
    </row>
    <row r="1242" spans="1:19" ht="50.1" customHeight="1">
      <c r="A1242" s="31"/>
      <c r="B1242" s="32" t="s">
        <v>4963</v>
      </c>
      <c r="C1242" s="31" t="s">
        <v>385</v>
      </c>
      <c r="D1242" s="31" t="s">
        <v>386</v>
      </c>
      <c r="E1242" s="31" t="s">
        <v>4961</v>
      </c>
      <c r="F1242" s="31" t="s">
        <v>31</v>
      </c>
      <c r="G1242" s="31">
        <v>162</v>
      </c>
      <c r="H1242" s="31">
        <v>10</v>
      </c>
      <c r="I1242" s="31">
        <v>32</v>
      </c>
      <c r="J1242" s="31" t="s">
        <v>4964</v>
      </c>
      <c r="K1242" s="31" t="s">
        <v>55</v>
      </c>
      <c r="L1242" s="31" t="s">
        <v>56</v>
      </c>
      <c r="M1242" s="31">
        <v>192</v>
      </c>
      <c r="N1242" s="31">
        <v>2016</v>
      </c>
      <c r="O1242" s="31">
        <v>80</v>
      </c>
      <c r="P1242" s="31"/>
      <c r="Q1242" s="31"/>
      <c r="R1242" s="33"/>
      <c r="S1242" s="34" t="str">
        <f>HYPERLINK("http://www.cnpol.ru/covers/0176.jpg","фото на сайте")</f>
        <v>фото на сайте</v>
      </c>
    </row>
    <row r="1243" spans="1:19" ht="50.1" customHeight="1">
      <c r="A1243" s="31"/>
      <c r="B1243" s="32" t="s">
        <v>4965</v>
      </c>
      <c r="C1243" s="31" t="s">
        <v>1395</v>
      </c>
      <c r="D1243" s="31" t="s">
        <v>4966</v>
      </c>
      <c r="E1243" s="31" t="s">
        <v>4967</v>
      </c>
      <c r="F1243" s="31" t="s">
        <v>31</v>
      </c>
      <c r="G1243" s="31">
        <v>486</v>
      </c>
      <c r="H1243" s="31">
        <v>10</v>
      </c>
      <c r="I1243" s="31">
        <v>10</v>
      </c>
      <c r="J1243" s="31" t="s">
        <v>4968</v>
      </c>
      <c r="K1243" s="31" t="s">
        <v>33</v>
      </c>
      <c r="L1243" s="31" t="s">
        <v>34</v>
      </c>
      <c r="M1243" s="31">
        <v>320</v>
      </c>
      <c r="N1243" s="31">
        <v>2016</v>
      </c>
      <c r="O1243" s="31">
        <v>268</v>
      </c>
      <c r="P1243" s="31"/>
      <c r="Q1243" s="31"/>
      <c r="R1243" s="33"/>
      <c r="S1243" s="34" t="str">
        <f>HYPERLINK("http://www.cnpol.ru/covers/16508.jpg","фото на сайте")</f>
        <v>фото на сайте</v>
      </c>
    </row>
    <row r="1244" spans="1:19" ht="50.1" customHeight="1">
      <c r="A1244" s="31" t="s">
        <v>43</v>
      </c>
      <c r="B1244" s="32" t="s">
        <v>4969</v>
      </c>
      <c r="C1244" s="31" t="s">
        <v>4970</v>
      </c>
      <c r="D1244" s="31" t="s">
        <v>1212</v>
      </c>
      <c r="E1244" s="31" t="s">
        <v>4971</v>
      </c>
      <c r="F1244" s="31" t="s">
        <v>31</v>
      </c>
      <c r="G1244" s="31">
        <v>723</v>
      </c>
      <c r="H1244" s="31">
        <v>10</v>
      </c>
      <c r="I1244" s="31">
        <v>18</v>
      </c>
      <c r="J1244" s="31" t="s">
        <v>4972</v>
      </c>
      <c r="K1244" s="31" t="s">
        <v>33</v>
      </c>
      <c r="L1244" s="31" t="s">
        <v>34</v>
      </c>
      <c r="M1244" s="31">
        <v>287</v>
      </c>
      <c r="N1244" s="31">
        <v>2025</v>
      </c>
      <c r="O1244" s="31">
        <v>288</v>
      </c>
      <c r="P1244" s="31"/>
      <c r="Q1244" s="31"/>
      <c r="R1244" s="33" t="s">
        <v>4973</v>
      </c>
      <c r="S1244" s="34" t="str">
        <f>HYPERLINK("http://www.cnpol.ru/covers/21465.jpg","фото на сайте")</f>
        <v>фото на сайте</v>
      </c>
    </row>
    <row r="1245" spans="1:19" ht="50.1" customHeight="1">
      <c r="A1245" s="31"/>
      <c r="B1245" s="32" t="s">
        <v>4974</v>
      </c>
      <c r="C1245" s="31" t="s">
        <v>4970</v>
      </c>
      <c r="D1245" s="31" t="s">
        <v>1212</v>
      </c>
      <c r="E1245" s="31" t="s">
        <v>4975</v>
      </c>
      <c r="F1245" s="31" t="s">
        <v>31</v>
      </c>
      <c r="G1245" s="31">
        <v>795</v>
      </c>
      <c r="H1245" s="31">
        <v>10</v>
      </c>
      <c r="I1245" s="31">
        <v>10</v>
      </c>
      <c r="J1245" s="31" t="s">
        <v>4976</v>
      </c>
      <c r="K1245" s="31" t="s">
        <v>33</v>
      </c>
      <c r="L1245" s="31" t="s">
        <v>34</v>
      </c>
      <c r="M1245" s="31">
        <v>318</v>
      </c>
      <c r="N1245" s="31">
        <v>2023</v>
      </c>
      <c r="O1245" s="31">
        <v>361</v>
      </c>
      <c r="P1245" s="31"/>
      <c r="Q1245" s="31"/>
      <c r="R1245" s="33" t="s">
        <v>4977</v>
      </c>
      <c r="S1245" s="34" t="str">
        <f>HYPERLINK("http://www.cnpol.ru/covers/20815.jpg","фото на сайте")</f>
        <v>фото на сайте</v>
      </c>
    </row>
    <row r="1246" spans="1:19" ht="50.1" customHeight="1">
      <c r="A1246" s="31" t="s">
        <v>43</v>
      </c>
      <c r="B1246" s="32" t="s">
        <v>4978</v>
      </c>
      <c r="C1246" s="31" t="s">
        <v>1448</v>
      </c>
      <c r="D1246" s="31" t="s">
        <v>4979</v>
      </c>
      <c r="E1246" s="31" t="s">
        <v>4980</v>
      </c>
      <c r="F1246" s="31" t="s">
        <v>31</v>
      </c>
      <c r="G1246" s="35">
        <v>1332</v>
      </c>
      <c r="H1246" s="31">
        <v>10</v>
      </c>
      <c r="I1246" s="31">
        <v>5</v>
      </c>
      <c r="J1246" s="31" t="s">
        <v>4981</v>
      </c>
      <c r="K1246" s="31" t="s">
        <v>33</v>
      </c>
      <c r="L1246" s="31" t="s">
        <v>34</v>
      </c>
      <c r="M1246" s="31">
        <v>574</v>
      </c>
      <c r="N1246" s="31">
        <v>2025</v>
      </c>
      <c r="O1246" s="31" t="s">
        <v>220</v>
      </c>
      <c r="P1246" s="31"/>
      <c r="Q1246" s="31"/>
      <c r="R1246" s="33" t="s">
        <v>4982</v>
      </c>
      <c r="S1246" s="34" t="str">
        <f>HYPERLINK("http://www.cnpol.ru/covers/21850.jpg","фото на сайте")</f>
        <v>фото на сайте</v>
      </c>
    </row>
    <row r="1247" spans="1:19" ht="50.1" customHeight="1">
      <c r="A1247" s="31"/>
      <c r="B1247" s="32" t="s">
        <v>4983</v>
      </c>
      <c r="C1247" s="31" t="s">
        <v>4970</v>
      </c>
      <c r="D1247" s="31" t="s">
        <v>1212</v>
      </c>
      <c r="E1247" s="31" t="s">
        <v>4984</v>
      </c>
      <c r="F1247" s="31" t="s">
        <v>31</v>
      </c>
      <c r="G1247" s="31">
        <v>795</v>
      </c>
      <c r="H1247" s="31">
        <v>10</v>
      </c>
      <c r="I1247" s="31">
        <v>16</v>
      </c>
      <c r="J1247" s="31" t="s">
        <v>4985</v>
      </c>
      <c r="K1247" s="31" t="s">
        <v>33</v>
      </c>
      <c r="L1247" s="31" t="s">
        <v>34</v>
      </c>
      <c r="M1247" s="31">
        <v>319</v>
      </c>
      <c r="N1247" s="31">
        <v>2023</v>
      </c>
      <c r="O1247" s="31">
        <v>315</v>
      </c>
      <c r="P1247" s="31"/>
      <c r="Q1247" s="31"/>
      <c r="R1247" s="33" t="s">
        <v>4986</v>
      </c>
      <c r="S1247" s="34" t="str">
        <f>HYPERLINK("http://www.cnpol.ru/covers/20599.jpg","фото на сайте")</f>
        <v>фото на сайте</v>
      </c>
    </row>
    <row r="1248" spans="1:19" ht="50.1" customHeight="1">
      <c r="A1248" s="31"/>
      <c r="B1248" s="32" t="s">
        <v>4987</v>
      </c>
      <c r="C1248" s="31" t="s">
        <v>4970</v>
      </c>
      <c r="D1248" s="31" t="s">
        <v>1212</v>
      </c>
      <c r="E1248" s="31" t="s">
        <v>4988</v>
      </c>
      <c r="F1248" s="31" t="s">
        <v>31</v>
      </c>
      <c r="G1248" s="31">
        <v>795</v>
      </c>
      <c r="H1248" s="31">
        <v>10</v>
      </c>
      <c r="I1248" s="31">
        <v>14</v>
      </c>
      <c r="J1248" s="31" t="s">
        <v>4989</v>
      </c>
      <c r="K1248" s="31" t="s">
        <v>33</v>
      </c>
      <c r="L1248" s="31" t="s">
        <v>34</v>
      </c>
      <c r="M1248" s="31">
        <v>350</v>
      </c>
      <c r="N1248" s="31">
        <v>2023</v>
      </c>
      <c r="O1248" s="31">
        <v>306</v>
      </c>
      <c r="P1248" s="31"/>
      <c r="Q1248" s="31"/>
      <c r="R1248" s="33" t="s">
        <v>4990</v>
      </c>
      <c r="S1248" s="34" t="str">
        <f>HYPERLINK("http://www.cnpol.ru/covers/20682.jpg","фото на сайте")</f>
        <v>фото на сайте</v>
      </c>
    </row>
    <row r="1249" spans="1:19" ht="50.1" customHeight="1">
      <c r="A1249" s="31" t="s">
        <v>43</v>
      </c>
      <c r="B1249" s="32" t="s">
        <v>4991</v>
      </c>
      <c r="C1249" s="31" t="s">
        <v>4970</v>
      </c>
      <c r="D1249" s="31" t="s">
        <v>1212</v>
      </c>
      <c r="E1249" s="31" t="s">
        <v>4992</v>
      </c>
      <c r="F1249" s="31" t="s">
        <v>31</v>
      </c>
      <c r="G1249" s="31">
        <v>723</v>
      </c>
      <c r="H1249" s="31">
        <v>10</v>
      </c>
      <c r="I1249" s="31">
        <v>18</v>
      </c>
      <c r="J1249" s="31" t="s">
        <v>4993</v>
      </c>
      <c r="K1249" s="31" t="s">
        <v>33</v>
      </c>
      <c r="L1249" s="31" t="s">
        <v>34</v>
      </c>
      <c r="M1249" s="31">
        <v>287</v>
      </c>
      <c r="N1249" s="31">
        <v>2025</v>
      </c>
      <c r="O1249" s="31">
        <v>202</v>
      </c>
      <c r="P1249" s="31"/>
      <c r="Q1249" s="31"/>
      <c r="R1249" s="33" t="s">
        <v>4994</v>
      </c>
      <c r="S1249" s="34" t="str">
        <f>HYPERLINK("http://www.cnpol.ru/covers/21507.jpg","фото на сайте")</f>
        <v>фото на сайте</v>
      </c>
    </row>
    <row r="1250" spans="1:19" ht="50.1" customHeight="1">
      <c r="A1250" s="31" t="s">
        <v>43</v>
      </c>
      <c r="B1250" s="32" t="s">
        <v>4995</v>
      </c>
      <c r="C1250" s="31" t="s">
        <v>4970</v>
      </c>
      <c r="D1250" s="31" t="s">
        <v>1212</v>
      </c>
      <c r="E1250" s="31" t="s">
        <v>4996</v>
      </c>
      <c r="F1250" s="31" t="s">
        <v>31</v>
      </c>
      <c r="G1250" s="31">
        <v>855</v>
      </c>
      <c r="H1250" s="31">
        <v>10</v>
      </c>
      <c r="I1250" s="31">
        <v>12</v>
      </c>
      <c r="J1250" s="31" t="s">
        <v>4997</v>
      </c>
      <c r="K1250" s="31" t="s">
        <v>33</v>
      </c>
      <c r="L1250" s="31" t="s">
        <v>34</v>
      </c>
      <c r="M1250" s="31">
        <v>478</v>
      </c>
      <c r="N1250" s="31">
        <v>2024</v>
      </c>
      <c r="O1250" s="31">
        <v>325</v>
      </c>
      <c r="P1250" s="31"/>
      <c r="Q1250" s="31"/>
      <c r="R1250" s="33" t="s">
        <v>4998</v>
      </c>
      <c r="S1250" s="34" t="str">
        <f>HYPERLINK("http://www.cnpol.ru/covers/21041.jpg","фото на сайте")</f>
        <v>фото на сайте</v>
      </c>
    </row>
    <row r="1251" spans="1:19" ht="50.1" customHeight="1">
      <c r="A1251" s="31"/>
      <c r="B1251" s="32" t="s">
        <v>4999</v>
      </c>
      <c r="C1251" s="31" t="s">
        <v>630</v>
      </c>
      <c r="D1251" s="31" t="s">
        <v>5000</v>
      </c>
      <c r="E1251" s="31" t="s">
        <v>5001</v>
      </c>
      <c r="F1251" s="31" t="s">
        <v>31</v>
      </c>
      <c r="G1251" s="31">
        <v>96</v>
      </c>
      <c r="H1251" s="31">
        <v>10</v>
      </c>
      <c r="I1251" s="31">
        <v>40</v>
      </c>
      <c r="J1251" s="31" t="s">
        <v>5002</v>
      </c>
      <c r="K1251" s="31" t="s">
        <v>130</v>
      </c>
      <c r="L1251" s="31" t="s">
        <v>56</v>
      </c>
      <c r="M1251" s="31">
        <v>127</v>
      </c>
      <c r="N1251" s="31">
        <v>2007</v>
      </c>
      <c r="O1251" s="31">
        <v>82</v>
      </c>
      <c r="P1251" s="31"/>
      <c r="Q1251" s="31"/>
      <c r="R1251" s="33"/>
      <c r="S1251" s="34" t="str">
        <f>HYPERLINK("http://www.cnpol.ru/covers/7228.jpg","фото на сайте")</f>
        <v>фото на сайте</v>
      </c>
    </row>
    <row r="1252" spans="1:19" ht="50.1" customHeight="1">
      <c r="A1252" s="31"/>
      <c r="B1252" s="32" t="s">
        <v>5003</v>
      </c>
      <c r="C1252" s="31" t="s">
        <v>528</v>
      </c>
      <c r="D1252" s="31" t="s">
        <v>529</v>
      </c>
      <c r="E1252" s="31" t="s">
        <v>5004</v>
      </c>
      <c r="F1252" s="31" t="s">
        <v>31</v>
      </c>
      <c r="G1252" s="31">
        <v>137</v>
      </c>
      <c r="H1252" s="31">
        <v>10</v>
      </c>
      <c r="I1252" s="31">
        <v>40</v>
      </c>
      <c r="J1252" s="31" t="s">
        <v>5005</v>
      </c>
      <c r="K1252" s="31" t="s">
        <v>55</v>
      </c>
      <c r="L1252" s="31" t="s">
        <v>56</v>
      </c>
      <c r="M1252" s="31">
        <v>158</v>
      </c>
      <c r="N1252" s="31">
        <v>2015</v>
      </c>
      <c r="O1252" s="31">
        <v>70</v>
      </c>
      <c r="P1252" s="31"/>
      <c r="Q1252" s="31"/>
      <c r="R1252" s="33"/>
      <c r="S1252" s="34" t="str">
        <f>HYPERLINK("http://www.cnpol.ru/covers/16098.jpg","фото на сайте")</f>
        <v>фото на сайте</v>
      </c>
    </row>
    <row r="1253" spans="1:19" ht="50.1" customHeight="1">
      <c r="A1253" s="31"/>
      <c r="B1253" s="32" t="s">
        <v>5006</v>
      </c>
      <c r="C1253" s="31" t="s">
        <v>630</v>
      </c>
      <c r="D1253" s="31" t="s">
        <v>5007</v>
      </c>
      <c r="E1253" s="31" t="s">
        <v>5008</v>
      </c>
      <c r="F1253" s="31" t="s">
        <v>31</v>
      </c>
      <c r="G1253" s="31">
        <v>96</v>
      </c>
      <c r="H1253" s="31">
        <v>10</v>
      </c>
      <c r="I1253" s="31">
        <v>40</v>
      </c>
      <c r="J1253" s="31" t="s">
        <v>5009</v>
      </c>
      <c r="K1253" s="31" t="s">
        <v>55</v>
      </c>
      <c r="L1253" s="31" t="s">
        <v>56</v>
      </c>
      <c r="M1253" s="31">
        <v>189</v>
      </c>
      <c r="N1253" s="31">
        <v>2004</v>
      </c>
      <c r="O1253" s="31">
        <v>82</v>
      </c>
      <c r="P1253" s="31"/>
      <c r="Q1253" s="31"/>
      <c r="R1253" s="33"/>
      <c r="S1253" s="34" t="str">
        <f>HYPERLINK("http://www.cnpol.ru/covers/5346.jpg","фото на сайте")</f>
        <v>фото на сайте</v>
      </c>
    </row>
    <row r="1254" spans="1:19" ht="50.1" customHeight="1">
      <c r="A1254" s="31"/>
      <c r="B1254" s="32" t="s">
        <v>5010</v>
      </c>
      <c r="C1254" s="31" t="s">
        <v>630</v>
      </c>
      <c r="D1254" s="31" t="s">
        <v>5011</v>
      </c>
      <c r="E1254" s="31" t="s">
        <v>5012</v>
      </c>
      <c r="F1254" s="31" t="s">
        <v>31</v>
      </c>
      <c r="G1254" s="31">
        <v>96</v>
      </c>
      <c r="H1254" s="31">
        <v>10</v>
      </c>
      <c r="I1254" s="31">
        <v>40</v>
      </c>
      <c r="J1254" s="31" t="s">
        <v>5013</v>
      </c>
      <c r="K1254" s="31" t="s">
        <v>130</v>
      </c>
      <c r="L1254" s="31" t="s">
        <v>56</v>
      </c>
      <c r="M1254" s="31">
        <v>127</v>
      </c>
      <c r="N1254" s="31">
        <v>2007</v>
      </c>
      <c r="O1254" s="31">
        <v>82</v>
      </c>
      <c r="P1254" s="31"/>
      <c r="Q1254" s="31"/>
      <c r="R1254" s="33"/>
      <c r="S1254" s="34" t="str">
        <f>HYPERLINK("http://www.cnpol.ru/covers/6453.jpg","фото на сайте")</f>
        <v>фото на сайте</v>
      </c>
    </row>
    <row r="1255" spans="1:19" ht="50.1" customHeight="1">
      <c r="A1255" s="31"/>
      <c r="B1255" s="32" t="s">
        <v>5014</v>
      </c>
      <c r="C1255" s="31" t="s">
        <v>390</v>
      </c>
      <c r="D1255" s="31" t="s">
        <v>5015</v>
      </c>
      <c r="E1255" s="31" t="s">
        <v>5016</v>
      </c>
      <c r="F1255" s="31">
        <v>1031</v>
      </c>
      <c r="G1255" s="31">
        <v>86</v>
      </c>
      <c r="H1255" s="31">
        <v>10</v>
      </c>
      <c r="I1255" s="31">
        <v>30</v>
      </c>
      <c r="J1255" s="31" t="s">
        <v>5017</v>
      </c>
      <c r="K1255" s="31" t="s">
        <v>123</v>
      </c>
      <c r="L1255" s="31" t="s">
        <v>56</v>
      </c>
      <c r="M1255" s="31">
        <v>160</v>
      </c>
      <c r="N1255" s="31">
        <v>2021</v>
      </c>
      <c r="O1255" s="31">
        <v>76</v>
      </c>
      <c r="P1255" s="31"/>
      <c r="Q1255" s="31"/>
      <c r="R1255" s="33"/>
      <c r="S1255" s="34" t="str">
        <f>HYPERLINK("http://www.cnpol.ru/covers/19615.jpg","фото на сайте")</f>
        <v>фото на сайте</v>
      </c>
    </row>
    <row r="1256" spans="1:19" ht="50.1" customHeight="1">
      <c r="A1256" s="31" t="s">
        <v>43</v>
      </c>
      <c r="B1256" s="32" t="s">
        <v>5018</v>
      </c>
      <c r="C1256" s="31" t="s">
        <v>45</v>
      </c>
      <c r="D1256" s="31" t="s">
        <v>5019</v>
      </c>
      <c r="E1256" s="31" t="s">
        <v>5020</v>
      </c>
      <c r="F1256" s="31" t="s">
        <v>31</v>
      </c>
      <c r="G1256" s="35">
        <v>1166</v>
      </c>
      <c r="H1256" s="31">
        <v>10</v>
      </c>
      <c r="I1256" s="31">
        <v>8</v>
      </c>
      <c r="J1256" s="31" t="s">
        <v>5021</v>
      </c>
      <c r="K1256" s="31" t="s">
        <v>147</v>
      </c>
      <c r="L1256" s="31" t="s">
        <v>34</v>
      </c>
      <c r="M1256" s="31">
        <v>336</v>
      </c>
      <c r="N1256" s="31">
        <v>2025</v>
      </c>
      <c r="O1256" s="31">
        <v>550</v>
      </c>
      <c r="P1256" s="31"/>
      <c r="Q1256" s="31"/>
      <c r="R1256" s="33" t="s">
        <v>5022</v>
      </c>
      <c r="S1256" s="34" t="str">
        <f>HYPERLINK("http://www.cnpol.ru/covers/21690.jpg","фото на сайте")</f>
        <v>фото на сайте</v>
      </c>
    </row>
    <row r="1257" spans="1:19" ht="50.1" customHeight="1">
      <c r="A1257" s="31"/>
      <c r="B1257" s="32" t="s">
        <v>5023</v>
      </c>
      <c r="C1257" s="31" t="s">
        <v>1323</v>
      </c>
      <c r="D1257" s="31" t="s">
        <v>5024</v>
      </c>
      <c r="E1257" s="31" t="s">
        <v>5025</v>
      </c>
      <c r="F1257" s="31" t="s">
        <v>31</v>
      </c>
      <c r="G1257" s="31">
        <v>169</v>
      </c>
      <c r="H1257" s="31">
        <v>10</v>
      </c>
      <c r="I1257" s="31">
        <v>11</v>
      </c>
      <c r="J1257" s="31" t="s">
        <v>5026</v>
      </c>
      <c r="K1257" s="31" t="s">
        <v>55</v>
      </c>
      <c r="L1257" s="31" t="s">
        <v>56</v>
      </c>
      <c r="M1257" s="31">
        <v>287</v>
      </c>
      <c r="N1257" s="31">
        <v>2022</v>
      </c>
      <c r="O1257" s="31">
        <v>125</v>
      </c>
      <c r="P1257" s="31"/>
      <c r="Q1257" s="31"/>
      <c r="R1257" s="33"/>
      <c r="S1257" s="34" t="str">
        <f>HYPERLINK("http://www.cnpol.ru/covers/20250.jpg","фото на сайте")</f>
        <v>фото на сайте</v>
      </c>
    </row>
    <row r="1258" spans="1:19" ht="50.1" customHeight="1">
      <c r="A1258" s="31" t="s">
        <v>43</v>
      </c>
      <c r="B1258" s="32" t="s">
        <v>5027</v>
      </c>
      <c r="C1258" s="31" t="s">
        <v>520</v>
      </c>
      <c r="D1258" s="31" t="s">
        <v>5028</v>
      </c>
      <c r="E1258" s="31" t="s">
        <v>5029</v>
      </c>
      <c r="F1258" s="31">
        <v>95</v>
      </c>
      <c r="G1258" s="31">
        <v>117</v>
      </c>
      <c r="H1258" s="31">
        <v>10</v>
      </c>
      <c r="I1258" s="31">
        <v>20</v>
      </c>
      <c r="J1258" s="31" t="s">
        <v>5030</v>
      </c>
      <c r="K1258" s="31" t="s">
        <v>123</v>
      </c>
      <c r="L1258" s="31" t="s">
        <v>56</v>
      </c>
      <c r="M1258" s="31">
        <v>191</v>
      </c>
      <c r="N1258" s="31">
        <v>2024</v>
      </c>
      <c r="O1258" s="31">
        <v>90</v>
      </c>
      <c r="P1258" s="31"/>
      <c r="Q1258" s="31"/>
      <c r="R1258" s="33" t="s">
        <v>5031</v>
      </c>
      <c r="S1258" s="34" t="str">
        <f>HYPERLINK("http://www.cnpol.ru/covers/21204.jpg","фото на сайте")</f>
        <v>фото на сайте</v>
      </c>
    </row>
    <row r="1259" spans="1:19" ht="50.1" customHeight="1">
      <c r="A1259" s="31" t="s">
        <v>43</v>
      </c>
      <c r="B1259" s="32" t="s">
        <v>5032</v>
      </c>
      <c r="C1259" s="31" t="s">
        <v>5033</v>
      </c>
      <c r="D1259" s="31" t="s">
        <v>5034</v>
      </c>
      <c r="E1259" s="31" t="s">
        <v>5035</v>
      </c>
      <c r="F1259" s="31" t="s">
        <v>31</v>
      </c>
      <c r="G1259" s="35">
        <v>1405</v>
      </c>
      <c r="H1259" s="31">
        <v>10</v>
      </c>
      <c r="I1259" s="31">
        <v>8</v>
      </c>
      <c r="J1259" s="31" t="s">
        <v>5036</v>
      </c>
      <c r="K1259" s="31" t="s">
        <v>41</v>
      </c>
      <c r="L1259" s="31" t="s">
        <v>34</v>
      </c>
      <c r="M1259" s="31">
        <v>573</v>
      </c>
      <c r="N1259" s="31">
        <v>2024</v>
      </c>
      <c r="O1259" s="31">
        <v>657</v>
      </c>
      <c r="P1259" s="31"/>
      <c r="Q1259" s="31"/>
      <c r="R1259" s="33" t="s">
        <v>5037</v>
      </c>
      <c r="S1259" s="34" t="str">
        <f>HYPERLINK("http://www.cnpol.ru/covers/21217.jpg","фото на сайте")</f>
        <v>фото на сайте</v>
      </c>
    </row>
    <row r="1260" spans="1:19" ht="50.1" customHeight="1">
      <c r="A1260" s="31"/>
      <c r="B1260" s="32" t="s">
        <v>5038</v>
      </c>
      <c r="C1260" s="31" t="s">
        <v>390</v>
      </c>
      <c r="D1260" s="31" t="s">
        <v>594</v>
      </c>
      <c r="E1260" s="31" t="s">
        <v>5039</v>
      </c>
      <c r="F1260" s="31">
        <v>627</v>
      </c>
      <c r="G1260" s="31">
        <v>86</v>
      </c>
      <c r="H1260" s="31">
        <v>10</v>
      </c>
      <c r="I1260" s="31">
        <v>30</v>
      </c>
      <c r="J1260" s="31" t="s">
        <v>5040</v>
      </c>
      <c r="K1260" s="31" t="s">
        <v>55</v>
      </c>
      <c r="L1260" s="31" t="s">
        <v>56</v>
      </c>
      <c r="M1260" s="31">
        <v>160</v>
      </c>
      <c r="N1260" s="31">
        <v>2016</v>
      </c>
      <c r="O1260" s="31">
        <v>76</v>
      </c>
      <c r="P1260" s="31"/>
      <c r="Q1260" s="31"/>
      <c r="R1260" s="33"/>
      <c r="S1260" s="34" t="str">
        <f>HYPERLINK("http://www.cnpol.ru/covers/16822.jpg","фото на сайте")</f>
        <v>фото на сайте</v>
      </c>
    </row>
    <row r="1261" spans="1:19" ht="50.1" customHeight="1">
      <c r="A1261" s="31"/>
      <c r="B1261" s="32" t="s">
        <v>5041</v>
      </c>
      <c r="C1261" s="31" t="s">
        <v>1516</v>
      </c>
      <c r="D1261" s="31" t="s">
        <v>2253</v>
      </c>
      <c r="E1261" s="31" t="s">
        <v>5042</v>
      </c>
      <c r="F1261" s="31">
        <v>32</v>
      </c>
      <c r="G1261" s="31">
        <v>106</v>
      </c>
      <c r="H1261" s="31">
        <v>10</v>
      </c>
      <c r="I1261" s="31">
        <v>40</v>
      </c>
      <c r="J1261" s="31" t="s">
        <v>5043</v>
      </c>
      <c r="K1261" s="31" t="s">
        <v>123</v>
      </c>
      <c r="L1261" s="31" t="s">
        <v>56</v>
      </c>
      <c r="M1261" s="31">
        <v>160</v>
      </c>
      <c r="N1261" s="31">
        <v>2020</v>
      </c>
      <c r="O1261" s="31">
        <v>76</v>
      </c>
      <c r="P1261" s="31"/>
      <c r="Q1261" s="31"/>
      <c r="R1261" s="33"/>
      <c r="S1261" s="34" t="str">
        <f>HYPERLINK("http://www.cnpol.ru/covers/19483.jpg","фото на сайте")</f>
        <v>фото на сайте</v>
      </c>
    </row>
    <row r="1262" spans="1:19" ht="50.1" customHeight="1">
      <c r="A1262" s="31" t="s">
        <v>43</v>
      </c>
      <c r="B1262" s="32" t="s">
        <v>5044</v>
      </c>
      <c r="C1262" s="31" t="s">
        <v>37</v>
      </c>
      <c r="D1262" s="31" t="s">
        <v>5045</v>
      </c>
      <c r="E1262" s="31" t="s">
        <v>5046</v>
      </c>
      <c r="F1262" s="31" t="s">
        <v>31</v>
      </c>
      <c r="G1262" s="35">
        <v>1233</v>
      </c>
      <c r="H1262" s="31">
        <v>10</v>
      </c>
      <c r="I1262" s="31">
        <v>5</v>
      </c>
      <c r="J1262" s="31" t="s">
        <v>5047</v>
      </c>
      <c r="K1262" s="31" t="s">
        <v>33</v>
      </c>
      <c r="L1262" s="31" t="s">
        <v>34</v>
      </c>
      <c r="M1262" s="31">
        <v>558</v>
      </c>
      <c r="N1262" s="31">
        <v>2025</v>
      </c>
      <c r="O1262" s="31">
        <v>456</v>
      </c>
      <c r="P1262" s="31"/>
      <c r="Q1262" s="31"/>
      <c r="R1262" s="33" t="s">
        <v>5048</v>
      </c>
      <c r="S1262" s="34" t="str">
        <f>HYPERLINK("http://www.cnpol.ru/covers/21744.jpg","фото на сайте")</f>
        <v>фото на сайте</v>
      </c>
    </row>
    <row r="1263" spans="1:19" ht="50.1" customHeight="1">
      <c r="A1263" s="31" t="s">
        <v>35</v>
      </c>
      <c r="B1263" s="32" t="s">
        <v>5049</v>
      </c>
      <c r="C1263" s="31" t="s">
        <v>5050</v>
      </c>
      <c r="D1263" s="31" t="s">
        <v>5051</v>
      </c>
      <c r="E1263" s="31" t="s">
        <v>5052</v>
      </c>
      <c r="F1263" s="31" t="s">
        <v>31</v>
      </c>
      <c r="G1263" s="35">
        <v>1015</v>
      </c>
      <c r="H1263" s="31">
        <v>10</v>
      </c>
      <c r="I1263" s="31">
        <v>5</v>
      </c>
      <c r="J1263" s="31" t="s">
        <v>5053</v>
      </c>
      <c r="K1263" s="31" t="s">
        <v>41</v>
      </c>
      <c r="L1263" s="31" t="s">
        <v>34</v>
      </c>
      <c r="M1263" s="31">
        <v>351</v>
      </c>
      <c r="N1263" s="31">
        <v>2025</v>
      </c>
      <c r="O1263" s="31">
        <v>470</v>
      </c>
      <c r="P1263" s="31"/>
      <c r="Q1263" s="31"/>
      <c r="R1263" s="33" t="s">
        <v>5054</v>
      </c>
      <c r="S1263" s="34" t="str">
        <f>HYPERLINK("http://www.cnpol.ru/covers/21650.jpg","фото на сайте")</f>
        <v>фото на сайте</v>
      </c>
    </row>
    <row r="1264" spans="1:19" ht="50.1" customHeight="1">
      <c r="A1264" s="31" t="s">
        <v>35</v>
      </c>
      <c r="B1264" s="32" t="s">
        <v>5055</v>
      </c>
      <c r="C1264" s="31" t="s">
        <v>143</v>
      </c>
      <c r="D1264" s="31" t="s">
        <v>3321</v>
      </c>
      <c r="E1264" s="31" t="s">
        <v>5056</v>
      </c>
      <c r="F1264" s="31" t="s">
        <v>31</v>
      </c>
      <c r="G1264" s="31">
        <v>917</v>
      </c>
      <c r="H1264" s="31">
        <v>10</v>
      </c>
      <c r="I1264" s="31">
        <v>8</v>
      </c>
      <c r="J1264" s="31" t="s">
        <v>5057</v>
      </c>
      <c r="K1264" s="31" t="s">
        <v>33</v>
      </c>
      <c r="L1264" s="31" t="s">
        <v>34</v>
      </c>
      <c r="M1264" s="31">
        <v>319</v>
      </c>
      <c r="N1264" s="31">
        <v>2025</v>
      </c>
      <c r="O1264" s="31">
        <v>369</v>
      </c>
      <c r="P1264" s="31"/>
      <c r="Q1264" s="31"/>
      <c r="R1264" s="33" t="s">
        <v>5058</v>
      </c>
      <c r="S1264" s="34" t="str">
        <f>HYPERLINK("http://www.cnpol.ru/covers/21778.jpg","фото на сайте")</f>
        <v>фото на сайте</v>
      </c>
    </row>
    <row r="1265" spans="1:19" ht="50.1" customHeight="1">
      <c r="A1265" s="31"/>
      <c r="B1265" s="32" t="s">
        <v>5059</v>
      </c>
      <c r="C1265" s="31" t="s">
        <v>37</v>
      </c>
      <c r="D1265" s="31" t="s">
        <v>2130</v>
      </c>
      <c r="E1265" s="31" t="s">
        <v>5060</v>
      </c>
      <c r="F1265" s="31" t="s">
        <v>31</v>
      </c>
      <c r="G1265" s="35">
        <v>1009</v>
      </c>
      <c r="H1265" s="31">
        <v>10</v>
      </c>
      <c r="I1265" s="31">
        <v>12</v>
      </c>
      <c r="J1265" s="31" t="s">
        <v>5061</v>
      </c>
      <c r="K1265" s="31" t="s">
        <v>33</v>
      </c>
      <c r="L1265" s="31" t="s">
        <v>34</v>
      </c>
      <c r="M1265" s="31">
        <v>383</v>
      </c>
      <c r="N1265" s="31">
        <v>2024</v>
      </c>
      <c r="O1265" s="31">
        <v>412</v>
      </c>
      <c r="P1265" s="31"/>
      <c r="Q1265" s="31"/>
      <c r="R1265" s="33" t="s">
        <v>5062</v>
      </c>
      <c r="S1265" s="34" t="str">
        <f>HYPERLINK("http://www.cnpol.ru/covers/20964.jpg","фото на сайте")</f>
        <v>фото на сайте</v>
      </c>
    </row>
    <row r="1266" spans="1:19" ht="50.1" customHeight="1">
      <c r="A1266" s="31"/>
      <c r="B1266" s="32" t="s">
        <v>5063</v>
      </c>
      <c r="C1266" s="31" t="s">
        <v>390</v>
      </c>
      <c r="D1266" s="31" t="s">
        <v>4374</v>
      </c>
      <c r="E1266" s="31" t="s">
        <v>5064</v>
      </c>
      <c r="F1266" s="31">
        <v>891</v>
      </c>
      <c r="G1266" s="31">
        <v>86</v>
      </c>
      <c r="H1266" s="31">
        <v>10</v>
      </c>
      <c r="I1266" s="31">
        <v>30</v>
      </c>
      <c r="J1266" s="31" t="s">
        <v>5065</v>
      </c>
      <c r="K1266" s="31" t="s">
        <v>123</v>
      </c>
      <c r="L1266" s="31" t="s">
        <v>56</v>
      </c>
      <c r="M1266" s="31">
        <v>160</v>
      </c>
      <c r="N1266" s="31">
        <v>2019</v>
      </c>
      <c r="O1266" s="31">
        <v>78</v>
      </c>
      <c r="P1266" s="31"/>
      <c r="Q1266" s="31"/>
      <c r="R1266" s="33"/>
      <c r="S1266" s="34" t="str">
        <f>HYPERLINK("http://www.cnpol.ru/covers/18648.jpg","фото на сайте")</f>
        <v>фото на сайте</v>
      </c>
    </row>
    <row r="1267" spans="1:19" ht="50.1" customHeight="1">
      <c r="A1267" s="31"/>
      <c r="B1267" s="32" t="s">
        <v>5066</v>
      </c>
      <c r="C1267" s="31" t="s">
        <v>390</v>
      </c>
      <c r="D1267" s="31" t="s">
        <v>1292</v>
      </c>
      <c r="E1267" s="31" t="s">
        <v>5067</v>
      </c>
      <c r="F1267" s="31">
        <v>1122</v>
      </c>
      <c r="G1267" s="31">
        <v>86</v>
      </c>
      <c r="H1267" s="31">
        <v>10</v>
      </c>
      <c r="I1267" s="31">
        <v>30</v>
      </c>
      <c r="J1267" s="31" t="s">
        <v>5068</v>
      </c>
      <c r="K1267" s="31" t="s">
        <v>123</v>
      </c>
      <c r="L1267" s="31" t="s">
        <v>56</v>
      </c>
      <c r="M1267" s="31">
        <v>159</v>
      </c>
      <c r="N1267" s="31">
        <v>2023</v>
      </c>
      <c r="O1267" s="31">
        <v>78</v>
      </c>
      <c r="P1267" s="31"/>
      <c r="Q1267" s="31"/>
      <c r="R1267" s="33" t="s">
        <v>5069</v>
      </c>
      <c r="S1267" s="34" t="str">
        <f>HYPERLINK("http://www.cnpol.ru/covers/20499.jpg","фото на сайте")</f>
        <v>фото на сайте</v>
      </c>
    </row>
    <row r="1268" spans="1:19" ht="50.1" customHeight="1">
      <c r="A1268" s="31"/>
      <c r="B1268" s="32" t="s">
        <v>5070</v>
      </c>
      <c r="C1268" s="31" t="s">
        <v>390</v>
      </c>
      <c r="D1268" s="31" t="s">
        <v>5071</v>
      </c>
      <c r="E1268" s="31" t="s">
        <v>5072</v>
      </c>
      <c r="F1268" s="31">
        <v>351</v>
      </c>
      <c r="G1268" s="31">
        <v>86</v>
      </c>
      <c r="H1268" s="31">
        <v>10</v>
      </c>
      <c r="I1268" s="31">
        <v>30</v>
      </c>
      <c r="J1268" s="31" t="s">
        <v>5073</v>
      </c>
      <c r="K1268" s="31" t="s">
        <v>123</v>
      </c>
      <c r="L1268" s="31" t="s">
        <v>56</v>
      </c>
      <c r="M1268" s="31">
        <v>158</v>
      </c>
      <c r="N1268" s="31">
        <v>2013</v>
      </c>
      <c r="O1268" s="31">
        <v>76</v>
      </c>
      <c r="P1268" s="31"/>
      <c r="Q1268" s="31"/>
      <c r="R1268" s="33"/>
      <c r="S1268" s="34" t="str">
        <f>HYPERLINK("http://www.cnpol.ru/covers/14573.jpg","фото на сайте")</f>
        <v>фото на сайте</v>
      </c>
    </row>
    <row r="1269" spans="1:19" ht="50.1" customHeight="1">
      <c r="A1269" s="31"/>
      <c r="B1269" s="32" t="s">
        <v>5074</v>
      </c>
      <c r="C1269" s="31" t="s">
        <v>576</v>
      </c>
      <c r="D1269" s="31" t="s">
        <v>577</v>
      </c>
      <c r="E1269" s="31" t="s">
        <v>5075</v>
      </c>
      <c r="F1269" s="31" t="s">
        <v>31</v>
      </c>
      <c r="G1269" s="31">
        <v>226</v>
      </c>
      <c r="H1269" s="31">
        <v>10</v>
      </c>
      <c r="I1269" s="31">
        <v>24</v>
      </c>
      <c r="J1269" s="31" t="s">
        <v>5076</v>
      </c>
      <c r="K1269" s="31" t="s">
        <v>123</v>
      </c>
      <c r="L1269" s="31" t="s">
        <v>56</v>
      </c>
      <c r="M1269" s="31">
        <v>288</v>
      </c>
      <c r="N1269" s="31">
        <v>2019</v>
      </c>
      <c r="O1269" s="31">
        <v>134</v>
      </c>
      <c r="P1269" s="31"/>
      <c r="Q1269" s="31"/>
      <c r="R1269" s="33"/>
      <c r="S1269" s="34" t="str">
        <f>HYPERLINK("http://www.cnpol.ru/covers/18630.jpg","фото на сайте")</f>
        <v>фото на сайте</v>
      </c>
    </row>
    <row r="1270" spans="1:19" ht="50.1" customHeight="1">
      <c r="A1270" s="31"/>
      <c r="B1270" s="32" t="s">
        <v>5077</v>
      </c>
      <c r="C1270" s="31" t="s">
        <v>581</v>
      </c>
      <c r="D1270" s="31" t="s">
        <v>577</v>
      </c>
      <c r="E1270" s="31" t="s">
        <v>5075</v>
      </c>
      <c r="F1270" s="31" t="s">
        <v>31</v>
      </c>
      <c r="G1270" s="31">
        <v>185</v>
      </c>
      <c r="H1270" s="31">
        <v>10</v>
      </c>
      <c r="I1270" s="31">
        <v>32</v>
      </c>
      <c r="J1270" s="31" t="s">
        <v>5078</v>
      </c>
      <c r="K1270" s="31" t="s">
        <v>123</v>
      </c>
      <c r="L1270" s="31" t="s">
        <v>56</v>
      </c>
      <c r="M1270" s="31">
        <v>283</v>
      </c>
      <c r="N1270" s="31">
        <v>2014</v>
      </c>
      <c r="O1270" s="31">
        <v>134</v>
      </c>
      <c r="P1270" s="31"/>
      <c r="Q1270" s="31"/>
      <c r="R1270" s="33"/>
      <c r="S1270" s="34" t="str">
        <f>HYPERLINK("http://www.cnpol.ru/covers/14944.jpg","фото на сайте")</f>
        <v>фото на сайте</v>
      </c>
    </row>
    <row r="1271" spans="1:19" ht="50.1" customHeight="1">
      <c r="A1271" s="31"/>
      <c r="B1271" s="32" t="s">
        <v>5079</v>
      </c>
      <c r="C1271" s="31" t="s">
        <v>390</v>
      </c>
      <c r="D1271" s="31" t="s">
        <v>5080</v>
      </c>
      <c r="E1271" s="31" t="s">
        <v>5081</v>
      </c>
      <c r="F1271" s="31">
        <v>789</v>
      </c>
      <c r="G1271" s="31">
        <v>86</v>
      </c>
      <c r="H1271" s="31">
        <v>10</v>
      </c>
      <c r="I1271" s="31">
        <v>30</v>
      </c>
      <c r="J1271" s="31" t="s">
        <v>5082</v>
      </c>
      <c r="K1271" s="31" t="s">
        <v>123</v>
      </c>
      <c r="L1271" s="31" t="s">
        <v>56</v>
      </c>
      <c r="M1271" s="31">
        <v>160</v>
      </c>
      <c r="N1271" s="31">
        <v>2018</v>
      </c>
      <c r="O1271" s="31">
        <v>76</v>
      </c>
      <c r="P1271" s="31"/>
      <c r="Q1271" s="31"/>
      <c r="R1271" s="33"/>
      <c r="S1271" s="34" t="str">
        <f>HYPERLINK("http://www.cnpol.ru/covers/17952.jpg","фото на сайте")</f>
        <v>фото на сайте</v>
      </c>
    </row>
    <row r="1272" spans="1:19" ht="50.1" customHeight="1">
      <c r="A1272" s="31"/>
      <c r="B1272" s="32" t="s">
        <v>5083</v>
      </c>
      <c r="C1272" s="31" t="s">
        <v>390</v>
      </c>
      <c r="D1272" s="31" t="s">
        <v>961</v>
      </c>
      <c r="E1272" s="31" t="s">
        <v>5084</v>
      </c>
      <c r="F1272" s="31">
        <v>724</v>
      </c>
      <c r="G1272" s="31">
        <v>86</v>
      </c>
      <c r="H1272" s="31">
        <v>10</v>
      </c>
      <c r="I1272" s="31">
        <v>30</v>
      </c>
      <c r="J1272" s="31" t="s">
        <v>5085</v>
      </c>
      <c r="K1272" s="31" t="s">
        <v>123</v>
      </c>
      <c r="L1272" s="31" t="s">
        <v>56</v>
      </c>
      <c r="M1272" s="31">
        <v>160</v>
      </c>
      <c r="N1272" s="31">
        <v>2017</v>
      </c>
      <c r="O1272" s="31">
        <v>76</v>
      </c>
      <c r="P1272" s="31"/>
      <c r="Q1272" s="31"/>
      <c r="R1272" s="33"/>
      <c r="S1272" s="34" t="str">
        <f>HYPERLINK("http://www.cnpol.ru/covers/17521.jpg","фото на сайте")</f>
        <v>фото на сайте</v>
      </c>
    </row>
    <row r="1273" spans="1:19" ht="50.1" customHeight="1">
      <c r="A1273" s="31"/>
      <c r="B1273" s="32" t="s">
        <v>5086</v>
      </c>
      <c r="C1273" s="31" t="s">
        <v>1050</v>
      </c>
      <c r="D1273" s="31" t="s">
        <v>1156</v>
      </c>
      <c r="E1273" s="31" t="s">
        <v>5087</v>
      </c>
      <c r="F1273" s="31" t="s">
        <v>31</v>
      </c>
      <c r="G1273" s="31">
        <v>386</v>
      </c>
      <c r="H1273" s="31">
        <v>10</v>
      </c>
      <c r="I1273" s="31">
        <v>14</v>
      </c>
      <c r="J1273" s="31" t="s">
        <v>5088</v>
      </c>
      <c r="K1273" s="31" t="s">
        <v>33</v>
      </c>
      <c r="L1273" s="31" t="s">
        <v>210</v>
      </c>
      <c r="M1273" s="31">
        <v>320</v>
      </c>
      <c r="N1273" s="31">
        <v>2018</v>
      </c>
      <c r="O1273" s="31">
        <v>268</v>
      </c>
      <c r="P1273" s="31"/>
      <c r="Q1273" s="31"/>
      <c r="R1273" s="33"/>
      <c r="S1273" s="34" t="str">
        <f>HYPERLINK("http://www.cnpol.ru/covers/18112.jpg","фото на сайте")</f>
        <v>фото на сайте</v>
      </c>
    </row>
    <row r="1274" spans="1:19" ht="50.1" customHeight="1">
      <c r="A1274" s="31"/>
      <c r="B1274" s="32" t="s">
        <v>5089</v>
      </c>
      <c r="C1274" s="31" t="s">
        <v>4205</v>
      </c>
      <c r="D1274" s="31" t="s">
        <v>5090</v>
      </c>
      <c r="E1274" s="31" t="s">
        <v>5091</v>
      </c>
      <c r="F1274" s="31" t="s">
        <v>31</v>
      </c>
      <c r="G1274" s="31">
        <v>855</v>
      </c>
      <c r="H1274" s="31">
        <v>10</v>
      </c>
      <c r="I1274" s="31">
        <v>14</v>
      </c>
      <c r="J1274" s="31" t="s">
        <v>5092</v>
      </c>
      <c r="K1274" s="31" t="s">
        <v>33</v>
      </c>
      <c r="L1274" s="31" t="s">
        <v>34</v>
      </c>
      <c r="M1274" s="31">
        <v>288</v>
      </c>
      <c r="N1274" s="31">
        <v>2020</v>
      </c>
      <c r="O1274" s="31">
        <v>342</v>
      </c>
      <c r="P1274" s="31"/>
      <c r="Q1274" s="31"/>
      <c r="R1274" s="33"/>
      <c r="S1274" s="34" t="str">
        <f>HYPERLINK("http://www.cnpol.ru/covers/19413.jpg","фото на сайте")</f>
        <v>фото на сайте</v>
      </c>
    </row>
    <row r="1275" spans="1:19" ht="50.1" customHeight="1">
      <c r="A1275" s="31" t="s">
        <v>35</v>
      </c>
      <c r="B1275" s="32" t="s">
        <v>5093</v>
      </c>
      <c r="C1275" s="31" t="s">
        <v>1206</v>
      </c>
      <c r="D1275" s="31" t="s">
        <v>1207</v>
      </c>
      <c r="E1275" s="31" t="s">
        <v>5094</v>
      </c>
      <c r="F1275" s="31" t="s">
        <v>31</v>
      </c>
      <c r="G1275" s="31">
        <v>696</v>
      </c>
      <c r="H1275" s="31">
        <v>10</v>
      </c>
      <c r="I1275" s="31">
        <v>8</v>
      </c>
      <c r="J1275" s="31" t="s">
        <v>5095</v>
      </c>
      <c r="K1275" s="31" t="s">
        <v>739</v>
      </c>
      <c r="L1275" s="31" t="s">
        <v>34</v>
      </c>
      <c r="M1275" s="31">
        <v>429</v>
      </c>
      <c r="N1275" s="31" t="s">
        <v>431</v>
      </c>
      <c r="O1275" s="31">
        <v>301</v>
      </c>
      <c r="P1275" s="31"/>
      <c r="Q1275" s="31"/>
      <c r="R1275" s="33" t="s">
        <v>5096</v>
      </c>
      <c r="S1275" s="34" t="str">
        <f>HYPERLINK("http://www.cnpol.ru/covers/21422.jpg","фото на сайте")</f>
        <v>фото на сайте</v>
      </c>
    </row>
    <row r="1276" spans="1:19" ht="50.1" customHeight="1">
      <c r="A1276" s="31"/>
      <c r="B1276" s="32" t="s">
        <v>5097</v>
      </c>
      <c r="C1276" s="31" t="s">
        <v>3108</v>
      </c>
      <c r="D1276" s="31" t="s">
        <v>1364</v>
      </c>
      <c r="E1276" s="31" t="s">
        <v>5098</v>
      </c>
      <c r="F1276" s="31">
        <v>5</v>
      </c>
      <c r="G1276" s="31">
        <v>771</v>
      </c>
      <c r="H1276" s="31">
        <v>10</v>
      </c>
      <c r="I1276" s="31">
        <v>12</v>
      </c>
      <c r="J1276" s="31" t="s">
        <v>5099</v>
      </c>
      <c r="K1276" s="31" t="s">
        <v>33</v>
      </c>
      <c r="L1276" s="31" t="s">
        <v>304</v>
      </c>
      <c r="M1276" s="31">
        <v>287</v>
      </c>
      <c r="N1276" s="31">
        <v>2023</v>
      </c>
      <c r="O1276" s="31">
        <v>280</v>
      </c>
      <c r="P1276" s="31"/>
      <c r="Q1276" s="31"/>
      <c r="R1276" s="33" t="s">
        <v>5100</v>
      </c>
      <c r="S1276" s="34" t="str">
        <f>HYPERLINK("http://www.cnpol.ru/covers/20694.jpg","фото на сайте")</f>
        <v>фото на сайте</v>
      </c>
    </row>
    <row r="1277" spans="1:19" ht="50.1" customHeight="1">
      <c r="A1277" s="31"/>
      <c r="B1277" s="32" t="s">
        <v>5101</v>
      </c>
      <c r="C1277" s="31" t="s">
        <v>520</v>
      </c>
      <c r="D1277" s="31" t="s">
        <v>5102</v>
      </c>
      <c r="E1277" s="31" t="s">
        <v>5103</v>
      </c>
      <c r="F1277" s="31">
        <v>62</v>
      </c>
      <c r="G1277" s="31">
        <v>117</v>
      </c>
      <c r="H1277" s="31">
        <v>10</v>
      </c>
      <c r="I1277" s="31">
        <v>30</v>
      </c>
      <c r="J1277" s="31" t="s">
        <v>5104</v>
      </c>
      <c r="K1277" s="31" t="s">
        <v>123</v>
      </c>
      <c r="L1277" s="31" t="s">
        <v>56</v>
      </c>
      <c r="M1277" s="31">
        <v>192</v>
      </c>
      <c r="N1277" s="31">
        <v>2018</v>
      </c>
      <c r="O1277" s="31">
        <v>90</v>
      </c>
      <c r="P1277" s="31"/>
      <c r="Q1277" s="31"/>
      <c r="R1277" s="33"/>
      <c r="S1277" s="34" t="str">
        <f>HYPERLINK("http://www.cnpol.ru/covers/18442.jpg","фото на сайте")</f>
        <v>фото на сайте</v>
      </c>
    </row>
    <row r="1278" spans="1:19" ht="50.1" customHeight="1">
      <c r="A1278" s="31"/>
      <c r="B1278" s="32" t="s">
        <v>5105</v>
      </c>
      <c r="C1278" s="31" t="s">
        <v>5106</v>
      </c>
      <c r="D1278" s="31" t="s">
        <v>5107</v>
      </c>
      <c r="E1278" s="31" t="s">
        <v>5108</v>
      </c>
      <c r="F1278" s="31" t="s">
        <v>31</v>
      </c>
      <c r="G1278" s="31">
        <v>820</v>
      </c>
      <c r="H1278" s="31">
        <v>10</v>
      </c>
      <c r="I1278" s="31">
        <v>20</v>
      </c>
      <c r="J1278" s="31" t="s">
        <v>5109</v>
      </c>
      <c r="K1278" s="31" t="s">
        <v>5110</v>
      </c>
      <c r="L1278" s="31" t="s">
        <v>56</v>
      </c>
      <c r="M1278" s="31">
        <v>48</v>
      </c>
      <c r="N1278" s="31">
        <v>2017</v>
      </c>
      <c r="O1278" s="31">
        <v>490</v>
      </c>
      <c r="P1278" s="31"/>
      <c r="Q1278" s="31"/>
      <c r="R1278" s="33"/>
      <c r="S1278" s="34" t="str">
        <f>HYPERLINK("http://www.cnpol.ru/covers/17809.jpg","фото на сайте")</f>
        <v>фото на сайте</v>
      </c>
    </row>
    <row r="1279" spans="1:19" ht="50.1" customHeight="1">
      <c r="A1279" s="31"/>
      <c r="B1279" s="32" t="s">
        <v>5111</v>
      </c>
      <c r="C1279" s="31" t="s">
        <v>390</v>
      </c>
      <c r="D1279" s="31" t="s">
        <v>1842</v>
      </c>
      <c r="E1279" s="31" t="s">
        <v>5112</v>
      </c>
      <c r="F1279" s="31">
        <v>1062</v>
      </c>
      <c r="G1279" s="31">
        <v>86</v>
      </c>
      <c r="H1279" s="31">
        <v>10</v>
      </c>
      <c r="I1279" s="31">
        <v>30</v>
      </c>
      <c r="J1279" s="31" t="s">
        <v>5113</v>
      </c>
      <c r="K1279" s="31" t="s">
        <v>123</v>
      </c>
      <c r="L1279" s="31" t="s">
        <v>56</v>
      </c>
      <c r="M1279" s="31">
        <v>159</v>
      </c>
      <c r="N1279" s="31">
        <v>2021</v>
      </c>
      <c r="O1279" s="31">
        <v>76</v>
      </c>
      <c r="P1279" s="31"/>
      <c r="Q1279" s="31"/>
      <c r="R1279" s="33"/>
      <c r="S1279" s="34" t="str">
        <f>HYPERLINK("http://www.cnpol.ru/covers/19904.jpg","фото на сайте")</f>
        <v>фото на сайте</v>
      </c>
    </row>
    <row r="1280" spans="1:19" ht="50.1" customHeight="1">
      <c r="A1280" s="31"/>
      <c r="B1280" s="32" t="s">
        <v>5114</v>
      </c>
      <c r="C1280" s="31" t="s">
        <v>297</v>
      </c>
      <c r="D1280" s="31" t="s">
        <v>5115</v>
      </c>
      <c r="E1280" s="31" t="s">
        <v>5116</v>
      </c>
      <c r="F1280" s="31" t="s">
        <v>31</v>
      </c>
      <c r="G1280" s="31">
        <v>300</v>
      </c>
      <c r="H1280" s="31">
        <v>10</v>
      </c>
      <c r="I1280" s="31">
        <v>9</v>
      </c>
      <c r="J1280" s="31" t="s">
        <v>5117</v>
      </c>
      <c r="K1280" s="31" t="s">
        <v>300</v>
      </c>
      <c r="L1280" s="31" t="s">
        <v>56</v>
      </c>
      <c r="M1280" s="31">
        <v>383</v>
      </c>
      <c r="N1280" s="31">
        <v>2022</v>
      </c>
      <c r="O1280" s="31">
        <v>194</v>
      </c>
      <c r="P1280" s="31"/>
      <c r="Q1280" s="31"/>
      <c r="R1280" s="33"/>
      <c r="S1280" s="34" t="str">
        <f>HYPERLINK("http://www.cnpol.ru/covers/20292.jpg","фото на сайте")</f>
        <v>фото на сайте</v>
      </c>
    </row>
    <row r="1281" spans="1:19" ht="50.1" customHeight="1">
      <c r="A1281" s="31"/>
      <c r="B1281" s="32" t="s">
        <v>5118</v>
      </c>
      <c r="C1281" s="31" t="s">
        <v>302</v>
      </c>
      <c r="D1281" s="31" t="s">
        <v>5115</v>
      </c>
      <c r="E1281" s="31" t="s">
        <v>5116</v>
      </c>
      <c r="F1281" s="31" t="s">
        <v>31</v>
      </c>
      <c r="G1281" s="31">
        <v>917</v>
      </c>
      <c r="H1281" s="31">
        <v>10</v>
      </c>
      <c r="I1281" s="31">
        <v>12</v>
      </c>
      <c r="J1281" s="31" t="s">
        <v>5119</v>
      </c>
      <c r="K1281" s="31" t="s">
        <v>41</v>
      </c>
      <c r="L1281" s="31" t="s">
        <v>304</v>
      </c>
      <c r="M1281" s="31">
        <v>384</v>
      </c>
      <c r="N1281" s="31">
        <v>2019</v>
      </c>
      <c r="O1281" s="31">
        <v>462</v>
      </c>
      <c r="P1281" s="31"/>
      <c r="Q1281" s="31"/>
      <c r="R1281" s="33"/>
      <c r="S1281" s="34" t="str">
        <f>HYPERLINK("http://www.cnpol.ru/covers/18861.jpg","фото на сайте")</f>
        <v>фото на сайте</v>
      </c>
    </row>
    <row r="1282" spans="1:19" ht="50.1" customHeight="1">
      <c r="A1282" s="31"/>
      <c r="B1282" s="32" t="s">
        <v>5120</v>
      </c>
      <c r="C1282" s="31" t="s">
        <v>390</v>
      </c>
      <c r="D1282" s="31" t="s">
        <v>2511</v>
      </c>
      <c r="E1282" s="31" t="s">
        <v>5121</v>
      </c>
      <c r="F1282" s="31">
        <v>1090</v>
      </c>
      <c r="G1282" s="31">
        <v>86</v>
      </c>
      <c r="H1282" s="31">
        <v>10</v>
      </c>
      <c r="I1282" s="31">
        <v>30</v>
      </c>
      <c r="J1282" s="31" t="s">
        <v>5122</v>
      </c>
      <c r="K1282" s="31" t="s">
        <v>123</v>
      </c>
      <c r="L1282" s="31" t="s">
        <v>56</v>
      </c>
      <c r="M1282" s="31">
        <v>159</v>
      </c>
      <c r="N1282" s="31">
        <v>2022</v>
      </c>
      <c r="O1282" s="31">
        <v>76</v>
      </c>
      <c r="P1282" s="31"/>
      <c r="Q1282" s="31"/>
      <c r="R1282" s="33"/>
      <c r="S1282" s="34" t="str">
        <f>HYPERLINK("http://www.cnpol.ru/covers/20210.jpg","фото на сайте")</f>
        <v>фото на сайте</v>
      </c>
    </row>
    <row r="1283" spans="1:19" ht="50.1" customHeight="1">
      <c r="A1283" s="31"/>
      <c r="B1283" s="32" t="s">
        <v>5123</v>
      </c>
      <c r="C1283" s="31" t="s">
        <v>589</v>
      </c>
      <c r="D1283" s="31" t="s">
        <v>590</v>
      </c>
      <c r="E1283" s="31" t="s">
        <v>5124</v>
      </c>
      <c r="F1283" s="31" t="s">
        <v>31</v>
      </c>
      <c r="G1283" s="31">
        <v>258</v>
      </c>
      <c r="H1283" s="31">
        <v>10</v>
      </c>
      <c r="I1283" s="31">
        <v>24</v>
      </c>
      <c r="J1283" s="31" t="s">
        <v>5125</v>
      </c>
      <c r="K1283" s="31" t="s">
        <v>130</v>
      </c>
      <c r="L1283" s="31" t="s">
        <v>56</v>
      </c>
      <c r="M1283" s="31">
        <v>224</v>
      </c>
      <c r="N1283" s="31">
        <v>2015</v>
      </c>
      <c r="O1283" s="31">
        <v>138</v>
      </c>
      <c r="P1283" s="31"/>
      <c r="Q1283" s="31"/>
      <c r="R1283" s="33"/>
      <c r="S1283" s="34" t="str">
        <f>HYPERLINK("http://www.cnpol.ru/covers/16246.jpg","фото на сайте")</f>
        <v>фото на сайте</v>
      </c>
    </row>
    <row r="1284" spans="1:19" ht="50.1" customHeight="1">
      <c r="A1284" s="31"/>
      <c r="B1284" s="32" t="s">
        <v>5126</v>
      </c>
      <c r="C1284" s="31" t="s">
        <v>589</v>
      </c>
      <c r="D1284" s="31" t="s">
        <v>590</v>
      </c>
      <c r="E1284" s="31" t="s">
        <v>5127</v>
      </c>
      <c r="F1284" s="31" t="s">
        <v>31</v>
      </c>
      <c r="G1284" s="31">
        <v>258</v>
      </c>
      <c r="H1284" s="31">
        <v>10</v>
      </c>
      <c r="I1284" s="31">
        <v>15</v>
      </c>
      <c r="J1284" s="31" t="s">
        <v>5128</v>
      </c>
      <c r="K1284" s="31" t="s">
        <v>130</v>
      </c>
      <c r="L1284" s="31" t="s">
        <v>56</v>
      </c>
      <c r="M1284" s="31">
        <v>191</v>
      </c>
      <c r="N1284" s="31">
        <v>2024</v>
      </c>
      <c r="O1284" s="31">
        <v>114</v>
      </c>
      <c r="P1284" s="31"/>
      <c r="Q1284" s="31"/>
      <c r="R1284" s="33" t="s">
        <v>5129</v>
      </c>
      <c r="S1284" s="34" t="str">
        <f>HYPERLINK("http://www.cnpol.ru/covers/20946.jpg","фото на сайте")</f>
        <v>фото на сайте</v>
      </c>
    </row>
    <row r="1285" spans="1:19" ht="50.1" customHeight="1">
      <c r="A1285" s="31"/>
      <c r="B1285" s="32" t="s">
        <v>5130</v>
      </c>
      <c r="C1285" s="31" t="s">
        <v>589</v>
      </c>
      <c r="D1285" s="31" t="s">
        <v>590</v>
      </c>
      <c r="E1285" s="31" t="s">
        <v>5131</v>
      </c>
      <c r="F1285" s="31" t="s">
        <v>31</v>
      </c>
      <c r="G1285" s="31">
        <v>258</v>
      </c>
      <c r="H1285" s="31">
        <v>10</v>
      </c>
      <c r="I1285" s="31">
        <v>20</v>
      </c>
      <c r="J1285" s="31" t="s">
        <v>5132</v>
      </c>
      <c r="K1285" s="31" t="s">
        <v>130</v>
      </c>
      <c r="L1285" s="31" t="s">
        <v>56</v>
      </c>
      <c r="M1285" s="31">
        <v>224</v>
      </c>
      <c r="N1285" s="31">
        <v>2018</v>
      </c>
      <c r="O1285" s="31">
        <v>136</v>
      </c>
      <c r="P1285" s="31"/>
      <c r="Q1285" s="31"/>
      <c r="R1285" s="33"/>
      <c r="S1285" s="34" t="str">
        <f>HYPERLINK("http://www.cnpol.ru/covers/18363.jpg","фото на сайте")</f>
        <v>фото на сайте</v>
      </c>
    </row>
    <row r="1286" spans="1:19" ht="50.1" customHeight="1">
      <c r="A1286" s="31"/>
      <c r="B1286" s="32" t="s">
        <v>5133</v>
      </c>
      <c r="C1286" s="31" t="s">
        <v>589</v>
      </c>
      <c r="D1286" s="31" t="s">
        <v>590</v>
      </c>
      <c r="E1286" s="31" t="s">
        <v>5134</v>
      </c>
      <c r="F1286" s="31" t="s">
        <v>31</v>
      </c>
      <c r="G1286" s="31">
        <v>258</v>
      </c>
      <c r="H1286" s="31">
        <v>10</v>
      </c>
      <c r="I1286" s="31">
        <v>14</v>
      </c>
      <c r="J1286" s="31" t="s">
        <v>5135</v>
      </c>
      <c r="K1286" s="31" t="s">
        <v>130</v>
      </c>
      <c r="L1286" s="31" t="s">
        <v>56</v>
      </c>
      <c r="M1286" s="31">
        <v>288</v>
      </c>
      <c r="N1286" s="31">
        <v>2016</v>
      </c>
      <c r="O1286" s="31">
        <v>176</v>
      </c>
      <c r="P1286" s="31"/>
      <c r="Q1286" s="31"/>
      <c r="R1286" s="33"/>
      <c r="S1286" s="34" t="str">
        <f>HYPERLINK("http://www.cnpol.ru/covers/16778.jpg","фото на сайте")</f>
        <v>фото на сайте</v>
      </c>
    </row>
    <row r="1287" spans="1:19" ht="50.1" customHeight="1">
      <c r="A1287" s="31"/>
      <c r="B1287" s="32" t="s">
        <v>5136</v>
      </c>
      <c r="C1287" s="31" t="s">
        <v>45</v>
      </c>
      <c r="D1287" s="31" t="s">
        <v>182</v>
      </c>
      <c r="E1287" s="31" t="s">
        <v>5137</v>
      </c>
      <c r="F1287" s="31" t="s">
        <v>31</v>
      </c>
      <c r="G1287" s="35">
        <v>1229</v>
      </c>
      <c r="H1287" s="31">
        <v>10</v>
      </c>
      <c r="I1287" s="31">
        <v>8</v>
      </c>
      <c r="J1287" s="31" t="s">
        <v>5138</v>
      </c>
      <c r="K1287" s="31" t="s">
        <v>33</v>
      </c>
      <c r="L1287" s="31" t="s">
        <v>34</v>
      </c>
      <c r="M1287" s="31">
        <v>512</v>
      </c>
      <c r="N1287" s="31">
        <v>2021</v>
      </c>
      <c r="O1287" s="31">
        <v>376</v>
      </c>
      <c r="P1287" s="31"/>
      <c r="Q1287" s="31"/>
      <c r="R1287" s="33"/>
      <c r="S1287" s="34" t="str">
        <f>HYPERLINK("http://www.cnpol.ru/covers/19677.jpg","фото на сайте")</f>
        <v>фото на сайте</v>
      </c>
    </row>
    <row r="1288" spans="1:19" ht="50.1" customHeight="1">
      <c r="A1288" s="31"/>
      <c r="B1288" s="32" t="s">
        <v>5139</v>
      </c>
      <c r="C1288" s="31" t="s">
        <v>1363</v>
      </c>
      <c r="D1288" s="31" t="s">
        <v>1364</v>
      </c>
      <c r="E1288" s="31" t="s">
        <v>5140</v>
      </c>
      <c r="F1288" s="31" t="s">
        <v>31</v>
      </c>
      <c r="G1288" s="31">
        <v>640</v>
      </c>
      <c r="H1288" s="31">
        <v>10</v>
      </c>
      <c r="I1288" s="31">
        <v>18</v>
      </c>
      <c r="J1288" s="31" t="s">
        <v>5141</v>
      </c>
      <c r="K1288" s="31" t="s">
        <v>158</v>
      </c>
      <c r="L1288" s="31" t="s">
        <v>34</v>
      </c>
      <c r="M1288" s="31">
        <v>287</v>
      </c>
      <c r="N1288" s="31">
        <v>2023</v>
      </c>
      <c r="O1288" s="31">
        <v>284</v>
      </c>
      <c r="P1288" s="31"/>
      <c r="Q1288" s="31"/>
      <c r="R1288" s="33" t="s">
        <v>5142</v>
      </c>
      <c r="S1288" s="34" t="str">
        <f>HYPERLINK("http://www.cnpol.ru/covers/20843.jpg","фото на сайте")</f>
        <v>фото на сайте</v>
      </c>
    </row>
    <row r="1289" spans="1:19" ht="50.1" customHeight="1">
      <c r="A1289" s="31"/>
      <c r="B1289" s="32" t="s">
        <v>5143</v>
      </c>
      <c r="C1289" s="31" t="s">
        <v>1363</v>
      </c>
      <c r="D1289" s="31" t="s">
        <v>1364</v>
      </c>
      <c r="E1289" s="31" t="s">
        <v>5144</v>
      </c>
      <c r="F1289" s="31" t="s">
        <v>31</v>
      </c>
      <c r="G1289" s="31">
        <v>693</v>
      </c>
      <c r="H1289" s="31">
        <v>10</v>
      </c>
      <c r="I1289" s="31">
        <v>16</v>
      </c>
      <c r="J1289" s="31" t="s">
        <v>5145</v>
      </c>
      <c r="K1289" s="31" t="s">
        <v>33</v>
      </c>
      <c r="L1289" s="31" t="s">
        <v>34</v>
      </c>
      <c r="M1289" s="31">
        <v>352</v>
      </c>
      <c r="N1289" s="31">
        <v>2018</v>
      </c>
      <c r="O1289" s="31">
        <v>382</v>
      </c>
      <c r="P1289" s="31"/>
      <c r="Q1289" s="31"/>
      <c r="R1289" s="33"/>
      <c r="S1289" s="34" t="str">
        <f>HYPERLINK("http://www.cnpol.ru/covers/18346.jpg","фото на сайте")</f>
        <v>фото на сайте</v>
      </c>
    </row>
    <row r="1290" spans="1:19" ht="50.1" customHeight="1">
      <c r="A1290" s="31"/>
      <c r="B1290" s="32" t="s">
        <v>5146</v>
      </c>
      <c r="C1290" s="31" t="s">
        <v>520</v>
      </c>
      <c r="D1290" s="31" t="s">
        <v>5147</v>
      </c>
      <c r="E1290" s="31" t="s">
        <v>5148</v>
      </c>
      <c r="F1290" s="31">
        <v>20</v>
      </c>
      <c r="G1290" s="31">
        <v>117</v>
      </c>
      <c r="H1290" s="31">
        <v>10</v>
      </c>
      <c r="I1290" s="31">
        <v>30</v>
      </c>
      <c r="J1290" s="31" t="s">
        <v>5149</v>
      </c>
      <c r="K1290" s="31" t="s">
        <v>123</v>
      </c>
      <c r="L1290" s="31" t="s">
        <v>56</v>
      </c>
      <c r="M1290" s="31">
        <v>192</v>
      </c>
      <c r="N1290" s="31">
        <v>2016</v>
      </c>
      <c r="O1290" s="31">
        <v>90</v>
      </c>
      <c r="P1290" s="31"/>
      <c r="Q1290" s="31"/>
      <c r="R1290" s="33"/>
      <c r="S1290" s="34" t="str">
        <f>HYPERLINK("http://www.cnpol.ru/covers/16548.jpg","фото на сайте")</f>
        <v>фото на сайте</v>
      </c>
    </row>
    <row r="1291" spans="1:19" ht="50.1" customHeight="1">
      <c r="A1291" s="31"/>
      <c r="B1291" s="32" t="s">
        <v>5150</v>
      </c>
      <c r="C1291" s="31" t="s">
        <v>45</v>
      </c>
      <c r="D1291" s="31" t="s">
        <v>5151</v>
      </c>
      <c r="E1291" s="31" t="s">
        <v>5152</v>
      </c>
      <c r="F1291" s="31" t="s">
        <v>31</v>
      </c>
      <c r="G1291" s="35">
        <v>1284</v>
      </c>
      <c r="H1291" s="31">
        <v>10</v>
      </c>
      <c r="I1291" s="31">
        <v>8</v>
      </c>
      <c r="J1291" s="31" t="s">
        <v>5153</v>
      </c>
      <c r="K1291" s="31" t="s">
        <v>33</v>
      </c>
      <c r="L1291" s="31" t="s">
        <v>34</v>
      </c>
      <c r="M1291" s="31">
        <v>542</v>
      </c>
      <c r="N1291" s="31">
        <v>2023</v>
      </c>
      <c r="O1291" s="31">
        <v>557</v>
      </c>
      <c r="P1291" s="31"/>
      <c r="Q1291" s="31"/>
      <c r="R1291" s="33" t="s">
        <v>5154</v>
      </c>
      <c r="S1291" s="34" t="str">
        <f>HYPERLINK("http://www.cnpol.ru/covers/20747.jpg","фото на сайте")</f>
        <v>фото на сайте</v>
      </c>
    </row>
    <row r="1292" spans="1:19" ht="50.1" customHeight="1">
      <c r="A1292" s="31"/>
      <c r="B1292" s="32" t="s">
        <v>5155</v>
      </c>
      <c r="C1292" s="31" t="s">
        <v>119</v>
      </c>
      <c r="D1292" s="31" t="s">
        <v>5156</v>
      </c>
      <c r="E1292" s="31" t="s">
        <v>5157</v>
      </c>
      <c r="F1292" s="31" t="s">
        <v>31</v>
      </c>
      <c r="G1292" s="31">
        <v>503</v>
      </c>
      <c r="H1292" s="31">
        <v>10</v>
      </c>
      <c r="I1292" s="31">
        <v>12</v>
      </c>
      <c r="J1292" s="31" t="s">
        <v>5158</v>
      </c>
      <c r="K1292" s="31" t="s">
        <v>194</v>
      </c>
      <c r="L1292" s="31" t="s">
        <v>34</v>
      </c>
      <c r="M1292" s="31">
        <v>255</v>
      </c>
      <c r="N1292" s="31">
        <v>2023</v>
      </c>
      <c r="O1292" s="31">
        <v>260</v>
      </c>
      <c r="P1292" s="31"/>
      <c r="Q1292" s="31"/>
      <c r="R1292" s="33" t="s">
        <v>5159</v>
      </c>
      <c r="S1292" s="34" t="str">
        <f>HYPERLINK("http://www.cnpol.ru/covers/20814.jpg","фото на сайте")</f>
        <v>фото на сайте</v>
      </c>
    </row>
    <row r="1293" spans="1:19" ht="50.1" customHeight="1">
      <c r="A1293" s="31"/>
      <c r="B1293" s="32" t="s">
        <v>5160</v>
      </c>
      <c r="C1293" s="31" t="s">
        <v>3497</v>
      </c>
      <c r="D1293" s="31" t="s">
        <v>3498</v>
      </c>
      <c r="E1293" s="31" t="s">
        <v>5161</v>
      </c>
      <c r="F1293" s="31" t="s">
        <v>31</v>
      </c>
      <c r="G1293" s="31">
        <v>539</v>
      </c>
      <c r="H1293" s="31">
        <v>10</v>
      </c>
      <c r="I1293" s="31">
        <v>16</v>
      </c>
      <c r="J1293" s="31" t="s">
        <v>5162</v>
      </c>
      <c r="K1293" s="31" t="s">
        <v>158</v>
      </c>
      <c r="L1293" s="31" t="s">
        <v>34</v>
      </c>
      <c r="M1293" s="31">
        <v>352</v>
      </c>
      <c r="N1293" s="31">
        <v>2019</v>
      </c>
      <c r="O1293" s="31">
        <v>308</v>
      </c>
      <c r="P1293" s="31"/>
      <c r="Q1293" s="31"/>
      <c r="R1293" s="33"/>
      <c r="S1293" s="34" t="str">
        <f>HYPERLINK("http://www.cnpol.ru/covers/18685.jpg","фото на сайте")</f>
        <v>фото на сайте</v>
      </c>
    </row>
    <row r="1294" spans="1:19" ht="50.1" customHeight="1">
      <c r="A1294" s="31"/>
      <c r="B1294" s="32" t="s">
        <v>5163</v>
      </c>
      <c r="C1294" s="31" t="s">
        <v>37</v>
      </c>
      <c r="D1294" s="31" t="s">
        <v>5164</v>
      </c>
      <c r="E1294" s="31" t="s">
        <v>5165</v>
      </c>
      <c r="F1294" s="31" t="s">
        <v>31</v>
      </c>
      <c r="G1294" s="31">
        <v>503</v>
      </c>
      <c r="H1294" s="31">
        <v>10</v>
      </c>
      <c r="I1294" s="31">
        <v>10</v>
      </c>
      <c r="J1294" s="31" t="s">
        <v>5166</v>
      </c>
      <c r="K1294" s="31" t="s">
        <v>33</v>
      </c>
      <c r="L1294" s="31" t="s">
        <v>34</v>
      </c>
      <c r="M1294" s="31">
        <v>320</v>
      </c>
      <c r="N1294" s="31">
        <v>2016</v>
      </c>
      <c r="O1294" s="31">
        <v>274</v>
      </c>
      <c r="P1294" s="31"/>
      <c r="Q1294" s="31"/>
      <c r="R1294" s="33"/>
      <c r="S1294" s="34" t="str">
        <f>HYPERLINK("http://www.cnpol.ru/covers/16440.jpg","фото на сайте")</f>
        <v>фото на сайте</v>
      </c>
    </row>
    <row r="1295" spans="1:19" ht="50.1" customHeight="1">
      <c r="A1295" s="31" t="s">
        <v>43</v>
      </c>
      <c r="B1295" s="32" t="s">
        <v>5167</v>
      </c>
      <c r="C1295" s="31" t="s">
        <v>5168</v>
      </c>
      <c r="D1295" s="31" t="s">
        <v>5169</v>
      </c>
      <c r="E1295" s="31" t="s">
        <v>5170</v>
      </c>
      <c r="F1295" s="31" t="s">
        <v>31</v>
      </c>
      <c r="G1295" s="31">
        <v>258</v>
      </c>
      <c r="H1295" s="31">
        <v>10</v>
      </c>
      <c r="I1295" s="31">
        <v>30</v>
      </c>
      <c r="J1295" s="31" t="s">
        <v>5171</v>
      </c>
      <c r="K1295" s="31" t="s">
        <v>130</v>
      </c>
      <c r="L1295" s="31" t="s">
        <v>56</v>
      </c>
      <c r="M1295" s="31">
        <v>191</v>
      </c>
      <c r="N1295" s="31">
        <v>2024</v>
      </c>
      <c r="O1295" s="31">
        <v>118</v>
      </c>
      <c r="P1295" s="31"/>
      <c r="Q1295" s="31"/>
      <c r="R1295" s="33" t="s">
        <v>5172</v>
      </c>
      <c r="S1295" s="34" t="str">
        <f>HYPERLINK("http://www.cnpol.ru/covers/21047.jpg","фото на сайте")</f>
        <v>фото на сайте</v>
      </c>
    </row>
    <row r="1296" spans="1:19" ht="50.1" customHeight="1">
      <c r="A1296" s="31"/>
      <c r="B1296" s="32" t="s">
        <v>5173</v>
      </c>
      <c r="C1296" s="31" t="s">
        <v>1252</v>
      </c>
      <c r="D1296" s="31" t="s">
        <v>1449</v>
      </c>
      <c r="E1296" s="31" t="s">
        <v>5174</v>
      </c>
      <c r="F1296" s="31" t="s">
        <v>31</v>
      </c>
      <c r="G1296" s="31">
        <v>81</v>
      </c>
      <c r="H1296" s="31">
        <v>10</v>
      </c>
      <c r="I1296" s="31">
        <v>100</v>
      </c>
      <c r="J1296" s="31" t="s">
        <v>5175</v>
      </c>
      <c r="K1296" s="31" t="s">
        <v>123</v>
      </c>
      <c r="L1296" s="31" t="s">
        <v>56</v>
      </c>
      <c r="M1296" s="31">
        <v>47</v>
      </c>
      <c r="N1296" s="31">
        <v>2005</v>
      </c>
      <c r="O1296" s="31">
        <v>30</v>
      </c>
      <c r="P1296" s="31"/>
      <c r="Q1296" s="31"/>
      <c r="R1296" s="33"/>
      <c r="S1296" s="34" t="str">
        <f>HYPERLINK("http://www.cnpol.ru/covers/5815.jpg","фото на сайте")</f>
        <v>фото на сайте</v>
      </c>
    </row>
    <row r="1297" spans="1:19" ht="50.1" customHeight="1">
      <c r="A1297" s="31"/>
      <c r="B1297" s="32" t="s">
        <v>5176</v>
      </c>
      <c r="C1297" s="31" t="s">
        <v>380</v>
      </c>
      <c r="D1297" s="31" t="s">
        <v>5177</v>
      </c>
      <c r="E1297" s="31" t="s">
        <v>5178</v>
      </c>
      <c r="F1297" s="31" t="s">
        <v>31</v>
      </c>
      <c r="G1297" s="31">
        <v>988</v>
      </c>
      <c r="H1297" s="31">
        <v>10</v>
      </c>
      <c r="I1297" s="31">
        <v>12</v>
      </c>
      <c r="J1297" s="31" t="s">
        <v>5179</v>
      </c>
      <c r="K1297" s="31" t="s">
        <v>41</v>
      </c>
      <c r="L1297" s="31" t="s">
        <v>304</v>
      </c>
      <c r="M1297" s="31">
        <v>352</v>
      </c>
      <c r="N1297" s="31">
        <v>2019</v>
      </c>
      <c r="O1297" s="31">
        <v>466</v>
      </c>
      <c r="P1297" s="31"/>
      <c r="Q1297" s="31"/>
      <c r="R1297" s="33"/>
      <c r="S1297" s="34" t="str">
        <f>HYPERLINK("http://www.cnpol.ru/covers/18816.jpg","фото на сайте")</f>
        <v>фото на сайте</v>
      </c>
    </row>
    <row r="1298" spans="1:19" ht="50.1" customHeight="1">
      <c r="A1298" s="31"/>
      <c r="B1298" s="32" t="s">
        <v>5180</v>
      </c>
      <c r="C1298" s="31" t="s">
        <v>520</v>
      </c>
      <c r="D1298" s="31" t="s">
        <v>5181</v>
      </c>
      <c r="E1298" s="31" t="s">
        <v>5182</v>
      </c>
      <c r="F1298" s="31">
        <v>85</v>
      </c>
      <c r="G1298" s="31">
        <v>117</v>
      </c>
      <c r="H1298" s="31">
        <v>10</v>
      </c>
      <c r="I1298" s="31">
        <v>24</v>
      </c>
      <c r="J1298" s="31" t="s">
        <v>5183</v>
      </c>
      <c r="K1298" s="31" t="s">
        <v>123</v>
      </c>
      <c r="L1298" s="31" t="s">
        <v>56</v>
      </c>
      <c r="M1298" s="31">
        <v>192</v>
      </c>
      <c r="N1298" s="31">
        <v>2021</v>
      </c>
      <c r="O1298" s="31">
        <v>90</v>
      </c>
      <c r="P1298" s="31"/>
      <c r="Q1298" s="31"/>
      <c r="R1298" s="33"/>
      <c r="S1298" s="34" t="str">
        <f>HYPERLINK("http://www.cnpol.ru/covers/19850.jpg","фото на сайте")</f>
        <v>фото на сайте</v>
      </c>
    </row>
    <row r="1299" spans="1:19" ht="50.1" customHeight="1">
      <c r="A1299" s="31"/>
      <c r="B1299" s="32" t="s">
        <v>5184</v>
      </c>
      <c r="C1299" s="31" t="s">
        <v>390</v>
      </c>
      <c r="D1299" s="31" t="s">
        <v>3116</v>
      </c>
      <c r="E1299" s="31" t="s">
        <v>5185</v>
      </c>
      <c r="F1299" s="31">
        <v>981</v>
      </c>
      <c r="G1299" s="31">
        <v>86</v>
      </c>
      <c r="H1299" s="31">
        <v>10</v>
      </c>
      <c r="I1299" s="31">
        <v>30</v>
      </c>
      <c r="J1299" s="31" t="s">
        <v>5186</v>
      </c>
      <c r="K1299" s="31" t="s">
        <v>123</v>
      </c>
      <c r="L1299" s="31" t="s">
        <v>56</v>
      </c>
      <c r="M1299" s="31">
        <v>160</v>
      </c>
      <c r="N1299" s="31">
        <v>2020</v>
      </c>
      <c r="O1299" s="31">
        <v>76</v>
      </c>
      <c r="P1299" s="31"/>
      <c r="Q1299" s="31"/>
      <c r="R1299" s="33"/>
      <c r="S1299" s="34" t="str">
        <f>HYPERLINK("http://www.cnpol.ru/covers/19191.jpg","фото на сайте")</f>
        <v>фото на сайте</v>
      </c>
    </row>
    <row r="1300" spans="1:19" ht="50.1" customHeight="1">
      <c r="A1300" s="31"/>
      <c r="B1300" s="32" t="s">
        <v>5187</v>
      </c>
      <c r="C1300" s="31" t="s">
        <v>390</v>
      </c>
      <c r="D1300" s="31" t="s">
        <v>1801</v>
      </c>
      <c r="E1300" s="31" t="s">
        <v>5188</v>
      </c>
      <c r="F1300" s="31">
        <v>853</v>
      </c>
      <c r="G1300" s="31">
        <v>86</v>
      </c>
      <c r="H1300" s="31">
        <v>10</v>
      </c>
      <c r="I1300" s="31">
        <v>30</v>
      </c>
      <c r="J1300" s="31" t="s">
        <v>5189</v>
      </c>
      <c r="K1300" s="31" t="s">
        <v>123</v>
      </c>
      <c r="L1300" s="31" t="s">
        <v>56</v>
      </c>
      <c r="M1300" s="31">
        <v>160</v>
      </c>
      <c r="N1300" s="31">
        <v>2018</v>
      </c>
      <c r="O1300" s="31">
        <v>76</v>
      </c>
      <c r="P1300" s="31"/>
      <c r="Q1300" s="31"/>
      <c r="R1300" s="33"/>
      <c r="S1300" s="34" t="str">
        <f>HYPERLINK("http://www.cnpol.ru/covers/18410.jpg","фото на сайте")</f>
        <v>фото на сайте</v>
      </c>
    </row>
    <row r="1301" spans="1:19" ht="50.1" customHeight="1">
      <c r="A1301" s="31"/>
      <c r="B1301" s="32" t="s">
        <v>5190</v>
      </c>
      <c r="C1301" s="31" t="s">
        <v>390</v>
      </c>
      <c r="D1301" s="31" t="s">
        <v>5191</v>
      </c>
      <c r="E1301" s="31" t="s">
        <v>5192</v>
      </c>
      <c r="F1301" s="31">
        <v>664</v>
      </c>
      <c r="G1301" s="31">
        <v>86</v>
      </c>
      <c r="H1301" s="31">
        <v>10</v>
      </c>
      <c r="I1301" s="31">
        <v>30</v>
      </c>
      <c r="J1301" s="31" t="s">
        <v>5193</v>
      </c>
      <c r="K1301" s="31" t="s">
        <v>123</v>
      </c>
      <c r="L1301" s="31" t="s">
        <v>56</v>
      </c>
      <c r="M1301" s="31">
        <v>160</v>
      </c>
      <c r="N1301" s="31">
        <v>2016</v>
      </c>
      <c r="O1301" s="31">
        <v>76</v>
      </c>
      <c r="P1301" s="31"/>
      <c r="Q1301" s="31"/>
      <c r="R1301" s="33"/>
      <c r="S1301" s="34" t="str">
        <f>HYPERLINK("http://www.cnpol.ru/covers/17114.jpg","фото на сайте")</f>
        <v>фото на сайте</v>
      </c>
    </row>
    <row r="1302" spans="1:19" ht="50.1" customHeight="1">
      <c r="A1302" s="31"/>
      <c r="B1302" s="32" t="s">
        <v>5194</v>
      </c>
      <c r="C1302" s="31" t="s">
        <v>400</v>
      </c>
      <c r="D1302" s="31" t="s">
        <v>5195</v>
      </c>
      <c r="E1302" s="31" t="s">
        <v>5196</v>
      </c>
      <c r="F1302" s="31" t="s">
        <v>31</v>
      </c>
      <c r="G1302" s="31">
        <v>503</v>
      </c>
      <c r="H1302" s="31">
        <v>10</v>
      </c>
      <c r="I1302" s="31">
        <v>14</v>
      </c>
      <c r="J1302" s="31" t="s">
        <v>5197</v>
      </c>
      <c r="K1302" s="31" t="s">
        <v>33</v>
      </c>
      <c r="L1302" s="31" t="s">
        <v>34</v>
      </c>
      <c r="M1302" s="31">
        <v>288</v>
      </c>
      <c r="N1302" s="31">
        <v>2017</v>
      </c>
      <c r="O1302" s="31">
        <v>232</v>
      </c>
      <c r="P1302" s="31"/>
      <c r="Q1302" s="31"/>
      <c r="R1302" s="33"/>
      <c r="S1302" s="34" t="str">
        <f>HYPERLINK("http://www.cnpol.ru/covers/17251.jpg","фото на сайте")</f>
        <v>фото на сайте</v>
      </c>
    </row>
    <row r="1303" spans="1:19" ht="50.1" customHeight="1">
      <c r="A1303" s="31"/>
      <c r="B1303" s="32" t="s">
        <v>5198</v>
      </c>
      <c r="C1303" s="31" t="s">
        <v>5199</v>
      </c>
      <c r="D1303" s="31" t="s">
        <v>5200</v>
      </c>
      <c r="E1303" s="31" t="s">
        <v>5201</v>
      </c>
      <c r="F1303" s="31" t="s">
        <v>31</v>
      </c>
      <c r="G1303" s="31">
        <v>539</v>
      </c>
      <c r="H1303" s="31">
        <v>10</v>
      </c>
      <c r="I1303" s="31">
        <v>8</v>
      </c>
      <c r="J1303" s="31" t="s">
        <v>5202</v>
      </c>
      <c r="K1303" s="31" t="s">
        <v>158</v>
      </c>
      <c r="L1303" s="31" t="s">
        <v>34</v>
      </c>
      <c r="M1303" s="31">
        <v>384</v>
      </c>
      <c r="N1303" s="31">
        <v>2021</v>
      </c>
      <c r="O1303" s="31">
        <v>322</v>
      </c>
      <c r="P1303" s="31"/>
      <c r="Q1303" s="31"/>
      <c r="R1303" s="33"/>
      <c r="S1303" s="34" t="str">
        <f>HYPERLINK("http://www.cnpol.ru/covers/19659.jpg","фото на сайте")</f>
        <v>фото на сайте</v>
      </c>
    </row>
    <row r="1304" spans="1:19" ht="50.1" customHeight="1">
      <c r="A1304" s="31"/>
      <c r="B1304" s="32" t="s">
        <v>5203</v>
      </c>
      <c r="C1304" s="31" t="s">
        <v>546</v>
      </c>
      <c r="D1304" s="31" t="s">
        <v>1292</v>
      </c>
      <c r="E1304" s="31" t="s">
        <v>5204</v>
      </c>
      <c r="F1304" s="31">
        <v>334</v>
      </c>
      <c r="G1304" s="31">
        <v>93</v>
      </c>
      <c r="H1304" s="31">
        <v>10</v>
      </c>
      <c r="I1304" s="31">
        <v>30</v>
      </c>
      <c r="J1304" s="31" t="s">
        <v>5205</v>
      </c>
      <c r="K1304" s="31" t="s">
        <v>123</v>
      </c>
      <c r="L1304" s="31" t="s">
        <v>56</v>
      </c>
      <c r="M1304" s="31">
        <v>160</v>
      </c>
      <c r="N1304" s="31">
        <v>2019</v>
      </c>
      <c r="O1304" s="31">
        <v>76</v>
      </c>
      <c r="P1304" s="31"/>
      <c r="Q1304" s="31"/>
      <c r="R1304" s="33"/>
      <c r="S1304" s="34" t="str">
        <f>HYPERLINK("http://www.cnpol.ru/covers/18973.jpg","фото на сайте")</f>
        <v>фото на сайте</v>
      </c>
    </row>
    <row r="1305" spans="1:19" ht="50.1" customHeight="1">
      <c r="A1305" s="31"/>
      <c r="B1305" s="32" t="s">
        <v>5206</v>
      </c>
      <c r="C1305" s="31" t="s">
        <v>390</v>
      </c>
      <c r="D1305" s="31" t="s">
        <v>5207</v>
      </c>
      <c r="E1305" s="31" t="s">
        <v>5208</v>
      </c>
      <c r="F1305" s="31">
        <v>604</v>
      </c>
      <c r="G1305" s="31">
        <v>86</v>
      </c>
      <c r="H1305" s="31">
        <v>10</v>
      </c>
      <c r="I1305" s="31">
        <v>30</v>
      </c>
      <c r="J1305" s="31" t="s">
        <v>5209</v>
      </c>
      <c r="K1305" s="31" t="s">
        <v>123</v>
      </c>
      <c r="L1305" s="31" t="s">
        <v>56</v>
      </c>
      <c r="M1305" s="31">
        <v>160</v>
      </c>
      <c r="N1305" s="31">
        <v>2016</v>
      </c>
      <c r="O1305" s="31">
        <v>76</v>
      </c>
      <c r="P1305" s="31"/>
      <c r="Q1305" s="31"/>
      <c r="R1305" s="33"/>
      <c r="S1305" s="34" t="str">
        <f>HYPERLINK("http://www.cnpol.ru/covers/16651.jpg","фото на сайте")</f>
        <v>фото на сайте</v>
      </c>
    </row>
    <row r="1306" spans="1:19" ht="50.1" customHeight="1">
      <c r="A1306" s="31"/>
      <c r="B1306" s="32" t="s">
        <v>5210</v>
      </c>
      <c r="C1306" s="31" t="s">
        <v>390</v>
      </c>
      <c r="D1306" s="31" t="s">
        <v>2285</v>
      </c>
      <c r="E1306" s="31" t="s">
        <v>5211</v>
      </c>
      <c r="F1306" s="31">
        <v>565</v>
      </c>
      <c r="G1306" s="31">
        <v>86</v>
      </c>
      <c r="H1306" s="31">
        <v>10</v>
      </c>
      <c r="I1306" s="31">
        <v>30</v>
      </c>
      <c r="J1306" s="31" t="s">
        <v>5212</v>
      </c>
      <c r="K1306" s="31" t="s">
        <v>123</v>
      </c>
      <c r="L1306" s="31" t="s">
        <v>56</v>
      </c>
      <c r="M1306" s="31">
        <v>158</v>
      </c>
      <c r="N1306" s="31">
        <v>2015</v>
      </c>
      <c r="O1306" s="31">
        <v>76</v>
      </c>
      <c r="P1306" s="31"/>
      <c r="Q1306" s="31"/>
      <c r="R1306" s="33"/>
      <c r="S1306" s="34" t="str">
        <f>HYPERLINK("http://www.cnpol.ru/covers/16348.jpg","фото на сайте")</f>
        <v>фото на сайте</v>
      </c>
    </row>
    <row r="1307" spans="1:19" ht="50.1" customHeight="1">
      <c r="A1307" s="31"/>
      <c r="B1307" s="32" t="s">
        <v>5213</v>
      </c>
      <c r="C1307" s="31" t="s">
        <v>390</v>
      </c>
      <c r="D1307" s="31" t="s">
        <v>1652</v>
      </c>
      <c r="E1307" s="31" t="s">
        <v>5214</v>
      </c>
      <c r="F1307" s="31">
        <v>988</v>
      </c>
      <c r="G1307" s="31">
        <v>86</v>
      </c>
      <c r="H1307" s="31">
        <v>10</v>
      </c>
      <c r="I1307" s="31">
        <v>30</v>
      </c>
      <c r="J1307" s="31" t="s">
        <v>5215</v>
      </c>
      <c r="K1307" s="31" t="s">
        <v>123</v>
      </c>
      <c r="L1307" s="31" t="s">
        <v>56</v>
      </c>
      <c r="M1307" s="31">
        <v>160</v>
      </c>
      <c r="N1307" s="31">
        <v>2020</v>
      </c>
      <c r="O1307" s="31">
        <v>76</v>
      </c>
      <c r="P1307" s="31"/>
      <c r="Q1307" s="31"/>
      <c r="R1307" s="33"/>
      <c r="S1307" s="34" t="str">
        <f>HYPERLINK("http://www.cnpol.ru/covers/19270.jpg","фото на сайте")</f>
        <v>фото на сайте</v>
      </c>
    </row>
    <row r="1308" spans="1:19" ht="50.1" customHeight="1">
      <c r="A1308" s="31"/>
      <c r="B1308" s="32" t="s">
        <v>5216</v>
      </c>
      <c r="C1308" s="31" t="s">
        <v>390</v>
      </c>
      <c r="D1308" s="31" t="s">
        <v>4675</v>
      </c>
      <c r="E1308" s="31" t="s">
        <v>5217</v>
      </c>
      <c r="F1308" s="31">
        <v>838</v>
      </c>
      <c r="G1308" s="31">
        <v>86</v>
      </c>
      <c r="H1308" s="31">
        <v>10</v>
      </c>
      <c r="I1308" s="31">
        <v>30</v>
      </c>
      <c r="J1308" s="31" t="s">
        <v>5218</v>
      </c>
      <c r="K1308" s="31" t="s">
        <v>123</v>
      </c>
      <c r="L1308" s="31" t="s">
        <v>56</v>
      </c>
      <c r="M1308" s="31">
        <v>160</v>
      </c>
      <c r="N1308" s="31">
        <v>2018</v>
      </c>
      <c r="O1308" s="31">
        <v>76</v>
      </c>
      <c r="P1308" s="31"/>
      <c r="Q1308" s="31"/>
      <c r="R1308" s="33"/>
      <c r="S1308" s="34" t="str">
        <f>HYPERLINK("http://www.cnpol.ru/covers/18323.jpg","фото на сайте")</f>
        <v>фото на сайте</v>
      </c>
    </row>
    <row r="1309" spans="1:19" ht="50.1" customHeight="1">
      <c r="A1309" s="31"/>
      <c r="B1309" s="32" t="s">
        <v>5219</v>
      </c>
      <c r="C1309" s="31" t="s">
        <v>390</v>
      </c>
      <c r="D1309" s="31" t="s">
        <v>5220</v>
      </c>
      <c r="E1309" s="31" t="s">
        <v>5221</v>
      </c>
      <c r="F1309" s="31">
        <v>957</v>
      </c>
      <c r="G1309" s="31">
        <v>86</v>
      </c>
      <c r="H1309" s="31">
        <v>10</v>
      </c>
      <c r="I1309" s="31">
        <v>30</v>
      </c>
      <c r="J1309" s="31" t="s">
        <v>5222</v>
      </c>
      <c r="K1309" s="31" t="s">
        <v>123</v>
      </c>
      <c r="L1309" s="31" t="s">
        <v>56</v>
      </c>
      <c r="M1309" s="31">
        <v>160</v>
      </c>
      <c r="N1309" s="31">
        <v>2020</v>
      </c>
      <c r="O1309" s="31">
        <v>76</v>
      </c>
      <c r="P1309" s="31"/>
      <c r="Q1309" s="31"/>
      <c r="R1309" s="33"/>
      <c r="S1309" s="34" t="str">
        <f>HYPERLINK("http://www.cnpol.ru/covers/19014.jpg","фото на сайте")</f>
        <v>фото на сайте</v>
      </c>
    </row>
    <row r="1310" spans="1:19" ht="50.1" customHeight="1">
      <c r="A1310" s="31"/>
      <c r="B1310" s="32" t="s">
        <v>5223</v>
      </c>
      <c r="C1310" s="31" t="s">
        <v>390</v>
      </c>
      <c r="D1310" s="31" t="s">
        <v>1599</v>
      </c>
      <c r="E1310" s="31" t="s">
        <v>5224</v>
      </c>
      <c r="F1310" s="31">
        <v>675</v>
      </c>
      <c r="G1310" s="31">
        <v>86</v>
      </c>
      <c r="H1310" s="31">
        <v>10</v>
      </c>
      <c r="I1310" s="31">
        <v>30</v>
      </c>
      <c r="J1310" s="31" t="s">
        <v>5225</v>
      </c>
      <c r="K1310" s="31" t="s">
        <v>123</v>
      </c>
      <c r="L1310" s="31" t="s">
        <v>56</v>
      </c>
      <c r="M1310" s="31">
        <v>160</v>
      </c>
      <c r="N1310" s="31">
        <v>2016</v>
      </c>
      <c r="O1310" s="31">
        <v>76</v>
      </c>
      <c r="P1310" s="31"/>
      <c r="Q1310" s="31"/>
      <c r="R1310" s="33"/>
      <c r="S1310" s="34" t="str">
        <f>HYPERLINK("http://www.cnpol.ru/covers/17178.jpg","фото на сайте")</f>
        <v>фото на сайте</v>
      </c>
    </row>
    <row r="1311" spans="1:19" ht="50.1" customHeight="1">
      <c r="A1311" s="31"/>
      <c r="B1311" s="32" t="s">
        <v>5226</v>
      </c>
      <c r="C1311" s="31" t="s">
        <v>2420</v>
      </c>
      <c r="D1311" s="31" t="s">
        <v>5227</v>
      </c>
      <c r="E1311" s="31" t="s">
        <v>5228</v>
      </c>
      <c r="F1311" s="31" t="s">
        <v>31</v>
      </c>
      <c r="G1311" s="31">
        <v>88</v>
      </c>
      <c r="H1311" s="31">
        <v>10</v>
      </c>
      <c r="I1311" s="31">
        <v>30</v>
      </c>
      <c r="J1311" s="31" t="s">
        <v>5229</v>
      </c>
      <c r="K1311" s="31" t="s">
        <v>123</v>
      </c>
      <c r="L1311" s="31" t="s">
        <v>56</v>
      </c>
      <c r="M1311" s="31">
        <v>175</v>
      </c>
      <c r="N1311" s="31">
        <v>2007</v>
      </c>
      <c r="O1311" s="31">
        <v>82</v>
      </c>
      <c r="P1311" s="31"/>
      <c r="Q1311" s="31"/>
      <c r="R1311" s="33"/>
      <c r="S1311" s="34" t="str">
        <f>HYPERLINK("http://www.cnpol.ru/covers/6408.jpg","фото на сайте")</f>
        <v>фото на сайте</v>
      </c>
    </row>
    <row r="1312" spans="1:19" ht="50.1" customHeight="1">
      <c r="A1312" s="31"/>
      <c r="B1312" s="32" t="s">
        <v>5230</v>
      </c>
      <c r="C1312" s="31" t="s">
        <v>400</v>
      </c>
      <c r="D1312" s="31" t="s">
        <v>5231</v>
      </c>
      <c r="E1312" s="31" t="s">
        <v>5232</v>
      </c>
      <c r="F1312" s="31" t="s">
        <v>31</v>
      </c>
      <c r="G1312" s="31">
        <v>503</v>
      </c>
      <c r="H1312" s="31">
        <v>10</v>
      </c>
      <c r="I1312" s="31">
        <v>10</v>
      </c>
      <c r="J1312" s="31" t="s">
        <v>5233</v>
      </c>
      <c r="K1312" s="31" t="s">
        <v>33</v>
      </c>
      <c r="L1312" s="31" t="s">
        <v>34</v>
      </c>
      <c r="M1312" s="31">
        <v>416</v>
      </c>
      <c r="N1312" s="31">
        <v>2017</v>
      </c>
      <c r="O1312" s="31">
        <v>312</v>
      </c>
      <c r="P1312" s="31"/>
      <c r="Q1312" s="31"/>
      <c r="R1312" s="33"/>
      <c r="S1312" s="34" t="str">
        <f>HYPERLINK("http://www.cnpol.ru/covers/17453.jpg","фото на сайте")</f>
        <v>фото на сайте</v>
      </c>
    </row>
    <row r="1313" spans="1:19" ht="50.1" customHeight="1">
      <c r="A1313" s="31" t="s">
        <v>43</v>
      </c>
      <c r="B1313" s="32" t="s">
        <v>5234</v>
      </c>
      <c r="C1313" s="31" t="s">
        <v>1206</v>
      </c>
      <c r="D1313" s="31" t="s">
        <v>1207</v>
      </c>
      <c r="E1313" s="31" t="s">
        <v>5235</v>
      </c>
      <c r="F1313" s="31" t="s">
        <v>31</v>
      </c>
      <c r="G1313" s="31">
        <v>672</v>
      </c>
      <c r="H1313" s="31">
        <v>10</v>
      </c>
      <c r="I1313" s="31">
        <v>16</v>
      </c>
      <c r="J1313" s="31" t="s">
        <v>5236</v>
      </c>
      <c r="K1313" s="31" t="s">
        <v>739</v>
      </c>
      <c r="L1313" s="31" t="s">
        <v>34</v>
      </c>
      <c r="M1313" s="31">
        <v>203</v>
      </c>
      <c r="N1313" s="31">
        <v>2025</v>
      </c>
      <c r="O1313" s="31">
        <v>166</v>
      </c>
      <c r="P1313" s="31"/>
      <c r="Q1313" s="31"/>
      <c r="R1313" s="33" t="s">
        <v>5237</v>
      </c>
      <c r="S1313" s="34" t="str">
        <f>HYPERLINK("http://www.cnpol.ru/covers/21640.jpg","фото на сайте")</f>
        <v>фото на сайте</v>
      </c>
    </row>
    <row r="1314" spans="1:19" ht="50.1" customHeight="1">
      <c r="A1314" s="31"/>
      <c r="B1314" s="32" t="s">
        <v>5238</v>
      </c>
      <c r="C1314" s="31" t="s">
        <v>730</v>
      </c>
      <c r="D1314" s="31" t="s">
        <v>5239</v>
      </c>
      <c r="E1314" s="31" t="s">
        <v>5240</v>
      </c>
      <c r="F1314" s="31" t="s">
        <v>31</v>
      </c>
      <c r="G1314" s="31">
        <v>441</v>
      </c>
      <c r="H1314" s="31">
        <v>10</v>
      </c>
      <c r="I1314" s="31">
        <v>20</v>
      </c>
      <c r="J1314" s="31" t="s">
        <v>5241</v>
      </c>
      <c r="K1314" s="31" t="s">
        <v>33</v>
      </c>
      <c r="L1314" s="31" t="s">
        <v>34</v>
      </c>
      <c r="M1314" s="31">
        <v>191</v>
      </c>
      <c r="N1314" s="31">
        <v>2023</v>
      </c>
      <c r="O1314" s="31">
        <v>198</v>
      </c>
      <c r="P1314" s="31"/>
      <c r="Q1314" s="31"/>
      <c r="R1314" s="33" t="s">
        <v>5242</v>
      </c>
      <c r="S1314" s="34" t="str">
        <f>HYPERLINK("http://www.cnpol.ru/covers/20635.jpg","фото на сайте")</f>
        <v>фото на сайте</v>
      </c>
    </row>
    <row r="1315" spans="1:19" ht="50.1" customHeight="1">
      <c r="A1315" s="31"/>
      <c r="B1315" s="32" t="s">
        <v>5243</v>
      </c>
      <c r="C1315" s="31" t="s">
        <v>730</v>
      </c>
      <c r="D1315" s="31" t="s">
        <v>5244</v>
      </c>
      <c r="E1315" s="31" t="s">
        <v>5245</v>
      </c>
      <c r="F1315" s="31" t="s">
        <v>31</v>
      </c>
      <c r="G1315" s="31">
        <v>441</v>
      </c>
      <c r="H1315" s="31">
        <v>10</v>
      </c>
      <c r="I1315" s="31">
        <v>20</v>
      </c>
      <c r="J1315" s="31" t="s">
        <v>5246</v>
      </c>
      <c r="K1315" s="31" t="s">
        <v>33</v>
      </c>
      <c r="L1315" s="31" t="s">
        <v>34</v>
      </c>
      <c r="M1315" s="31">
        <v>222</v>
      </c>
      <c r="N1315" s="31">
        <v>2015</v>
      </c>
      <c r="O1315" s="31">
        <v>216</v>
      </c>
      <c r="P1315" s="31"/>
      <c r="Q1315" s="31"/>
      <c r="R1315" s="33"/>
      <c r="S1315" s="34" t="str">
        <f>HYPERLINK("http://www.cnpol.ru/covers/16243.jpg","фото на сайте")</f>
        <v>фото на сайте</v>
      </c>
    </row>
    <row r="1316" spans="1:19" ht="50.1" customHeight="1">
      <c r="A1316" s="31"/>
      <c r="B1316" s="32" t="s">
        <v>5247</v>
      </c>
      <c r="C1316" s="31" t="s">
        <v>730</v>
      </c>
      <c r="D1316" s="31" t="s">
        <v>5244</v>
      </c>
      <c r="E1316" s="31" t="s">
        <v>5245</v>
      </c>
      <c r="F1316" s="31" t="s">
        <v>31</v>
      </c>
      <c r="G1316" s="31">
        <v>441</v>
      </c>
      <c r="H1316" s="31">
        <v>10</v>
      </c>
      <c r="I1316" s="31">
        <v>18</v>
      </c>
      <c r="J1316" s="31" t="s">
        <v>5248</v>
      </c>
      <c r="K1316" s="31" t="s">
        <v>33</v>
      </c>
      <c r="L1316" s="31" t="s">
        <v>34</v>
      </c>
      <c r="M1316" s="31">
        <v>224</v>
      </c>
      <c r="N1316" s="31">
        <v>2017</v>
      </c>
      <c r="O1316" s="31">
        <v>216</v>
      </c>
      <c r="P1316" s="31"/>
      <c r="Q1316" s="31"/>
      <c r="R1316" s="33"/>
      <c r="S1316" s="34" t="str">
        <f>HYPERLINK("http://www.cnpol.ru/covers/17375.jpg","фото на сайте")</f>
        <v>фото на сайте</v>
      </c>
    </row>
    <row r="1317" spans="1:19" ht="50.1" customHeight="1">
      <c r="A1317" s="31"/>
      <c r="B1317" s="32" t="s">
        <v>5249</v>
      </c>
      <c r="C1317" s="31" t="s">
        <v>730</v>
      </c>
      <c r="D1317" s="31" t="s">
        <v>5250</v>
      </c>
      <c r="E1317" s="31" t="s">
        <v>5251</v>
      </c>
      <c r="F1317" s="31" t="s">
        <v>31</v>
      </c>
      <c r="G1317" s="31">
        <v>441</v>
      </c>
      <c r="H1317" s="31">
        <v>10</v>
      </c>
      <c r="I1317" s="31">
        <v>20</v>
      </c>
      <c r="J1317" s="31" t="s">
        <v>5252</v>
      </c>
      <c r="K1317" s="31" t="s">
        <v>33</v>
      </c>
      <c r="L1317" s="31" t="s">
        <v>34</v>
      </c>
      <c r="M1317" s="31">
        <v>191</v>
      </c>
      <c r="N1317" s="31">
        <v>2023</v>
      </c>
      <c r="O1317" s="31">
        <v>200</v>
      </c>
      <c r="P1317" s="31"/>
      <c r="Q1317" s="31"/>
      <c r="R1317" s="33" t="s">
        <v>5253</v>
      </c>
      <c r="S1317" s="34" t="str">
        <f>HYPERLINK("http://www.cnpol.ru/covers/20684.jpg","фото на сайте")</f>
        <v>фото на сайте</v>
      </c>
    </row>
    <row r="1318" spans="1:19" ht="50.1" customHeight="1">
      <c r="A1318" s="31"/>
      <c r="B1318" s="32" t="s">
        <v>5254</v>
      </c>
      <c r="C1318" s="31" t="s">
        <v>5255</v>
      </c>
      <c r="D1318" s="31" t="s">
        <v>5256</v>
      </c>
      <c r="E1318" s="31" t="s">
        <v>5257</v>
      </c>
      <c r="F1318" s="31" t="s">
        <v>31</v>
      </c>
      <c r="G1318" s="31">
        <v>139</v>
      </c>
      <c r="H1318" s="31">
        <v>10</v>
      </c>
      <c r="I1318" s="31">
        <v>22</v>
      </c>
      <c r="J1318" s="31" t="s">
        <v>5258</v>
      </c>
      <c r="K1318" s="31" t="s">
        <v>359</v>
      </c>
      <c r="L1318" s="31" t="s">
        <v>34</v>
      </c>
      <c r="M1318" s="31" t="s">
        <v>431</v>
      </c>
      <c r="N1318" s="31" t="s">
        <v>431</v>
      </c>
      <c r="O1318" s="31">
        <v>218</v>
      </c>
      <c r="P1318" s="31"/>
      <c r="Q1318" s="31"/>
      <c r="R1318" s="33"/>
      <c r="S1318" s="34" t="str">
        <f>HYPERLINK("http://www.cnpol.ru/covers/4323.jpg","фото на сайте")</f>
        <v>фото на сайте</v>
      </c>
    </row>
    <row r="1319" spans="1:19" ht="50.1" customHeight="1">
      <c r="A1319" s="31"/>
      <c r="B1319" s="32" t="s">
        <v>5259</v>
      </c>
      <c r="C1319" s="31" t="s">
        <v>5260</v>
      </c>
      <c r="D1319" s="31" t="s">
        <v>5256</v>
      </c>
      <c r="E1319" s="31" t="s">
        <v>5261</v>
      </c>
      <c r="F1319" s="31" t="s">
        <v>31</v>
      </c>
      <c r="G1319" s="31">
        <v>105</v>
      </c>
      <c r="H1319" s="31">
        <v>10</v>
      </c>
      <c r="I1319" s="31">
        <v>30</v>
      </c>
      <c r="J1319" s="31" t="s">
        <v>5262</v>
      </c>
      <c r="K1319" s="31" t="s">
        <v>130</v>
      </c>
      <c r="L1319" s="31" t="s">
        <v>56</v>
      </c>
      <c r="M1319" s="31">
        <v>176</v>
      </c>
      <c r="N1319" s="31">
        <v>2008</v>
      </c>
      <c r="O1319" s="31">
        <v>104</v>
      </c>
      <c r="P1319" s="31"/>
      <c r="Q1319" s="31"/>
      <c r="R1319" s="33"/>
      <c r="S1319" s="34" t="str">
        <f>HYPERLINK("http://www.cnpol.ru/covers/10228.jpg","фото на сайте")</f>
        <v>фото на сайте</v>
      </c>
    </row>
    <row r="1320" spans="1:19" ht="50.1" customHeight="1">
      <c r="A1320" s="31"/>
      <c r="B1320" s="32" t="s">
        <v>5263</v>
      </c>
      <c r="C1320" s="31" t="s">
        <v>730</v>
      </c>
      <c r="D1320" s="31" t="s">
        <v>5244</v>
      </c>
      <c r="E1320" s="31" t="s">
        <v>5264</v>
      </c>
      <c r="F1320" s="31" t="s">
        <v>31</v>
      </c>
      <c r="G1320" s="31">
        <v>441</v>
      </c>
      <c r="H1320" s="31">
        <v>10</v>
      </c>
      <c r="I1320" s="31">
        <v>16</v>
      </c>
      <c r="J1320" s="31" t="s">
        <v>5265</v>
      </c>
      <c r="K1320" s="31" t="s">
        <v>33</v>
      </c>
      <c r="L1320" s="31" t="s">
        <v>34</v>
      </c>
      <c r="M1320" s="31">
        <v>256</v>
      </c>
      <c r="N1320" s="31">
        <v>2017</v>
      </c>
      <c r="O1320" s="31">
        <v>238</v>
      </c>
      <c r="P1320" s="31"/>
      <c r="Q1320" s="31"/>
      <c r="R1320" s="33"/>
      <c r="S1320" s="34" t="str">
        <f>HYPERLINK("http://www.cnpol.ru/covers/17802.jpg","фото на сайте")</f>
        <v>фото на сайте</v>
      </c>
    </row>
    <row r="1321" spans="1:19" ht="50.1" customHeight="1">
      <c r="A1321" s="31" t="s">
        <v>43</v>
      </c>
      <c r="B1321" s="32" t="s">
        <v>5266</v>
      </c>
      <c r="C1321" s="31" t="s">
        <v>1206</v>
      </c>
      <c r="D1321" s="31" t="s">
        <v>1207</v>
      </c>
      <c r="E1321" s="31" t="s">
        <v>5267</v>
      </c>
      <c r="F1321" s="31" t="s">
        <v>31</v>
      </c>
      <c r="G1321" s="31">
        <v>672</v>
      </c>
      <c r="H1321" s="31">
        <v>10</v>
      </c>
      <c r="I1321" s="31">
        <v>16</v>
      </c>
      <c r="J1321" s="31" t="s">
        <v>5268</v>
      </c>
      <c r="K1321" s="31" t="s">
        <v>739</v>
      </c>
      <c r="L1321" s="31" t="s">
        <v>34</v>
      </c>
      <c r="M1321" s="31">
        <v>206</v>
      </c>
      <c r="N1321" s="31">
        <v>2024</v>
      </c>
      <c r="O1321" s="31">
        <v>249</v>
      </c>
      <c r="P1321" s="31"/>
      <c r="Q1321" s="31"/>
      <c r="R1321" s="33" t="s">
        <v>5269</v>
      </c>
      <c r="S1321" s="34" t="str">
        <f>HYPERLINK("http://www.cnpol.ru/covers/21294.jpg","фото на сайте")</f>
        <v>фото на сайте</v>
      </c>
    </row>
    <row r="1322" spans="1:19" ht="50.1" customHeight="1">
      <c r="A1322" s="31"/>
      <c r="B1322" s="32" t="s">
        <v>5270</v>
      </c>
      <c r="C1322" s="31" t="s">
        <v>730</v>
      </c>
      <c r="D1322" s="31" t="s">
        <v>5244</v>
      </c>
      <c r="E1322" s="31" t="s">
        <v>5271</v>
      </c>
      <c r="F1322" s="31" t="s">
        <v>31</v>
      </c>
      <c r="G1322" s="31">
        <v>441</v>
      </c>
      <c r="H1322" s="31">
        <v>10</v>
      </c>
      <c r="I1322" s="31">
        <v>14</v>
      </c>
      <c r="J1322" s="31" t="s">
        <v>5272</v>
      </c>
      <c r="K1322" s="31" t="s">
        <v>33</v>
      </c>
      <c r="L1322" s="31" t="s">
        <v>34</v>
      </c>
      <c r="M1322" s="31">
        <v>252</v>
      </c>
      <c r="N1322" s="31">
        <v>2017</v>
      </c>
      <c r="O1322" s="31">
        <v>240</v>
      </c>
      <c r="P1322" s="31"/>
      <c r="Q1322" s="31"/>
      <c r="R1322" s="33"/>
      <c r="S1322" s="34" t="str">
        <f>HYPERLINK("http://www.cnpol.ru/covers/17618.jpg","фото на сайте")</f>
        <v>фото на сайте</v>
      </c>
    </row>
    <row r="1323" spans="1:19" ht="50.1" customHeight="1">
      <c r="A1323" s="31"/>
      <c r="B1323" s="32" t="s">
        <v>5273</v>
      </c>
      <c r="C1323" s="31" t="s">
        <v>730</v>
      </c>
      <c r="D1323" s="31" t="s">
        <v>5274</v>
      </c>
      <c r="E1323" s="31" t="s">
        <v>5275</v>
      </c>
      <c r="F1323" s="31" t="s">
        <v>31</v>
      </c>
      <c r="G1323" s="31">
        <v>441</v>
      </c>
      <c r="H1323" s="31">
        <v>10</v>
      </c>
      <c r="I1323" s="31">
        <v>20</v>
      </c>
      <c r="J1323" s="31" t="s">
        <v>5276</v>
      </c>
      <c r="K1323" s="31" t="s">
        <v>33</v>
      </c>
      <c r="L1323" s="31" t="s">
        <v>34</v>
      </c>
      <c r="M1323" s="31">
        <v>160</v>
      </c>
      <c r="N1323" s="31">
        <v>2016</v>
      </c>
      <c r="O1323" s="31">
        <v>172</v>
      </c>
      <c r="P1323" s="31"/>
      <c r="Q1323" s="31"/>
      <c r="R1323" s="33"/>
      <c r="S1323" s="34" t="str">
        <f>HYPERLINK("http://www.cnpol.ru/covers/17004.jpg","фото на сайте")</f>
        <v>фото на сайте</v>
      </c>
    </row>
    <row r="1324" spans="1:19" ht="50.1" customHeight="1">
      <c r="A1324" s="31"/>
      <c r="B1324" s="32" t="s">
        <v>5277</v>
      </c>
      <c r="C1324" s="31" t="s">
        <v>730</v>
      </c>
      <c r="D1324" s="31" t="s">
        <v>5278</v>
      </c>
      <c r="E1324" s="31" t="s">
        <v>5279</v>
      </c>
      <c r="F1324" s="31" t="s">
        <v>31</v>
      </c>
      <c r="G1324" s="31">
        <v>441</v>
      </c>
      <c r="H1324" s="31">
        <v>10</v>
      </c>
      <c r="I1324" s="31">
        <v>16</v>
      </c>
      <c r="J1324" s="31" t="s">
        <v>5280</v>
      </c>
      <c r="K1324" s="31" t="s">
        <v>33</v>
      </c>
      <c r="L1324" s="31" t="s">
        <v>34</v>
      </c>
      <c r="M1324" s="31">
        <v>224</v>
      </c>
      <c r="N1324" s="31">
        <v>2018</v>
      </c>
      <c r="O1324" s="31">
        <v>212</v>
      </c>
      <c r="P1324" s="31"/>
      <c r="Q1324" s="31"/>
      <c r="R1324" s="33"/>
      <c r="S1324" s="34" t="str">
        <f>HYPERLINK("http://www.cnpol.ru/covers/18215.jpg","фото на сайте")</f>
        <v>фото на сайте</v>
      </c>
    </row>
    <row r="1325" spans="1:19" ht="50.1" customHeight="1">
      <c r="A1325" s="31"/>
      <c r="B1325" s="32" t="s">
        <v>5281</v>
      </c>
      <c r="C1325" s="31" t="s">
        <v>385</v>
      </c>
      <c r="D1325" s="31" t="s">
        <v>386</v>
      </c>
      <c r="E1325" s="31" t="s">
        <v>5282</v>
      </c>
      <c r="F1325" s="31" t="s">
        <v>31</v>
      </c>
      <c r="G1325" s="31">
        <v>162</v>
      </c>
      <c r="H1325" s="31">
        <v>10</v>
      </c>
      <c r="I1325" s="31">
        <v>32</v>
      </c>
      <c r="J1325" s="31" t="s">
        <v>5283</v>
      </c>
      <c r="K1325" s="31" t="s">
        <v>55</v>
      </c>
      <c r="L1325" s="31" t="s">
        <v>56</v>
      </c>
      <c r="M1325" s="31">
        <v>224</v>
      </c>
      <c r="N1325" s="31">
        <v>2016</v>
      </c>
      <c r="O1325" s="31">
        <v>94</v>
      </c>
      <c r="P1325" s="31"/>
      <c r="Q1325" s="31"/>
      <c r="R1325" s="33"/>
      <c r="S1325" s="34" t="str">
        <f>HYPERLINK("http://www.cnpol.ru/covers/0167.jpg","фото на сайте")</f>
        <v>фото на сайте</v>
      </c>
    </row>
    <row r="1326" spans="1:19" ht="50.1" customHeight="1">
      <c r="A1326" s="31"/>
      <c r="B1326" s="32" t="s">
        <v>5284</v>
      </c>
      <c r="C1326" s="31" t="s">
        <v>418</v>
      </c>
      <c r="D1326" s="31" t="s">
        <v>1183</v>
      </c>
      <c r="E1326" s="31" t="s">
        <v>5285</v>
      </c>
      <c r="F1326" s="31">
        <v>49</v>
      </c>
      <c r="G1326" s="31">
        <v>153</v>
      </c>
      <c r="H1326" s="31">
        <v>10</v>
      </c>
      <c r="I1326" s="31">
        <v>30</v>
      </c>
      <c r="J1326" s="31" t="s">
        <v>5286</v>
      </c>
      <c r="K1326" s="31" t="s">
        <v>123</v>
      </c>
      <c r="L1326" s="31" t="s">
        <v>56</v>
      </c>
      <c r="M1326" s="31">
        <v>254</v>
      </c>
      <c r="N1326" s="31">
        <v>2014</v>
      </c>
      <c r="O1326" s="31">
        <v>118</v>
      </c>
      <c r="P1326" s="31"/>
      <c r="Q1326" s="31"/>
      <c r="R1326" s="33"/>
      <c r="S1326" s="34" t="str">
        <f>HYPERLINK("http://www.cnpol.ru/covers/15221.jpg","фото на сайте")</f>
        <v>фото на сайте</v>
      </c>
    </row>
    <row r="1327" spans="1:19" ht="50.1" customHeight="1">
      <c r="A1327" s="31"/>
      <c r="B1327" s="32" t="s">
        <v>5287</v>
      </c>
      <c r="C1327" s="31" t="s">
        <v>520</v>
      </c>
      <c r="D1327" s="31" t="s">
        <v>4134</v>
      </c>
      <c r="E1327" s="31" t="s">
        <v>5288</v>
      </c>
      <c r="F1327" s="31">
        <v>43</v>
      </c>
      <c r="G1327" s="31">
        <v>117</v>
      </c>
      <c r="H1327" s="31">
        <v>10</v>
      </c>
      <c r="I1327" s="31">
        <v>36</v>
      </c>
      <c r="J1327" s="31" t="s">
        <v>5289</v>
      </c>
      <c r="K1327" s="31" t="s">
        <v>123</v>
      </c>
      <c r="L1327" s="31" t="s">
        <v>56</v>
      </c>
      <c r="M1327" s="31">
        <v>192</v>
      </c>
      <c r="N1327" s="31">
        <v>2017</v>
      </c>
      <c r="O1327" s="31">
        <v>90</v>
      </c>
      <c r="P1327" s="31"/>
      <c r="Q1327" s="31"/>
      <c r="R1327" s="33"/>
      <c r="S1327" s="34" t="str">
        <f>HYPERLINK("http://www.cnpol.ru/covers/17339.jpg","фото на сайте")</f>
        <v>фото на сайте</v>
      </c>
    </row>
    <row r="1328" spans="1:19" ht="50.1" customHeight="1">
      <c r="A1328" s="31"/>
      <c r="B1328" s="32" t="s">
        <v>5290</v>
      </c>
      <c r="C1328" s="31" t="s">
        <v>413</v>
      </c>
      <c r="D1328" s="31" t="s">
        <v>5291</v>
      </c>
      <c r="E1328" s="31" t="s">
        <v>5292</v>
      </c>
      <c r="F1328" s="31">
        <v>8</v>
      </c>
      <c r="G1328" s="31">
        <v>117</v>
      </c>
      <c r="H1328" s="31">
        <v>10</v>
      </c>
      <c r="I1328" s="31">
        <v>36</v>
      </c>
      <c r="J1328" s="31" t="s">
        <v>5293</v>
      </c>
      <c r="K1328" s="31" t="s">
        <v>300</v>
      </c>
      <c r="L1328" s="31" t="s">
        <v>56</v>
      </c>
      <c r="M1328" s="31">
        <v>190</v>
      </c>
      <c r="N1328" s="31">
        <v>2014</v>
      </c>
      <c r="O1328" s="31">
        <v>90</v>
      </c>
      <c r="P1328" s="31"/>
      <c r="Q1328" s="31"/>
      <c r="R1328" s="33"/>
      <c r="S1328" s="34" t="str">
        <f>HYPERLINK("http://www.cnpol.ru/covers/15276.jpg","фото на сайте")</f>
        <v>фото на сайте</v>
      </c>
    </row>
    <row r="1329" spans="1:19" ht="50.1" customHeight="1">
      <c r="A1329" s="31"/>
      <c r="B1329" s="32" t="s">
        <v>5294</v>
      </c>
      <c r="C1329" s="31" t="s">
        <v>4834</v>
      </c>
      <c r="D1329" s="31" t="s">
        <v>5295</v>
      </c>
      <c r="E1329" s="31" t="s">
        <v>5296</v>
      </c>
      <c r="F1329" s="31" t="s">
        <v>31</v>
      </c>
      <c r="G1329" s="31">
        <v>290</v>
      </c>
      <c r="H1329" s="31">
        <v>10</v>
      </c>
      <c r="I1329" s="31">
        <v>14</v>
      </c>
      <c r="J1329" s="31" t="s">
        <v>5297</v>
      </c>
      <c r="K1329" s="31" t="s">
        <v>300</v>
      </c>
      <c r="L1329" s="31" t="s">
        <v>56</v>
      </c>
      <c r="M1329" s="31">
        <v>448</v>
      </c>
      <c r="N1329" s="31">
        <v>2017</v>
      </c>
      <c r="O1329" s="31">
        <v>222</v>
      </c>
      <c r="P1329" s="31"/>
      <c r="Q1329" s="31"/>
      <c r="R1329" s="33"/>
      <c r="S1329" s="34" t="str">
        <f>HYPERLINK("http://www.cnpol.ru/covers/17714.jpg","фото на сайте")</f>
        <v>фото на сайте</v>
      </c>
    </row>
    <row r="1330" spans="1:19" ht="50.1" customHeight="1">
      <c r="A1330" s="31"/>
      <c r="B1330" s="32" t="s">
        <v>5298</v>
      </c>
      <c r="C1330" s="31" t="s">
        <v>3229</v>
      </c>
      <c r="D1330" s="31" t="s">
        <v>5295</v>
      </c>
      <c r="E1330" s="31" t="s">
        <v>5296</v>
      </c>
      <c r="F1330" s="31" t="s">
        <v>31</v>
      </c>
      <c r="G1330" s="31">
        <v>675</v>
      </c>
      <c r="H1330" s="31">
        <v>10</v>
      </c>
      <c r="I1330" s="31">
        <v>12</v>
      </c>
      <c r="J1330" s="31" t="s">
        <v>5299</v>
      </c>
      <c r="K1330" s="31" t="s">
        <v>33</v>
      </c>
      <c r="L1330" s="31" t="s">
        <v>34</v>
      </c>
      <c r="M1330" s="31">
        <v>413</v>
      </c>
      <c r="N1330" s="31">
        <v>2013</v>
      </c>
      <c r="O1330" s="31">
        <v>386</v>
      </c>
      <c r="P1330" s="31"/>
      <c r="Q1330" s="31"/>
      <c r="R1330" s="33"/>
      <c r="S1330" s="34" t="str">
        <f>HYPERLINK("http://www.cnpol.ru/covers/14292.jpg","фото на сайте")</f>
        <v>фото на сайте</v>
      </c>
    </row>
    <row r="1331" spans="1:19" ht="50.1" customHeight="1">
      <c r="A1331" s="31"/>
      <c r="B1331" s="32" t="s">
        <v>5300</v>
      </c>
      <c r="C1331" s="31" t="s">
        <v>143</v>
      </c>
      <c r="D1331" s="31" t="s">
        <v>5301</v>
      </c>
      <c r="E1331" s="31" t="s">
        <v>5302</v>
      </c>
      <c r="F1331" s="31" t="s">
        <v>31</v>
      </c>
      <c r="G1331" s="31">
        <v>862</v>
      </c>
      <c r="H1331" s="31">
        <v>10</v>
      </c>
      <c r="I1331" s="31">
        <v>12</v>
      </c>
      <c r="J1331" s="31" t="s">
        <v>5303</v>
      </c>
      <c r="K1331" s="31" t="s">
        <v>41</v>
      </c>
      <c r="L1331" s="31" t="s">
        <v>34</v>
      </c>
      <c r="M1331" s="31">
        <v>448</v>
      </c>
      <c r="N1331" s="31">
        <v>2020</v>
      </c>
      <c r="O1331" s="31">
        <v>506</v>
      </c>
      <c r="P1331" s="31"/>
      <c r="Q1331" s="31"/>
      <c r="R1331" s="33"/>
      <c r="S1331" s="34" t="str">
        <f>HYPERLINK("http://www.cnpol.ru/covers/19277.jpg","фото на сайте")</f>
        <v>фото на сайте</v>
      </c>
    </row>
    <row r="1332" spans="1:19" ht="50.1" customHeight="1">
      <c r="A1332" s="31"/>
      <c r="B1332" s="32" t="s">
        <v>5304</v>
      </c>
      <c r="C1332" s="31" t="s">
        <v>1363</v>
      </c>
      <c r="D1332" s="31" t="s">
        <v>1364</v>
      </c>
      <c r="E1332" s="31" t="s">
        <v>5305</v>
      </c>
      <c r="F1332" s="31" t="s">
        <v>31</v>
      </c>
      <c r="G1332" s="31">
        <v>522</v>
      </c>
      <c r="H1332" s="31">
        <v>10</v>
      </c>
      <c r="I1332" s="31">
        <v>16</v>
      </c>
      <c r="J1332" s="31" t="s">
        <v>5306</v>
      </c>
      <c r="K1332" s="31" t="s">
        <v>194</v>
      </c>
      <c r="L1332" s="31" t="s">
        <v>34</v>
      </c>
      <c r="M1332" s="31">
        <v>256</v>
      </c>
      <c r="N1332" s="31">
        <v>2017</v>
      </c>
      <c r="O1332" s="31">
        <v>268</v>
      </c>
      <c r="P1332" s="31"/>
      <c r="Q1332" s="31"/>
      <c r="R1332" s="33"/>
      <c r="S1332" s="34" t="str">
        <f>HYPERLINK("http://www.cnpol.ru/covers/17278.jpg","фото на сайте")</f>
        <v>фото на сайте</v>
      </c>
    </row>
    <row r="1333" spans="1:19" ht="50.1" customHeight="1">
      <c r="A1333" s="31"/>
      <c r="B1333" s="32" t="s">
        <v>5307</v>
      </c>
      <c r="C1333" s="31" t="s">
        <v>37</v>
      </c>
      <c r="D1333" s="31" t="s">
        <v>5308</v>
      </c>
      <c r="E1333" s="31" t="s">
        <v>5309</v>
      </c>
      <c r="F1333" s="31" t="s">
        <v>31</v>
      </c>
      <c r="G1333" s="31">
        <v>575</v>
      </c>
      <c r="H1333" s="31">
        <v>10</v>
      </c>
      <c r="I1333" s="31">
        <v>16</v>
      </c>
      <c r="J1333" s="31" t="s">
        <v>5310</v>
      </c>
      <c r="K1333" s="31" t="s">
        <v>33</v>
      </c>
      <c r="L1333" s="31" t="s">
        <v>34</v>
      </c>
      <c r="M1333" s="31">
        <v>253</v>
      </c>
      <c r="N1333" s="31">
        <v>2023</v>
      </c>
      <c r="O1333" s="31">
        <v>309</v>
      </c>
      <c r="P1333" s="31"/>
      <c r="Q1333" s="31"/>
      <c r="R1333" s="33" t="s">
        <v>5311</v>
      </c>
      <c r="S1333" s="34" t="str">
        <f>HYPERLINK("http://www.cnpol.ru/covers/20905.jpg","фото на сайте")</f>
        <v>фото на сайте</v>
      </c>
    </row>
    <row r="1334" spans="1:19" ht="50.1" customHeight="1">
      <c r="A1334" s="31"/>
      <c r="B1334" s="32" t="s">
        <v>5312</v>
      </c>
      <c r="C1334" s="31" t="s">
        <v>746</v>
      </c>
      <c r="D1334" s="31" t="s">
        <v>5308</v>
      </c>
      <c r="E1334" s="31" t="s">
        <v>5309</v>
      </c>
      <c r="F1334" s="31" t="s">
        <v>31</v>
      </c>
      <c r="G1334" s="31">
        <v>461</v>
      </c>
      <c r="H1334" s="31">
        <v>10</v>
      </c>
      <c r="I1334" s="31">
        <v>16</v>
      </c>
      <c r="J1334" s="31" t="s">
        <v>5313</v>
      </c>
      <c r="K1334" s="31" t="s">
        <v>33</v>
      </c>
      <c r="L1334" s="31" t="s">
        <v>34</v>
      </c>
      <c r="M1334" s="31">
        <v>253</v>
      </c>
      <c r="N1334" s="31">
        <v>2023</v>
      </c>
      <c r="O1334" s="31">
        <v>244</v>
      </c>
      <c r="P1334" s="31"/>
      <c r="Q1334" s="31"/>
      <c r="R1334" s="33" t="s">
        <v>5311</v>
      </c>
      <c r="S1334" s="34" t="str">
        <f>HYPERLINK("http://www.cnpol.ru/covers/20886.jpg","фото на сайте")</f>
        <v>фото на сайте</v>
      </c>
    </row>
    <row r="1335" spans="1:19" ht="50.1" customHeight="1">
      <c r="A1335" s="31"/>
      <c r="B1335" s="32" t="s">
        <v>5314</v>
      </c>
      <c r="C1335" s="31" t="s">
        <v>380</v>
      </c>
      <c r="D1335" s="31" t="s">
        <v>5315</v>
      </c>
      <c r="E1335" s="31" t="s">
        <v>5316</v>
      </c>
      <c r="F1335" s="31" t="s">
        <v>31</v>
      </c>
      <c r="G1335" s="35">
        <v>1235</v>
      </c>
      <c r="H1335" s="31">
        <v>10</v>
      </c>
      <c r="I1335" s="31">
        <v>6</v>
      </c>
      <c r="J1335" s="31" t="s">
        <v>5317</v>
      </c>
      <c r="K1335" s="31" t="s">
        <v>41</v>
      </c>
      <c r="L1335" s="31" t="s">
        <v>304</v>
      </c>
      <c r="M1335" s="31">
        <v>719</v>
      </c>
      <c r="N1335" s="31">
        <v>2020</v>
      </c>
      <c r="O1335" s="31">
        <v>852</v>
      </c>
      <c r="P1335" s="31"/>
      <c r="Q1335" s="31"/>
      <c r="R1335" s="33"/>
      <c r="S1335" s="34" t="str">
        <f>HYPERLINK("http://www.cnpol.ru/covers/19205.jpg","фото на сайте")</f>
        <v>фото на сайте</v>
      </c>
    </row>
    <row r="1336" spans="1:19" ht="50.1" customHeight="1">
      <c r="A1336" s="31"/>
      <c r="B1336" s="32" t="s">
        <v>5318</v>
      </c>
      <c r="C1336" s="31" t="s">
        <v>5319</v>
      </c>
      <c r="D1336" s="31" t="s">
        <v>5320</v>
      </c>
      <c r="E1336" s="31" t="s">
        <v>5321</v>
      </c>
      <c r="F1336" s="31" t="s">
        <v>31</v>
      </c>
      <c r="G1336" s="31">
        <v>441</v>
      </c>
      <c r="H1336" s="31">
        <v>10</v>
      </c>
      <c r="I1336" s="31">
        <v>14</v>
      </c>
      <c r="J1336" s="31" t="s">
        <v>5322</v>
      </c>
      <c r="K1336" s="31" t="s">
        <v>33</v>
      </c>
      <c r="L1336" s="31" t="s">
        <v>34</v>
      </c>
      <c r="M1336" s="31">
        <v>351</v>
      </c>
      <c r="N1336" s="31">
        <v>2011</v>
      </c>
      <c r="O1336" s="31">
        <v>330</v>
      </c>
      <c r="P1336" s="31"/>
      <c r="Q1336" s="31"/>
      <c r="R1336" s="33"/>
      <c r="S1336" s="34" t="str">
        <f>HYPERLINK("http://www.cnpol.ru/covers/12675.jpg","фото на сайте")</f>
        <v>фото на сайте</v>
      </c>
    </row>
    <row r="1337" spans="1:19" ht="50.1" customHeight="1">
      <c r="A1337" s="31"/>
      <c r="B1337" s="32" t="s">
        <v>5323</v>
      </c>
      <c r="C1337" s="31" t="s">
        <v>37</v>
      </c>
      <c r="D1337" s="31" t="s">
        <v>5324</v>
      </c>
      <c r="E1337" s="31" t="s">
        <v>5325</v>
      </c>
      <c r="F1337" s="31" t="s">
        <v>31</v>
      </c>
      <c r="G1337" s="35">
        <v>1632</v>
      </c>
      <c r="H1337" s="31">
        <v>10</v>
      </c>
      <c r="I1337" s="31">
        <v>6</v>
      </c>
      <c r="J1337" s="31" t="s">
        <v>5326</v>
      </c>
      <c r="K1337" s="31" t="s">
        <v>41</v>
      </c>
      <c r="L1337" s="31" t="s">
        <v>34</v>
      </c>
      <c r="M1337" s="31">
        <v>639</v>
      </c>
      <c r="N1337" s="31">
        <v>2024</v>
      </c>
      <c r="O1337" s="31">
        <v>673</v>
      </c>
      <c r="P1337" s="31"/>
      <c r="Q1337" s="31"/>
      <c r="R1337" s="33" t="s">
        <v>5327</v>
      </c>
      <c r="S1337" s="34" t="str">
        <f>HYPERLINK("http://www.cnpol.ru/covers/21285.jpg","фото на сайте")</f>
        <v>фото на сайте</v>
      </c>
    </row>
    <row r="1338" spans="1:19" ht="50.1" customHeight="1">
      <c r="A1338" s="31" t="s">
        <v>43</v>
      </c>
      <c r="B1338" s="32" t="s">
        <v>5328</v>
      </c>
      <c r="C1338" s="31" t="s">
        <v>479</v>
      </c>
      <c r="D1338" s="31" t="s">
        <v>5329</v>
      </c>
      <c r="E1338" s="31" t="s">
        <v>5330</v>
      </c>
      <c r="F1338" s="31" t="s">
        <v>31</v>
      </c>
      <c r="G1338" s="31">
        <v>851</v>
      </c>
      <c r="H1338" s="31">
        <v>10</v>
      </c>
      <c r="I1338" s="31">
        <v>14</v>
      </c>
      <c r="J1338" s="31" t="s">
        <v>5331</v>
      </c>
      <c r="K1338" s="31" t="s">
        <v>33</v>
      </c>
      <c r="L1338" s="31" t="s">
        <v>34</v>
      </c>
      <c r="M1338" s="31">
        <v>287</v>
      </c>
      <c r="N1338" s="31">
        <v>2024</v>
      </c>
      <c r="O1338" s="31">
        <v>340</v>
      </c>
      <c r="P1338" s="31"/>
      <c r="Q1338" s="31"/>
      <c r="R1338" s="33" t="s">
        <v>5332</v>
      </c>
      <c r="S1338" s="34" t="str">
        <f>HYPERLINK("http://www.cnpol.ru/covers/21027.jpg","фото на сайте")</f>
        <v>фото на сайте</v>
      </c>
    </row>
    <row r="1339" spans="1:19" ht="50.1" customHeight="1">
      <c r="A1339" s="31"/>
      <c r="B1339" s="32" t="s">
        <v>5333</v>
      </c>
      <c r="C1339" s="31" t="s">
        <v>37</v>
      </c>
      <c r="D1339" s="31" t="s">
        <v>5334</v>
      </c>
      <c r="E1339" s="31" t="s">
        <v>5335</v>
      </c>
      <c r="F1339" s="31" t="s">
        <v>31</v>
      </c>
      <c r="G1339" s="31">
        <v>966</v>
      </c>
      <c r="H1339" s="31">
        <v>10</v>
      </c>
      <c r="I1339" s="31">
        <v>10</v>
      </c>
      <c r="J1339" s="31" t="s">
        <v>5336</v>
      </c>
      <c r="K1339" s="31" t="s">
        <v>33</v>
      </c>
      <c r="L1339" s="31" t="s">
        <v>34</v>
      </c>
      <c r="M1339" s="31">
        <v>351</v>
      </c>
      <c r="N1339" s="31">
        <v>2022</v>
      </c>
      <c r="O1339" s="31">
        <v>344</v>
      </c>
      <c r="P1339" s="31"/>
      <c r="Q1339" s="31"/>
      <c r="R1339" s="33" t="s">
        <v>5337</v>
      </c>
      <c r="S1339" s="34" t="str">
        <f>HYPERLINK("http://www.cnpol.ru/covers/20454.jpg","фото на сайте")</f>
        <v>фото на сайте</v>
      </c>
    </row>
    <row r="1340" spans="1:19" ht="50.1" customHeight="1">
      <c r="A1340" s="31"/>
      <c r="B1340" s="32" t="s">
        <v>5338</v>
      </c>
      <c r="C1340" s="31" t="s">
        <v>37</v>
      </c>
      <c r="D1340" s="31" t="s">
        <v>5339</v>
      </c>
      <c r="E1340" s="31" t="s">
        <v>5340</v>
      </c>
      <c r="F1340" s="31" t="s">
        <v>31</v>
      </c>
      <c r="G1340" s="31">
        <v>539</v>
      </c>
      <c r="H1340" s="31">
        <v>10</v>
      </c>
      <c r="I1340" s="31">
        <v>12</v>
      </c>
      <c r="J1340" s="31" t="s">
        <v>5341</v>
      </c>
      <c r="K1340" s="31" t="s">
        <v>33</v>
      </c>
      <c r="L1340" s="31" t="s">
        <v>34</v>
      </c>
      <c r="M1340" s="31">
        <v>352</v>
      </c>
      <c r="N1340" s="31">
        <v>2018</v>
      </c>
      <c r="O1340" s="31">
        <v>292</v>
      </c>
      <c r="P1340" s="31"/>
      <c r="Q1340" s="31"/>
      <c r="R1340" s="33"/>
      <c r="S1340" s="34" t="str">
        <f>HYPERLINK("http://www.cnpol.ru/covers/18388.jpg","фото на сайте")</f>
        <v>фото на сайте</v>
      </c>
    </row>
    <row r="1341" spans="1:19" ht="50.1" customHeight="1">
      <c r="A1341" s="31"/>
      <c r="B1341" s="32" t="s">
        <v>5342</v>
      </c>
      <c r="C1341" s="31" t="s">
        <v>5343</v>
      </c>
      <c r="D1341" s="31" t="s">
        <v>5344</v>
      </c>
      <c r="E1341" s="31" t="s">
        <v>5345</v>
      </c>
      <c r="F1341" s="31" t="s">
        <v>31</v>
      </c>
      <c r="G1341" s="31">
        <v>174</v>
      </c>
      <c r="H1341" s="31">
        <v>10</v>
      </c>
      <c r="I1341" s="31">
        <v>20</v>
      </c>
      <c r="J1341" s="31" t="s">
        <v>5346</v>
      </c>
      <c r="K1341" s="31" t="s">
        <v>359</v>
      </c>
      <c r="L1341" s="31" t="s">
        <v>34</v>
      </c>
      <c r="M1341" s="31">
        <v>187</v>
      </c>
      <c r="N1341" s="31">
        <v>2007</v>
      </c>
      <c r="O1341" s="31">
        <v>186</v>
      </c>
      <c r="P1341" s="31"/>
      <c r="Q1341" s="31"/>
      <c r="R1341" s="33"/>
      <c r="S1341" s="34" t="str">
        <f>HYPERLINK("http://www.cnpol.ru/covers/6327.jpg","фото на сайте")</f>
        <v>фото на сайте</v>
      </c>
    </row>
    <row r="1342" spans="1:19" ht="50.1" customHeight="1">
      <c r="A1342" s="31"/>
      <c r="B1342" s="32" t="s">
        <v>5347</v>
      </c>
      <c r="C1342" s="31" t="s">
        <v>390</v>
      </c>
      <c r="D1342" s="31" t="s">
        <v>1805</v>
      </c>
      <c r="E1342" s="31" t="s">
        <v>5348</v>
      </c>
      <c r="F1342" s="31">
        <v>651</v>
      </c>
      <c r="G1342" s="31">
        <v>86</v>
      </c>
      <c r="H1342" s="31">
        <v>10</v>
      </c>
      <c r="I1342" s="31">
        <v>30</v>
      </c>
      <c r="J1342" s="31" t="s">
        <v>5349</v>
      </c>
      <c r="K1342" s="31" t="s">
        <v>123</v>
      </c>
      <c r="L1342" s="31" t="s">
        <v>56</v>
      </c>
      <c r="M1342" s="31">
        <v>160</v>
      </c>
      <c r="N1342" s="31">
        <v>2016</v>
      </c>
      <c r="O1342" s="31">
        <v>76</v>
      </c>
      <c r="P1342" s="31"/>
      <c r="Q1342" s="31"/>
      <c r="R1342" s="33"/>
      <c r="S1342" s="34" t="str">
        <f>HYPERLINK("http://www.cnpol.ru/covers/16997.jpg","фото на сайте")</f>
        <v>фото на сайте</v>
      </c>
    </row>
    <row r="1343" spans="1:19" ht="50.1" customHeight="1">
      <c r="A1343" s="31"/>
      <c r="B1343" s="32" t="s">
        <v>5350</v>
      </c>
      <c r="C1343" s="31" t="s">
        <v>390</v>
      </c>
      <c r="D1343" s="31" t="s">
        <v>2137</v>
      </c>
      <c r="E1343" s="31" t="s">
        <v>5351</v>
      </c>
      <c r="F1343" s="31">
        <v>591</v>
      </c>
      <c r="G1343" s="31">
        <v>86</v>
      </c>
      <c r="H1343" s="31">
        <v>10</v>
      </c>
      <c r="I1343" s="31">
        <v>30</v>
      </c>
      <c r="J1343" s="31" t="s">
        <v>5352</v>
      </c>
      <c r="K1343" s="31" t="s">
        <v>123</v>
      </c>
      <c r="L1343" s="31" t="s">
        <v>56</v>
      </c>
      <c r="M1343" s="31">
        <v>158</v>
      </c>
      <c r="N1343" s="31">
        <v>2016</v>
      </c>
      <c r="O1343" s="31">
        <v>76</v>
      </c>
      <c r="P1343" s="31"/>
      <c r="Q1343" s="31"/>
      <c r="R1343" s="33"/>
      <c r="S1343" s="34" t="str">
        <f>HYPERLINK("http://www.cnpol.ru/covers/16526.jpg","фото на сайте")</f>
        <v>фото на сайте</v>
      </c>
    </row>
    <row r="1344" spans="1:19" ht="50.1" customHeight="1">
      <c r="A1344" s="31"/>
      <c r="B1344" s="32" t="s">
        <v>5353</v>
      </c>
      <c r="C1344" s="31" t="s">
        <v>390</v>
      </c>
      <c r="D1344" s="31" t="s">
        <v>1427</v>
      </c>
      <c r="E1344" s="31" t="s">
        <v>5354</v>
      </c>
      <c r="F1344" s="31">
        <v>773</v>
      </c>
      <c r="G1344" s="31">
        <v>86</v>
      </c>
      <c r="H1344" s="31">
        <v>10</v>
      </c>
      <c r="I1344" s="31">
        <v>30</v>
      </c>
      <c r="J1344" s="31" t="s">
        <v>5355</v>
      </c>
      <c r="K1344" s="31" t="s">
        <v>123</v>
      </c>
      <c r="L1344" s="31" t="s">
        <v>56</v>
      </c>
      <c r="M1344" s="31">
        <v>160</v>
      </c>
      <c r="N1344" s="31">
        <v>2017</v>
      </c>
      <c r="O1344" s="31">
        <v>76</v>
      </c>
      <c r="P1344" s="31"/>
      <c r="Q1344" s="31"/>
      <c r="R1344" s="33"/>
      <c r="S1344" s="34" t="str">
        <f>HYPERLINK("http://www.cnpol.ru/covers/17832.jpg","фото на сайте")</f>
        <v>фото на сайте</v>
      </c>
    </row>
    <row r="1345" spans="1:19" ht="50.1" customHeight="1">
      <c r="A1345" s="31"/>
      <c r="B1345" s="32" t="s">
        <v>5356</v>
      </c>
      <c r="C1345" s="31" t="s">
        <v>418</v>
      </c>
      <c r="D1345" s="31" t="s">
        <v>2501</v>
      </c>
      <c r="E1345" s="31" t="s">
        <v>5357</v>
      </c>
      <c r="F1345" s="31">
        <v>28</v>
      </c>
      <c r="G1345" s="31">
        <v>153</v>
      </c>
      <c r="H1345" s="31">
        <v>10</v>
      </c>
      <c r="I1345" s="31">
        <v>32</v>
      </c>
      <c r="J1345" s="31" t="s">
        <v>5358</v>
      </c>
      <c r="K1345" s="31" t="s">
        <v>123</v>
      </c>
      <c r="L1345" s="31" t="s">
        <v>56</v>
      </c>
      <c r="M1345" s="31">
        <v>254</v>
      </c>
      <c r="N1345" s="31">
        <v>2013</v>
      </c>
      <c r="O1345" s="31">
        <v>118</v>
      </c>
      <c r="P1345" s="31"/>
      <c r="Q1345" s="31"/>
      <c r="R1345" s="33"/>
      <c r="S1345" s="34" t="str">
        <f>HYPERLINK("http://www.cnpol.ru/covers/14482.jpg","фото на сайте")</f>
        <v>фото на сайте</v>
      </c>
    </row>
    <row r="1346" spans="1:19" ht="50.1" customHeight="1">
      <c r="A1346" s="31"/>
      <c r="B1346" s="32" t="s">
        <v>5359</v>
      </c>
      <c r="C1346" s="31" t="s">
        <v>520</v>
      </c>
      <c r="D1346" s="31" t="s">
        <v>5147</v>
      </c>
      <c r="E1346" s="31" t="s">
        <v>5360</v>
      </c>
      <c r="F1346" s="31">
        <v>3</v>
      </c>
      <c r="G1346" s="31">
        <v>117</v>
      </c>
      <c r="H1346" s="31">
        <v>10</v>
      </c>
      <c r="I1346" s="31">
        <v>32</v>
      </c>
      <c r="J1346" s="31" t="s">
        <v>5361</v>
      </c>
      <c r="K1346" s="31" t="s">
        <v>123</v>
      </c>
      <c r="L1346" s="31" t="s">
        <v>56</v>
      </c>
      <c r="M1346" s="31">
        <v>189</v>
      </c>
      <c r="N1346" s="31">
        <v>2015</v>
      </c>
      <c r="O1346" s="31">
        <v>90</v>
      </c>
      <c r="P1346" s="31"/>
      <c r="Q1346" s="31"/>
      <c r="R1346" s="33"/>
      <c r="S1346" s="34" t="str">
        <f>HYPERLINK("http://www.cnpol.ru/covers/16057.jpg","фото на сайте")</f>
        <v>фото на сайте</v>
      </c>
    </row>
    <row r="1347" spans="1:19" ht="50.1" customHeight="1">
      <c r="A1347" s="31"/>
      <c r="B1347" s="32" t="s">
        <v>5362</v>
      </c>
      <c r="C1347" s="31" t="s">
        <v>546</v>
      </c>
      <c r="D1347" s="31" t="s">
        <v>5363</v>
      </c>
      <c r="E1347" s="31" t="s">
        <v>5364</v>
      </c>
      <c r="F1347" s="31">
        <v>221</v>
      </c>
      <c r="G1347" s="31">
        <v>93</v>
      </c>
      <c r="H1347" s="31">
        <v>10</v>
      </c>
      <c r="I1347" s="31">
        <v>30</v>
      </c>
      <c r="J1347" s="31" t="s">
        <v>5365</v>
      </c>
      <c r="K1347" s="31" t="s">
        <v>123</v>
      </c>
      <c r="L1347" s="31" t="s">
        <v>56</v>
      </c>
      <c r="M1347" s="31">
        <v>160</v>
      </c>
      <c r="N1347" s="31">
        <v>2017</v>
      </c>
      <c r="O1347" s="31">
        <v>76</v>
      </c>
      <c r="P1347" s="31"/>
      <c r="Q1347" s="31"/>
      <c r="R1347" s="33"/>
      <c r="S1347" s="34" t="str">
        <f>HYPERLINK("http://www.cnpol.ru/covers/17494.jpg","фото на сайте")</f>
        <v>фото на сайте</v>
      </c>
    </row>
    <row r="1348" spans="1:19" ht="50.1" customHeight="1">
      <c r="A1348" s="31"/>
      <c r="B1348" s="32" t="s">
        <v>5366</v>
      </c>
      <c r="C1348" s="31" t="s">
        <v>546</v>
      </c>
      <c r="D1348" s="31" t="s">
        <v>2674</v>
      </c>
      <c r="E1348" s="31" t="s">
        <v>5367</v>
      </c>
      <c r="F1348" s="31">
        <v>201</v>
      </c>
      <c r="G1348" s="31">
        <v>93</v>
      </c>
      <c r="H1348" s="31">
        <v>10</v>
      </c>
      <c r="I1348" s="31">
        <v>30</v>
      </c>
      <c r="J1348" s="31" t="s">
        <v>5368</v>
      </c>
      <c r="K1348" s="31" t="s">
        <v>123</v>
      </c>
      <c r="L1348" s="31" t="s">
        <v>56</v>
      </c>
      <c r="M1348" s="31">
        <v>160</v>
      </c>
      <c r="N1348" s="31">
        <v>2016</v>
      </c>
      <c r="O1348" s="31">
        <v>76</v>
      </c>
      <c r="P1348" s="31"/>
      <c r="Q1348" s="31"/>
      <c r="R1348" s="33"/>
      <c r="S1348" s="34" t="str">
        <f>HYPERLINK("http://www.cnpol.ru/covers/17235.jpg","фото на сайте")</f>
        <v>фото на сайте</v>
      </c>
    </row>
    <row r="1349" spans="1:19" ht="50.1" customHeight="1">
      <c r="A1349" s="31"/>
      <c r="B1349" s="32" t="s">
        <v>5369</v>
      </c>
      <c r="C1349" s="31" t="s">
        <v>413</v>
      </c>
      <c r="D1349" s="31" t="s">
        <v>1435</v>
      </c>
      <c r="E1349" s="31" t="s">
        <v>5370</v>
      </c>
      <c r="F1349" s="31">
        <v>57</v>
      </c>
      <c r="G1349" s="31">
        <v>117</v>
      </c>
      <c r="H1349" s="31">
        <v>10</v>
      </c>
      <c r="I1349" s="31">
        <v>36</v>
      </c>
      <c r="J1349" s="31" t="s">
        <v>5371</v>
      </c>
      <c r="K1349" s="31" t="s">
        <v>123</v>
      </c>
      <c r="L1349" s="31" t="s">
        <v>56</v>
      </c>
      <c r="M1349" s="31">
        <v>190</v>
      </c>
      <c r="N1349" s="31">
        <v>2015</v>
      </c>
      <c r="O1349" s="31">
        <v>90</v>
      </c>
      <c r="P1349" s="31"/>
      <c r="Q1349" s="31"/>
      <c r="R1349" s="33"/>
      <c r="S1349" s="34" t="str">
        <f>HYPERLINK("http://www.cnpol.ru/covers/15997.jpg","фото на сайте")</f>
        <v>фото на сайте</v>
      </c>
    </row>
    <row r="1350" spans="1:19" ht="50.1" customHeight="1">
      <c r="A1350" s="31"/>
      <c r="B1350" s="32" t="s">
        <v>5372</v>
      </c>
      <c r="C1350" s="31" t="s">
        <v>390</v>
      </c>
      <c r="D1350" s="31" t="s">
        <v>3610</v>
      </c>
      <c r="E1350" s="31" t="s">
        <v>5373</v>
      </c>
      <c r="F1350" s="31">
        <v>641</v>
      </c>
      <c r="G1350" s="31">
        <v>86</v>
      </c>
      <c r="H1350" s="31">
        <v>10</v>
      </c>
      <c r="I1350" s="31">
        <v>30</v>
      </c>
      <c r="J1350" s="31" t="s">
        <v>5374</v>
      </c>
      <c r="K1350" s="31" t="s">
        <v>123</v>
      </c>
      <c r="L1350" s="31" t="s">
        <v>56</v>
      </c>
      <c r="M1350" s="31">
        <v>160</v>
      </c>
      <c r="N1350" s="31">
        <v>2016</v>
      </c>
      <c r="O1350" s="31">
        <v>76</v>
      </c>
      <c r="P1350" s="31"/>
      <c r="Q1350" s="31"/>
      <c r="R1350" s="33"/>
      <c r="S1350" s="34" t="str">
        <f>HYPERLINK("http://www.cnpol.ru/covers/16934.jpg","фото на сайте")</f>
        <v>фото на сайте</v>
      </c>
    </row>
    <row r="1351" spans="1:19" ht="50.1" customHeight="1">
      <c r="A1351" s="31"/>
      <c r="B1351" s="32" t="s">
        <v>5375</v>
      </c>
      <c r="C1351" s="31" t="s">
        <v>520</v>
      </c>
      <c r="D1351" s="31" t="s">
        <v>5181</v>
      </c>
      <c r="E1351" s="31" t="s">
        <v>5376</v>
      </c>
      <c r="F1351" s="31">
        <v>40</v>
      </c>
      <c r="G1351" s="31">
        <v>117</v>
      </c>
      <c r="H1351" s="31">
        <v>10</v>
      </c>
      <c r="I1351" s="31">
        <v>36</v>
      </c>
      <c r="J1351" s="31" t="s">
        <v>5377</v>
      </c>
      <c r="K1351" s="31" t="s">
        <v>123</v>
      </c>
      <c r="L1351" s="31" t="s">
        <v>56</v>
      </c>
      <c r="M1351" s="31">
        <v>192</v>
      </c>
      <c r="N1351" s="31">
        <v>2016</v>
      </c>
      <c r="O1351" s="31">
        <v>90</v>
      </c>
      <c r="P1351" s="31"/>
      <c r="Q1351" s="31"/>
      <c r="R1351" s="33"/>
      <c r="S1351" s="34" t="str">
        <f>HYPERLINK("http://www.cnpol.ru/covers/17188.jpg","фото на сайте")</f>
        <v>фото на сайте</v>
      </c>
    </row>
    <row r="1352" spans="1:19" ht="50.1" customHeight="1">
      <c r="A1352" s="31"/>
      <c r="B1352" s="32" t="s">
        <v>5378</v>
      </c>
      <c r="C1352" s="31" t="s">
        <v>418</v>
      </c>
      <c r="D1352" s="31" t="s">
        <v>2501</v>
      </c>
      <c r="E1352" s="31" t="s">
        <v>5379</v>
      </c>
      <c r="F1352" s="31">
        <v>42</v>
      </c>
      <c r="G1352" s="31">
        <v>153</v>
      </c>
      <c r="H1352" s="31">
        <v>10</v>
      </c>
      <c r="I1352" s="31">
        <v>30</v>
      </c>
      <c r="J1352" s="31" t="s">
        <v>5380</v>
      </c>
      <c r="K1352" s="31" t="s">
        <v>123</v>
      </c>
      <c r="L1352" s="31" t="s">
        <v>56</v>
      </c>
      <c r="M1352" s="31">
        <v>286</v>
      </c>
      <c r="N1352" s="31">
        <v>2014</v>
      </c>
      <c r="O1352" s="31">
        <v>130</v>
      </c>
      <c r="P1352" s="31"/>
      <c r="Q1352" s="31"/>
      <c r="R1352" s="33"/>
      <c r="S1352" s="34" t="str">
        <f>HYPERLINK("http://www.cnpol.ru/covers/15036.jpg","фото на сайте")</f>
        <v>фото на сайте</v>
      </c>
    </row>
    <row r="1353" spans="1:19" ht="50.1" customHeight="1">
      <c r="A1353" s="31"/>
      <c r="B1353" s="32" t="s">
        <v>5381</v>
      </c>
      <c r="C1353" s="31" t="s">
        <v>171</v>
      </c>
      <c r="D1353" s="31" t="s">
        <v>172</v>
      </c>
      <c r="E1353" s="31" t="s">
        <v>5382</v>
      </c>
      <c r="F1353" s="31" t="s">
        <v>31</v>
      </c>
      <c r="G1353" s="35">
        <v>1588</v>
      </c>
      <c r="H1353" s="31">
        <v>10</v>
      </c>
      <c r="I1353" s="31">
        <v>5</v>
      </c>
      <c r="J1353" s="31" t="s">
        <v>5383</v>
      </c>
      <c r="K1353" s="31" t="s">
        <v>41</v>
      </c>
      <c r="L1353" s="31" t="s">
        <v>34</v>
      </c>
      <c r="M1353" s="31">
        <v>639</v>
      </c>
      <c r="N1353" s="31">
        <v>2023</v>
      </c>
      <c r="O1353" s="31">
        <v>676</v>
      </c>
      <c r="P1353" s="31"/>
      <c r="Q1353" s="31"/>
      <c r="R1353" s="33" t="s">
        <v>5384</v>
      </c>
      <c r="S1353" s="34" t="str">
        <f>HYPERLINK("http://www.cnpol.ru/covers/20647.jpg","фото на сайте")</f>
        <v>фото на сайте</v>
      </c>
    </row>
    <row r="1354" spans="1:19" ht="50.1" customHeight="1">
      <c r="A1354" s="31" t="s">
        <v>35</v>
      </c>
      <c r="B1354" s="32" t="s">
        <v>5385</v>
      </c>
      <c r="C1354" s="31" t="s">
        <v>5168</v>
      </c>
      <c r="D1354" s="31" t="s">
        <v>5169</v>
      </c>
      <c r="E1354" s="31" t="s">
        <v>5386</v>
      </c>
      <c r="F1354" s="31" t="s">
        <v>31</v>
      </c>
      <c r="G1354" s="31">
        <v>258</v>
      </c>
      <c r="H1354" s="31">
        <v>10</v>
      </c>
      <c r="I1354" s="31">
        <v>12</v>
      </c>
      <c r="J1354" s="31" t="s">
        <v>5387</v>
      </c>
      <c r="K1354" s="31" t="s">
        <v>130</v>
      </c>
      <c r="L1354" s="31" t="s">
        <v>56</v>
      </c>
      <c r="M1354" s="31">
        <v>192</v>
      </c>
      <c r="N1354" s="31">
        <v>2025</v>
      </c>
      <c r="O1354" s="31">
        <v>118</v>
      </c>
      <c r="P1354" s="31"/>
      <c r="Q1354" s="31"/>
      <c r="R1354" s="33" t="s">
        <v>5388</v>
      </c>
      <c r="S1354" s="34" t="str">
        <f>HYPERLINK("http://www.cnpol.ru/covers/21833.jpg","фото на сайте")</f>
        <v>фото на сайте</v>
      </c>
    </row>
    <row r="1355" spans="1:19" ht="50.1" customHeight="1">
      <c r="A1355" s="31"/>
      <c r="B1355" s="32" t="s">
        <v>5389</v>
      </c>
      <c r="C1355" s="31" t="s">
        <v>3497</v>
      </c>
      <c r="D1355" s="31" t="s">
        <v>3498</v>
      </c>
      <c r="E1355" s="31" t="s">
        <v>5390</v>
      </c>
      <c r="F1355" s="31" t="s">
        <v>31</v>
      </c>
      <c r="G1355" s="31">
        <v>539</v>
      </c>
      <c r="H1355" s="31">
        <v>10</v>
      </c>
      <c r="I1355" s="31">
        <v>12</v>
      </c>
      <c r="J1355" s="31" t="s">
        <v>5391</v>
      </c>
      <c r="K1355" s="31" t="s">
        <v>1938</v>
      </c>
      <c r="L1355" s="31" t="s">
        <v>34</v>
      </c>
      <c r="M1355" s="31">
        <v>320</v>
      </c>
      <c r="N1355" s="31">
        <v>2017</v>
      </c>
      <c r="O1355" s="31">
        <v>303</v>
      </c>
      <c r="P1355" s="31"/>
      <c r="Q1355" s="31"/>
      <c r="R1355" s="33"/>
      <c r="S1355" s="34" t="str">
        <f>HYPERLINK("http://www.cnpol.ru/covers/17827.jpg","фото на сайте")</f>
        <v>фото на сайте</v>
      </c>
    </row>
    <row r="1356" spans="1:19" ht="50.1" customHeight="1">
      <c r="A1356" s="31"/>
      <c r="B1356" s="32" t="s">
        <v>5392</v>
      </c>
      <c r="C1356" s="31" t="s">
        <v>5393</v>
      </c>
      <c r="D1356" s="31" t="s">
        <v>5394</v>
      </c>
      <c r="E1356" s="31" t="s">
        <v>5395</v>
      </c>
      <c r="F1356" s="31" t="s">
        <v>31</v>
      </c>
      <c r="G1356" s="31">
        <v>370</v>
      </c>
      <c r="H1356" s="31">
        <v>20</v>
      </c>
      <c r="I1356" s="31">
        <v>20</v>
      </c>
      <c r="J1356" s="31" t="s">
        <v>5396</v>
      </c>
      <c r="K1356" s="31" t="s">
        <v>33</v>
      </c>
      <c r="L1356" s="31" t="s">
        <v>34</v>
      </c>
      <c r="M1356" s="31">
        <v>192</v>
      </c>
      <c r="N1356" s="31">
        <v>2008</v>
      </c>
      <c r="O1356" s="31">
        <v>226</v>
      </c>
      <c r="P1356" s="31"/>
      <c r="Q1356" s="31"/>
      <c r="R1356" s="33"/>
      <c r="S1356" s="34" t="str">
        <f>HYPERLINK("http://www.cnpol.ru/covers/10232.jpg","фото на сайте")</f>
        <v>фото на сайте</v>
      </c>
    </row>
    <row r="1357" spans="1:19" ht="50.1" customHeight="1">
      <c r="A1357" s="31"/>
      <c r="B1357" s="32" t="s">
        <v>5397</v>
      </c>
      <c r="C1357" s="31" t="s">
        <v>385</v>
      </c>
      <c r="D1357" s="31" t="s">
        <v>386</v>
      </c>
      <c r="E1357" s="31" t="s">
        <v>5398</v>
      </c>
      <c r="F1357" s="31" t="s">
        <v>31</v>
      </c>
      <c r="G1357" s="31">
        <v>162</v>
      </c>
      <c r="H1357" s="31">
        <v>10</v>
      </c>
      <c r="I1357" s="31">
        <v>32</v>
      </c>
      <c r="J1357" s="31" t="s">
        <v>5399</v>
      </c>
      <c r="K1357" s="31" t="s">
        <v>55</v>
      </c>
      <c r="L1357" s="31" t="s">
        <v>56</v>
      </c>
      <c r="M1357" s="31">
        <v>256</v>
      </c>
      <c r="N1357" s="31">
        <v>2016</v>
      </c>
      <c r="O1357" s="31">
        <v>110</v>
      </c>
      <c r="P1357" s="31"/>
      <c r="Q1357" s="31"/>
      <c r="R1357" s="33"/>
      <c r="S1357" s="34" t="str">
        <f>HYPERLINK("http://www.cnpol.ru/covers/0132.jpg","фото на сайте")</f>
        <v>фото на сайте</v>
      </c>
    </row>
    <row r="1358" spans="1:19" ht="50.1" customHeight="1">
      <c r="A1358" s="31"/>
      <c r="B1358" s="32" t="s">
        <v>5400</v>
      </c>
      <c r="C1358" s="31" t="s">
        <v>297</v>
      </c>
      <c r="D1358" s="31" t="s">
        <v>5401</v>
      </c>
      <c r="E1358" s="31" t="s">
        <v>5402</v>
      </c>
      <c r="F1358" s="31" t="s">
        <v>31</v>
      </c>
      <c r="G1358" s="31">
        <v>300</v>
      </c>
      <c r="H1358" s="31">
        <v>10</v>
      </c>
      <c r="I1358" s="31">
        <v>10</v>
      </c>
      <c r="J1358" s="31" t="s">
        <v>5403</v>
      </c>
      <c r="K1358" s="31" t="s">
        <v>300</v>
      </c>
      <c r="L1358" s="31" t="s">
        <v>56</v>
      </c>
      <c r="M1358" s="31">
        <v>415</v>
      </c>
      <c r="N1358" s="31">
        <v>2023</v>
      </c>
      <c r="O1358" s="31">
        <v>200</v>
      </c>
      <c r="P1358" s="31"/>
      <c r="Q1358" s="31"/>
      <c r="R1358" s="33" t="s">
        <v>5404</v>
      </c>
      <c r="S1358" s="34" t="str">
        <f>HYPERLINK("http://www.cnpol.ru/covers/20498.jpg","фото на сайте")</f>
        <v>фото на сайте</v>
      </c>
    </row>
    <row r="1359" spans="1:19" ht="50.1" customHeight="1">
      <c r="A1359" s="31"/>
      <c r="B1359" s="32" t="s">
        <v>5405</v>
      </c>
      <c r="C1359" s="31" t="s">
        <v>143</v>
      </c>
      <c r="D1359" s="31" t="s">
        <v>5406</v>
      </c>
      <c r="E1359" s="31" t="s">
        <v>5407</v>
      </c>
      <c r="F1359" s="31" t="s">
        <v>31</v>
      </c>
      <c r="G1359" s="31">
        <v>486</v>
      </c>
      <c r="H1359" s="31">
        <v>10</v>
      </c>
      <c r="I1359" s="31">
        <v>16</v>
      </c>
      <c r="J1359" s="31" t="s">
        <v>5408</v>
      </c>
      <c r="K1359" s="31" t="s">
        <v>158</v>
      </c>
      <c r="L1359" s="31" t="s">
        <v>34</v>
      </c>
      <c r="M1359" s="31">
        <v>288</v>
      </c>
      <c r="N1359" s="31">
        <v>2018</v>
      </c>
      <c r="O1359" s="31">
        <v>264</v>
      </c>
      <c r="P1359" s="31"/>
      <c r="Q1359" s="31"/>
      <c r="R1359" s="33"/>
      <c r="S1359" s="34" t="str">
        <f>HYPERLINK("http://www.cnpol.ru/covers/18356.jpg","фото на сайте")</f>
        <v>фото на сайте</v>
      </c>
    </row>
    <row r="1360" spans="1:19" ht="50.1" customHeight="1">
      <c r="A1360" s="31"/>
      <c r="B1360" s="32" t="s">
        <v>5409</v>
      </c>
      <c r="C1360" s="31" t="s">
        <v>546</v>
      </c>
      <c r="D1360" s="31" t="s">
        <v>1698</v>
      </c>
      <c r="E1360" s="31" t="s">
        <v>5410</v>
      </c>
      <c r="F1360" s="31">
        <v>413</v>
      </c>
      <c r="G1360" s="31">
        <v>93</v>
      </c>
      <c r="H1360" s="31">
        <v>10</v>
      </c>
      <c r="I1360" s="31">
        <v>30</v>
      </c>
      <c r="J1360" s="31" t="s">
        <v>5411</v>
      </c>
      <c r="K1360" s="31" t="s">
        <v>123</v>
      </c>
      <c r="L1360" s="31" t="s">
        <v>56</v>
      </c>
      <c r="M1360" s="31">
        <v>159</v>
      </c>
      <c r="N1360" s="31">
        <v>2022</v>
      </c>
      <c r="O1360" s="31">
        <v>76</v>
      </c>
      <c r="P1360" s="31"/>
      <c r="Q1360" s="31"/>
      <c r="R1360" s="33" t="s">
        <v>5412</v>
      </c>
      <c r="S1360" s="34" t="str">
        <f>HYPERLINK("http://www.cnpol.ru/covers/20417.jpg","фото на сайте")</f>
        <v>фото на сайте</v>
      </c>
    </row>
    <row r="1361" spans="1:19" ht="50.1" customHeight="1">
      <c r="A1361" s="31" t="s">
        <v>35</v>
      </c>
      <c r="B1361" s="32" t="s">
        <v>5413</v>
      </c>
      <c r="C1361" s="31" t="s">
        <v>28</v>
      </c>
      <c r="D1361" s="31" t="s">
        <v>5414</v>
      </c>
      <c r="E1361" s="31" t="s">
        <v>5415</v>
      </c>
      <c r="F1361" s="31" t="s">
        <v>31</v>
      </c>
      <c r="G1361" s="31">
        <v>851</v>
      </c>
      <c r="H1361" s="31">
        <v>10</v>
      </c>
      <c r="I1361" s="31">
        <v>6</v>
      </c>
      <c r="J1361" s="31" t="s">
        <v>5416</v>
      </c>
      <c r="K1361" s="31" t="s">
        <v>33</v>
      </c>
      <c r="L1361" s="31" t="s">
        <v>34</v>
      </c>
      <c r="M1361" s="31">
        <v>287</v>
      </c>
      <c r="N1361" s="31">
        <v>2025</v>
      </c>
      <c r="O1361" s="31" t="s">
        <v>220</v>
      </c>
      <c r="P1361" s="31"/>
      <c r="Q1361" s="31"/>
      <c r="R1361" s="33" t="s">
        <v>5417</v>
      </c>
      <c r="S1361" s="34" t="str">
        <f>HYPERLINK("http://www.cnpol.ru/covers/21819.jpg","фото на сайте")</f>
        <v>фото на сайте</v>
      </c>
    </row>
    <row r="1362" spans="1:19" ht="50.1" customHeight="1">
      <c r="A1362" s="31"/>
      <c r="B1362" s="32" t="s">
        <v>5418</v>
      </c>
      <c r="C1362" s="31" t="s">
        <v>5419</v>
      </c>
      <c r="D1362" s="31" t="s">
        <v>5420</v>
      </c>
      <c r="E1362" s="31" t="s">
        <v>5421</v>
      </c>
      <c r="F1362" s="31" t="s">
        <v>31</v>
      </c>
      <c r="G1362" s="31">
        <v>290</v>
      </c>
      <c r="H1362" s="31">
        <v>10</v>
      </c>
      <c r="I1362" s="31">
        <v>12</v>
      </c>
      <c r="J1362" s="31" t="s">
        <v>5422</v>
      </c>
      <c r="K1362" s="31" t="s">
        <v>130</v>
      </c>
      <c r="L1362" s="31" t="s">
        <v>56</v>
      </c>
      <c r="M1362" s="31">
        <v>415</v>
      </c>
      <c r="N1362" s="31">
        <v>2022</v>
      </c>
      <c r="O1362" s="31">
        <v>250</v>
      </c>
      <c r="P1362" s="31"/>
      <c r="Q1362" s="31"/>
      <c r="R1362" s="33"/>
      <c r="S1362" s="34" t="str">
        <f>HYPERLINK("http://www.cnpol.ru/covers/20008.jpg","фото на сайте")</f>
        <v>фото на сайте</v>
      </c>
    </row>
    <row r="1363" spans="1:19" ht="50.1" customHeight="1">
      <c r="A1363" s="31"/>
      <c r="B1363" s="32" t="s">
        <v>5423</v>
      </c>
      <c r="C1363" s="31" t="s">
        <v>413</v>
      </c>
      <c r="D1363" s="31" t="s">
        <v>3610</v>
      </c>
      <c r="E1363" s="31" t="s">
        <v>5424</v>
      </c>
      <c r="F1363" s="31">
        <v>152</v>
      </c>
      <c r="G1363" s="31">
        <v>117</v>
      </c>
      <c r="H1363" s="31">
        <v>10</v>
      </c>
      <c r="I1363" s="31">
        <v>36</v>
      </c>
      <c r="J1363" s="31" t="s">
        <v>5425</v>
      </c>
      <c r="K1363" s="31" t="s">
        <v>123</v>
      </c>
      <c r="L1363" s="31" t="s">
        <v>56</v>
      </c>
      <c r="M1363" s="31">
        <v>192</v>
      </c>
      <c r="N1363" s="31">
        <v>2018</v>
      </c>
      <c r="O1363" s="31">
        <v>90</v>
      </c>
      <c r="P1363" s="31"/>
      <c r="Q1363" s="31"/>
      <c r="R1363" s="33"/>
      <c r="S1363" s="34" t="str">
        <f>HYPERLINK("http://www.cnpol.ru/covers/17961.jpg","фото на сайте")</f>
        <v>фото на сайте</v>
      </c>
    </row>
    <row r="1364" spans="1:19" ht="50.1" customHeight="1">
      <c r="A1364" s="31"/>
      <c r="B1364" s="32" t="s">
        <v>5426</v>
      </c>
      <c r="C1364" s="31" t="s">
        <v>1920</v>
      </c>
      <c r="D1364" s="31" t="s">
        <v>1921</v>
      </c>
      <c r="E1364" s="31" t="s">
        <v>5427</v>
      </c>
      <c r="F1364" s="31" t="s">
        <v>31</v>
      </c>
      <c r="G1364" s="31">
        <v>258</v>
      </c>
      <c r="H1364" s="31">
        <v>10</v>
      </c>
      <c r="I1364" s="31">
        <v>20</v>
      </c>
      <c r="J1364" s="31" t="s">
        <v>5428</v>
      </c>
      <c r="K1364" s="31" t="s">
        <v>130</v>
      </c>
      <c r="L1364" s="31" t="s">
        <v>56</v>
      </c>
      <c r="M1364" s="31">
        <v>224</v>
      </c>
      <c r="N1364" s="31">
        <v>2022</v>
      </c>
      <c r="O1364" s="31">
        <v>140</v>
      </c>
      <c r="P1364" s="31"/>
      <c r="Q1364" s="31"/>
      <c r="R1364" s="33"/>
      <c r="S1364" s="34" t="str">
        <f>HYPERLINK("http://www.cnpol.ru/covers/20262.jpg","фото на сайте")</f>
        <v>фото на сайте</v>
      </c>
    </row>
    <row r="1365" spans="1:19" ht="50.1" customHeight="1">
      <c r="A1365" s="31"/>
      <c r="B1365" s="32" t="s">
        <v>5429</v>
      </c>
      <c r="C1365" s="31" t="s">
        <v>5430</v>
      </c>
      <c r="D1365" s="31" t="s">
        <v>1921</v>
      </c>
      <c r="E1365" s="31" t="s">
        <v>5427</v>
      </c>
      <c r="F1365" s="31" t="s">
        <v>31</v>
      </c>
      <c r="G1365" s="31">
        <v>539</v>
      </c>
      <c r="H1365" s="31">
        <v>10</v>
      </c>
      <c r="I1365" s="31">
        <v>24</v>
      </c>
      <c r="J1365" s="31" t="s">
        <v>5431</v>
      </c>
      <c r="K1365" s="31" t="s">
        <v>33</v>
      </c>
      <c r="L1365" s="31" t="s">
        <v>34</v>
      </c>
      <c r="M1365" s="31">
        <v>224</v>
      </c>
      <c r="N1365" s="31">
        <v>2011</v>
      </c>
      <c r="O1365" s="31">
        <v>218</v>
      </c>
      <c r="P1365" s="31"/>
      <c r="Q1365" s="31"/>
      <c r="R1365" s="33"/>
      <c r="S1365" s="34" t="str">
        <f>HYPERLINK("http://www.cnpol.ru/covers/12548.jpg","фото на сайте")</f>
        <v>фото на сайте</v>
      </c>
    </row>
    <row r="1366" spans="1:19" ht="50.1" customHeight="1">
      <c r="A1366" s="31"/>
      <c r="B1366" s="32" t="s">
        <v>5432</v>
      </c>
      <c r="C1366" s="31" t="s">
        <v>1920</v>
      </c>
      <c r="D1366" s="31" t="s">
        <v>1921</v>
      </c>
      <c r="E1366" s="31" t="s">
        <v>5433</v>
      </c>
      <c r="F1366" s="31" t="s">
        <v>31</v>
      </c>
      <c r="G1366" s="31">
        <v>258</v>
      </c>
      <c r="H1366" s="31">
        <v>10</v>
      </c>
      <c r="I1366" s="31">
        <v>24</v>
      </c>
      <c r="J1366" s="31" t="s">
        <v>5434</v>
      </c>
      <c r="K1366" s="31" t="s">
        <v>130</v>
      </c>
      <c r="L1366" s="31" t="s">
        <v>56</v>
      </c>
      <c r="M1366" s="31">
        <v>224</v>
      </c>
      <c r="N1366" s="31">
        <v>2011</v>
      </c>
      <c r="O1366" s="31">
        <v>138</v>
      </c>
      <c r="P1366" s="31"/>
      <c r="Q1366" s="31"/>
      <c r="R1366" s="33"/>
      <c r="S1366" s="34" t="str">
        <f>HYPERLINK("http://www.cnpol.ru/covers/12519.jpg","фото на сайте")</f>
        <v>фото на сайте</v>
      </c>
    </row>
    <row r="1367" spans="1:19" ht="50.1" customHeight="1">
      <c r="A1367" s="31"/>
      <c r="B1367" s="32" t="s">
        <v>5435</v>
      </c>
      <c r="C1367" s="31" t="s">
        <v>1323</v>
      </c>
      <c r="D1367" s="31" t="s">
        <v>5436</v>
      </c>
      <c r="E1367" s="31" t="s">
        <v>5437</v>
      </c>
      <c r="F1367" s="31" t="s">
        <v>31</v>
      </c>
      <c r="G1367" s="31">
        <v>169</v>
      </c>
      <c r="H1367" s="31">
        <v>10</v>
      </c>
      <c r="I1367" s="31">
        <v>20</v>
      </c>
      <c r="J1367" s="31" t="s">
        <v>5438</v>
      </c>
      <c r="K1367" s="31" t="s">
        <v>55</v>
      </c>
      <c r="L1367" s="31" t="s">
        <v>56</v>
      </c>
      <c r="M1367" s="31">
        <v>286</v>
      </c>
      <c r="N1367" s="31">
        <v>2023</v>
      </c>
      <c r="O1367" s="31">
        <v>120</v>
      </c>
      <c r="P1367" s="31"/>
      <c r="Q1367" s="31"/>
      <c r="R1367" s="33" t="s">
        <v>5439</v>
      </c>
      <c r="S1367" s="34" t="str">
        <f>HYPERLINK("http://www.cnpol.ru/covers/20693.jpg","фото на сайте")</f>
        <v>фото на сайте</v>
      </c>
    </row>
    <row r="1368" spans="1:19" ht="50.1" customHeight="1">
      <c r="A1368" s="31"/>
      <c r="B1368" s="32" t="s">
        <v>5440</v>
      </c>
      <c r="C1368" s="31" t="s">
        <v>5441</v>
      </c>
      <c r="D1368" s="31" t="s">
        <v>5442</v>
      </c>
      <c r="E1368" s="31" t="s">
        <v>5443</v>
      </c>
      <c r="F1368" s="31" t="s">
        <v>31</v>
      </c>
      <c r="G1368" s="31">
        <v>243</v>
      </c>
      <c r="H1368" s="31">
        <v>10</v>
      </c>
      <c r="I1368" s="31">
        <v>20</v>
      </c>
      <c r="J1368" s="31" t="s">
        <v>5444</v>
      </c>
      <c r="K1368" s="31" t="s">
        <v>130</v>
      </c>
      <c r="L1368" s="31" t="s">
        <v>56</v>
      </c>
      <c r="M1368" s="31">
        <v>334</v>
      </c>
      <c r="N1368" s="31">
        <v>2010</v>
      </c>
      <c r="O1368" s="31">
        <v>250</v>
      </c>
      <c r="P1368" s="31"/>
      <c r="Q1368" s="31"/>
      <c r="R1368" s="33"/>
      <c r="S1368" s="34" t="str">
        <f>HYPERLINK("http://www.cnpol.ru/covers/12147.jpg","фото на сайте")</f>
        <v>фото на сайте</v>
      </c>
    </row>
    <row r="1369" spans="1:19" ht="50.1" customHeight="1">
      <c r="A1369" s="31"/>
      <c r="B1369" s="32" t="s">
        <v>5445</v>
      </c>
      <c r="C1369" s="31" t="s">
        <v>400</v>
      </c>
      <c r="D1369" s="31" t="s">
        <v>5446</v>
      </c>
      <c r="E1369" s="31" t="s">
        <v>5447</v>
      </c>
      <c r="F1369" s="31" t="s">
        <v>31</v>
      </c>
      <c r="G1369" s="31">
        <v>503</v>
      </c>
      <c r="H1369" s="31">
        <v>10</v>
      </c>
      <c r="I1369" s="31">
        <v>14</v>
      </c>
      <c r="J1369" s="31" t="s">
        <v>5448</v>
      </c>
      <c r="K1369" s="31" t="s">
        <v>33</v>
      </c>
      <c r="L1369" s="31" t="s">
        <v>34</v>
      </c>
      <c r="M1369" s="31">
        <v>288</v>
      </c>
      <c r="N1369" s="31">
        <v>2020</v>
      </c>
      <c r="O1369" s="31">
        <v>238</v>
      </c>
      <c r="P1369" s="31"/>
      <c r="Q1369" s="31"/>
      <c r="R1369" s="33"/>
      <c r="S1369" s="34" t="str">
        <f>HYPERLINK("http://www.cnpol.ru/covers/19055.jpg","фото на сайте")</f>
        <v>фото на сайте</v>
      </c>
    </row>
    <row r="1370" spans="1:19" ht="50.1" customHeight="1">
      <c r="A1370" s="31"/>
      <c r="B1370" s="32" t="s">
        <v>5449</v>
      </c>
      <c r="C1370" s="31" t="s">
        <v>413</v>
      </c>
      <c r="D1370" s="31" t="s">
        <v>3798</v>
      </c>
      <c r="E1370" s="31" t="s">
        <v>5450</v>
      </c>
      <c r="F1370" s="31">
        <v>114</v>
      </c>
      <c r="G1370" s="31">
        <v>117</v>
      </c>
      <c r="H1370" s="31">
        <v>10</v>
      </c>
      <c r="I1370" s="31">
        <v>36</v>
      </c>
      <c r="J1370" s="31" t="s">
        <v>5451</v>
      </c>
      <c r="K1370" s="31" t="s">
        <v>123</v>
      </c>
      <c r="L1370" s="31" t="s">
        <v>56</v>
      </c>
      <c r="M1370" s="31">
        <v>192</v>
      </c>
      <c r="N1370" s="31">
        <v>2016</v>
      </c>
      <c r="O1370" s="31">
        <v>90</v>
      </c>
      <c r="P1370" s="31"/>
      <c r="Q1370" s="31"/>
      <c r="R1370" s="33"/>
      <c r="S1370" s="34" t="str">
        <f>HYPERLINK("http://www.cnpol.ru/covers/16892.jpg","фото на сайте")</f>
        <v>фото на сайте</v>
      </c>
    </row>
    <row r="1371" spans="1:19" ht="50.1" customHeight="1">
      <c r="A1371" s="31"/>
      <c r="B1371" s="32" t="s">
        <v>5452</v>
      </c>
      <c r="C1371" s="31" t="s">
        <v>4922</v>
      </c>
      <c r="D1371" s="31" t="s">
        <v>5453</v>
      </c>
      <c r="E1371" s="31" t="s">
        <v>5454</v>
      </c>
      <c r="F1371" s="31" t="s">
        <v>31</v>
      </c>
      <c r="G1371" s="31">
        <v>559</v>
      </c>
      <c r="H1371" s="31">
        <v>10</v>
      </c>
      <c r="I1371" s="31">
        <v>14</v>
      </c>
      <c r="J1371" s="31" t="s">
        <v>5455</v>
      </c>
      <c r="K1371" s="31" t="s">
        <v>33</v>
      </c>
      <c r="L1371" s="31" t="s">
        <v>34</v>
      </c>
      <c r="M1371" s="31">
        <v>320</v>
      </c>
      <c r="N1371" s="31">
        <v>2018</v>
      </c>
      <c r="O1371" s="31">
        <v>274</v>
      </c>
      <c r="P1371" s="31"/>
      <c r="Q1371" s="31"/>
      <c r="R1371" s="33"/>
      <c r="S1371" s="34" t="str">
        <f>HYPERLINK("http://www.cnpol.ru/covers/18116.jpg","фото на сайте")</f>
        <v>фото на сайте</v>
      </c>
    </row>
    <row r="1372" spans="1:19" ht="50.1" customHeight="1">
      <c r="A1372" s="31"/>
      <c r="B1372" s="32" t="s">
        <v>5456</v>
      </c>
      <c r="C1372" s="31" t="s">
        <v>390</v>
      </c>
      <c r="D1372" s="31" t="s">
        <v>391</v>
      </c>
      <c r="E1372" s="31" t="s">
        <v>5457</v>
      </c>
      <c r="F1372" s="31">
        <v>734</v>
      </c>
      <c r="G1372" s="31">
        <v>86</v>
      </c>
      <c r="H1372" s="31">
        <v>10</v>
      </c>
      <c r="I1372" s="31">
        <v>30</v>
      </c>
      <c r="J1372" s="31" t="s">
        <v>5458</v>
      </c>
      <c r="K1372" s="31" t="s">
        <v>123</v>
      </c>
      <c r="L1372" s="31" t="s">
        <v>56</v>
      </c>
      <c r="M1372" s="31">
        <v>160</v>
      </c>
      <c r="N1372" s="31">
        <v>2017</v>
      </c>
      <c r="O1372" s="31">
        <v>76</v>
      </c>
      <c r="P1372" s="31"/>
      <c r="Q1372" s="31"/>
      <c r="R1372" s="33"/>
      <c r="S1372" s="34" t="str">
        <f>HYPERLINK("http://www.cnpol.ru/covers/17586.jpg","фото на сайте")</f>
        <v>фото на сайте</v>
      </c>
    </row>
    <row r="1373" spans="1:19" ht="50.1" customHeight="1">
      <c r="A1373" s="31"/>
      <c r="B1373" s="32" t="s">
        <v>5459</v>
      </c>
      <c r="C1373" s="31" t="s">
        <v>5460</v>
      </c>
      <c r="D1373" s="31" t="s">
        <v>5461</v>
      </c>
      <c r="E1373" s="31" t="s">
        <v>5462</v>
      </c>
      <c r="F1373" s="31" t="s">
        <v>31</v>
      </c>
      <c r="G1373" s="35">
        <v>1332</v>
      </c>
      <c r="H1373" s="31">
        <v>10</v>
      </c>
      <c r="I1373" s="31">
        <v>8</v>
      </c>
      <c r="J1373" s="31" t="s">
        <v>5463</v>
      </c>
      <c r="K1373" s="31" t="s">
        <v>33</v>
      </c>
      <c r="L1373" s="31" t="s">
        <v>34</v>
      </c>
      <c r="M1373" s="31">
        <v>575</v>
      </c>
      <c r="N1373" s="31">
        <v>2022</v>
      </c>
      <c r="O1373" s="31">
        <v>428</v>
      </c>
      <c r="P1373" s="31"/>
      <c r="Q1373" s="31"/>
      <c r="R1373" s="33"/>
      <c r="S1373" s="34" t="str">
        <f>HYPERLINK("http://www.cnpol.ru/covers/20130.jpg","фото на сайте")</f>
        <v>фото на сайте</v>
      </c>
    </row>
    <row r="1374" spans="1:19" ht="50.1" customHeight="1">
      <c r="A1374" s="31"/>
      <c r="B1374" s="32" t="s">
        <v>5464</v>
      </c>
      <c r="C1374" s="31" t="s">
        <v>400</v>
      </c>
      <c r="D1374" s="31" t="s">
        <v>985</v>
      </c>
      <c r="E1374" s="31" t="s">
        <v>5465</v>
      </c>
      <c r="F1374" s="31" t="s">
        <v>31</v>
      </c>
      <c r="G1374" s="31">
        <v>503</v>
      </c>
      <c r="H1374" s="31">
        <v>10</v>
      </c>
      <c r="I1374" s="31">
        <v>12</v>
      </c>
      <c r="J1374" s="31" t="s">
        <v>5466</v>
      </c>
      <c r="K1374" s="31" t="s">
        <v>33</v>
      </c>
      <c r="L1374" s="31" t="s">
        <v>34</v>
      </c>
      <c r="M1374" s="31">
        <v>351</v>
      </c>
      <c r="N1374" s="31">
        <v>2021</v>
      </c>
      <c r="O1374" s="31">
        <v>300</v>
      </c>
      <c r="P1374" s="31"/>
      <c r="Q1374" s="31"/>
      <c r="R1374" s="33"/>
      <c r="S1374" s="34" t="str">
        <f>HYPERLINK("http://www.cnpol.ru/covers/19857.jpg","фото на сайте")</f>
        <v>фото на сайте</v>
      </c>
    </row>
    <row r="1375" spans="1:19" ht="50.1" customHeight="1">
      <c r="A1375" s="31"/>
      <c r="B1375" s="32" t="s">
        <v>5467</v>
      </c>
      <c r="C1375" s="31" t="s">
        <v>1721</v>
      </c>
      <c r="D1375" s="31" t="s">
        <v>1722</v>
      </c>
      <c r="E1375" s="31" t="s">
        <v>5468</v>
      </c>
      <c r="F1375" s="31" t="s">
        <v>31</v>
      </c>
      <c r="G1375" s="31">
        <v>119</v>
      </c>
      <c r="H1375" s="31">
        <v>10</v>
      </c>
      <c r="I1375" s="31">
        <v>52</v>
      </c>
      <c r="J1375" s="31" t="s">
        <v>5469</v>
      </c>
      <c r="K1375" s="31" t="s">
        <v>1725</v>
      </c>
      <c r="L1375" s="31" t="s">
        <v>1726</v>
      </c>
      <c r="M1375" s="31">
        <v>14</v>
      </c>
      <c r="N1375" s="31">
        <v>2005</v>
      </c>
      <c r="O1375" s="31">
        <v>122</v>
      </c>
      <c r="P1375" s="31"/>
      <c r="Q1375" s="31"/>
      <c r="R1375" s="33"/>
      <c r="S1375" s="34" t="str">
        <f>HYPERLINK("http://www.cnpol.ru/covers/5978.jpg","фото на сайте")</f>
        <v>фото на сайте</v>
      </c>
    </row>
    <row r="1376" spans="1:19" ht="50.1" customHeight="1">
      <c r="A1376" s="31"/>
      <c r="B1376" s="32" t="s">
        <v>5470</v>
      </c>
      <c r="C1376" s="31" t="s">
        <v>385</v>
      </c>
      <c r="D1376" s="31" t="s">
        <v>386</v>
      </c>
      <c r="E1376" s="31" t="s">
        <v>5471</v>
      </c>
      <c r="F1376" s="31" t="s">
        <v>31</v>
      </c>
      <c r="G1376" s="31">
        <v>162</v>
      </c>
      <c r="H1376" s="31">
        <v>10</v>
      </c>
      <c r="I1376" s="31">
        <v>32</v>
      </c>
      <c r="J1376" s="31" t="s">
        <v>5472</v>
      </c>
      <c r="K1376" s="31" t="s">
        <v>55</v>
      </c>
      <c r="L1376" s="31" t="s">
        <v>56</v>
      </c>
      <c r="M1376" s="31">
        <v>256</v>
      </c>
      <c r="N1376" s="31">
        <v>2016</v>
      </c>
      <c r="O1376" s="31">
        <v>104</v>
      </c>
      <c r="P1376" s="31"/>
      <c r="Q1376" s="31"/>
      <c r="R1376" s="33"/>
      <c r="S1376" s="34" t="str">
        <f>HYPERLINK("http://www.cnpol.ru/covers/0138.jpg","фото на сайте")</f>
        <v>фото на сайте</v>
      </c>
    </row>
    <row r="1377" spans="1:19" ht="50.1" customHeight="1">
      <c r="A1377" s="31"/>
      <c r="B1377" s="32" t="s">
        <v>5473</v>
      </c>
      <c r="C1377" s="31" t="s">
        <v>302</v>
      </c>
      <c r="D1377" s="31" t="s">
        <v>5474</v>
      </c>
      <c r="E1377" s="31" t="s">
        <v>5475</v>
      </c>
      <c r="F1377" s="31" t="s">
        <v>31</v>
      </c>
      <c r="G1377" s="31">
        <v>801</v>
      </c>
      <c r="H1377" s="31">
        <v>10</v>
      </c>
      <c r="I1377" s="31">
        <v>12</v>
      </c>
      <c r="J1377" s="31" t="s">
        <v>5476</v>
      </c>
      <c r="K1377" s="31" t="s">
        <v>41</v>
      </c>
      <c r="L1377" s="31" t="s">
        <v>304</v>
      </c>
      <c r="M1377" s="31">
        <v>288</v>
      </c>
      <c r="N1377" s="31">
        <v>2015</v>
      </c>
      <c r="O1377" s="31">
        <v>469</v>
      </c>
      <c r="P1377" s="31"/>
      <c r="Q1377" s="31"/>
      <c r="R1377" s="33"/>
      <c r="S1377" s="34" t="str">
        <f>HYPERLINK("http://www.cnpol.ru/covers/16337.jpg","фото на сайте")</f>
        <v>фото на сайте</v>
      </c>
    </row>
    <row r="1378" spans="1:19" ht="50.1" customHeight="1">
      <c r="A1378" s="31" t="s">
        <v>35</v>
      </c>
      <c r="B1378" s="32" t="s">
        <v>5477</v>
      </c>
      <c r="C1378" s="31" t="s">
        <v>297</v>
      </c>
      <c r="D1378" s="31" t="s">
        <v>5474</v>
      </c>
      <c r="E1378" s="31" t="s">
        <v>5475</v>
      </c>
      <c r="F1378" s="31" t="s">
        <v>31</v>
      </c>
      <c r="G1378" s="31">
        <v>300</v>
      </c>
      <c r="H1378" s="31">
        <v>10</v>
      </c>
      <c r="I1378" s="31">
        <v>10</v>
      </c>
      <c r="J1378" s="31" t="s">
        <v>5478</v>
      </c>
      <c r="K1378" s="31" t="s">
        <v>300</v>
      </c>
      <c r="L1378" s="31" t="s">
        <v>56</v>
      </c>
      <c r="M1378" s="31">
        <v>255</v>
      </c>
      <c r="N1378" s="31">
        <v>2024</v>
      </c>
      <c r="O1378" s="31" t="s">
        <v>220</v>
      </c>
      <c r="P1378" s="31"/>
      <c r="Q1378" s="31"/>
      <c r="R1378" s="33" t="s">
        <v>5479</v>
      </c>
      <c r="S1378" s="34" t="str">
        <f>HYPERLINK("http://www.cnpol.ru/covers/21669.jpg","фото на сайте")</f>
        <v>фото на сайте</v>
      </c>
    </row>
    <row r="1379" spans="1:19" ht="50.1" customHeight="1">
      <c r="A1379" s="31"/>
      <c r="B1379" s="32" t="s">
        <v>5480</v>
      </c>
      <c r="C1379" s="31" t="s">
        <v>546</v>
      </c>
      <c r="D1379" s="31" t="s">
        <v>1774</v>
      </c>
      <c r="E1379" s="31" t="s">
        <v>5481</v>
      </c>
      <c r="F1379" s="31">
        <v>272</v>
      </c>
      <c r="G1379" s="31">
        <v>93</v>
      </c>
      <c r="H1379" s="31">
        <v>10</v>
      </c>
      <c r="I1379" s="31">
        <v>30</v>
      </c>
      <c r="J1379" s="31" t="s">
        <v>5482</v>
      </c>
      <c r="K1379" s="31" t="s">
        <v>123</v>
      </c>
      <c r="L1379" s="31" t="s">
        <v>56</v>
      </c>
      <c r="M1379" s="31">
        <v>160</v>
      </c>
      <c r="N1379" s="31">
        <v>2018</v>
      </c>
      <c r="O1379" s="31">
        <v>76</v>
      </c>
      <c r="P1379" s="31"/>
      <c r="Q1379" s="31"/>
      <c r="R1379" s="33"/>
      <c r="S1379" s="34" t="str">
        <f>HYPERLINK("http://www.cnpol.ru/covers/18227.jpg","фото на сайте")</f>
        <v>фото на сайте</v>
      </c>
    </row>
    <row r="1380" spans="1:19" ht="50.1" customHeight="1">
      <c r="A1380" s="31" t="s">
        <v>43</v>
      </c>
      <c r="B1380" s="32" t="s">
        <v>5483</v>
      </c>
      <c r="C1380" s="31" t="s">
        <v>1390</v>
      </c>
      <c r="D1380" s="31" t="s">
        <v>236</v>
      </c>
      <c r="E1380" s="31" t="s">
        <v>5484</v>
      </c>
      <c r="F1380" s="31" t="s">
        <v>31</v>
      </c>
      <c r="G1380" s="31">
        <v>514</v>
      </c>
      <c r="H1380" s="31">
        <v>10</v>
      </c>
      <c r="I1380" s="31">
        <v>14</v>
      </c>
      <c r="J1380" s="31" t="s">
        <v>5485</v>
      </c>
      <c r="K1380" s="31" t="s">
        <v>33</v>
      </c>
      <c r="L1380" s="31" t="s">
        <v>34</v>
      </c>
      <c r="M1380" s="31">
        <v>319</v>
      </c>
      <c r="N1380" s="31">
        <v>2024</v>
      </c>
      <c r="O1380" s="31">
        <v>273</v>
      </c>
      <c r="P1380" s="31"/>
      <c r="Q1380" s="31"/>
      <c r="R1380" s="33" t="s">
        <v>5486</v>
      </c>
      <c r="S1380" s="34" t="str">
        <f>HYPERLINK("http://www.cnpol.ru/covers/21178.jpg","фото на сайте")</f>
        <v>фото на сайте</v>
      </c>
    </row>
    <row r="1381" spans="1:19" ht="50.1" customHeight="1">
      <c r="A1381" s="31"/>
      <c r="B1381" s="32" t="s">
        <v>5487</v>
      </c>
      <c r="C1381" s="31" t="s">
        <v>1611</v>
      </c>
      <c r="D1381" s="31" t="s">
        <v>236</v>
      </c>
      <c r="E1381" s="31" t="s">
        <v>5488</v>
      </c>
      <c r="F1381" s="31" t="s">
        <v>31</v>
      </c>
      <c r="G1381" s="31">
        <v>209</v>
      </c>
      <c r="H1381" s="31">
        <v>10</v>
      </c>
      <c r="I1381" s="31">
        <v>14</v>
      </c>
      <c r="J1381" s="31" t="s">
        <v>5489</v>
      </c>
      <c r="K1381" s="31" t="s">
        <v>130</v>
      </c>
      <c r="L1381" s="31" t="s">
        <v>56</v>
      </c>
      <c r="M1381" s="31">
        <v>190</v>
      </c>
      <c r="N1381" s="31">
        <v>2017</v>
      </c>
      <c r="O1381" s="31">
        <v>124</v>
      </c>
      <c r="P1381" s="31"/>
      <c r="Q1381" s="31"/>
      <c r="R1381" s="33"/>
      <c r="S1381" s="34" t="str">
        <f>HYPERLINK("http://www.cnpol.ru/covers/17474.jpg","фото на сайте")</f>
        <v>фото на сайте</v>
      </c>
    </row>
    <row r="1382" spans="1:19" ht="50.1" customHeight="1">
      <c r="A1382" s="31" t="s">
        <v>43</v>
      </c>
      <c r="B1382" s="32" t="s">
        <v>5490</v>
      </c>
      <c r="C1382" s="31" t="s">
        <v>1390</v>
      </c>
      <c r="D1382" s="31" t="s">
        <v>236</v>
      </c>
      <c r="E1382" s="31" t="s">
        <v>5491</v>
      </c>
      <c r="F1382" s="31" t="s">
        <v>31</v>
      </c>
      <c r="G1382" s="31">
        <v>514</v>
      </c>
      <c r="H1382" s="31">
        <v>10</v>
      </c>
      <c r="I1382" s="31">
        <v>14</v>
      </c>
      <c r="J1382" s="31" t="s">
        <v>5492</v>
      </c>
      <c r="K1382" s="31" t="s">
        <v>33</v>
      </c>
      <c r="L1382" s="31" t="s">
        <v>34</v>
      </c>
      <c r="M1382" s="31">
        <v>319</v>
      </c>
      <c r="N1382" s="31">
        <v>2024</v>
      </c>
      <c r="O1382" s="31">
        <v>280</v>
      </c>
      <c r="P1382" s="31"/>
      <c r="Q1382" s="31"/>
      <c r="R1382" s="33" t="s">
        <v>5493</v>
      </c>
      <c r="S1382" s="34" t="str">
        <f>HYPERLINK("http://www.cnpol.ru/covers/21333.jpg","фото на сайте")</f>
        <v>фото на сайте</v>
      </c>
    </row>
    <row r="1383" spans="1:19" ht="50.1" customHeight="1">
      <c r="A1383" s="31"/>
      <c r="B1383" s="32" t="s">
        <v>5494</v>
      </c>
      <c r="C1383" s="31" t="s">
        <v>1390</v>
      </c>
      <c r="D1383" s="31" t="s">
        <v>236</v>
      </c>
      <c r="E1383" s="31" t="s">
        <v>5495</v>
      </c>
      <c r="F1383" s="31" t="s">
        <v>31</v>
      </c>
      <c r="G1383" s="31">
        <v>466</v>
      </c>
      <c r="H1383" s="31">
        <v>10</v>
      </c>
      <c r="I1383" s="31">
        <v>16</v>
      </c>
      <c r="J1383" s="31" t="s">
        <v>5496</v>
      </c>
      <c r="K1383" s="31" t="s">
        <v>33</v>
      </c>
      <c r="L1383" s="31" t="s">
        <v>34</v>
      </c>
      <c r="M1383" s="31">
        <v>287</v>
      </c>
      <c r="N1383" s="31">
        <v>2023</v>
      </c>
      <c r="O1383" s="31">
        <v>263</v>
      </c>
      <c r="P1383" s="31"/>
      <c r="Q1383" s="31"/>
      <c r="R1383" s="33" t="s">
        <v>5497</v>
      </c>
      <c r="S1383" s="34" t="str">
        <f>HYPERLINK("http://www.cnpol.ru/covers/20885.jpg","фото на сайте")</f>
        <v>фото на сайте</v>
      </c>
    </row>
    <row r="1384" spans="1:19" ht="50.1" customHeight="1">
      <c r="A1384" s="31"/>
      <c r="B1384" s="32" t="s">
        <v>5498</v>
      </c>
      <c r="C1384" s="31" t="s">
        <v>1390</v>
      </c>
      <c r="D1384" s="31" t="s">
        <v>236</v>
      </c>
      <c r="E1384" s="31" t="s">
        <v>5499</v>
      </c>
      <c r="F1384" s="31" t="s">
        <v>31</v>
      </c>
      <c r="G1384" s="31">
        <v>514</v>
      </c>
      <c r="H1384" s="31">
        <v>10</v>
      </c>
      <c r="I1384" s="31">
        <v>14</v>
      </c>
      <c r="J1384" s="31" t="s">
        <v>5500</v>
      </c>
      <c r="K1384" s="31" t="s">
        <v>33</v>
      </c>
      <c r="L1384" s="31" t="s">
        <v>34</v>
      </c>
      <c r="M1384" s="31">
        <v>319</v>
      </c>
      <c r="N1384" s="31">
        <v>2023</v>
      </c>
      <c r="O1384" s="31">
        <v>274</v>
      </c>
      <c r="P1384" s="31"/>
      <c r="Q1384" s="31"/>
      <c r="R1384" s="33" t="s">
        <v>5501</v>
      </c>
      <c r="S1384" s="34" t="str">
        <f>HYPERLINK("http://www.cnpol.ru/covers/20680.jpg","фото на сайте")</f>
        <v>фото на сайте</v>
      </c>
    </row>
    <row r="1385" spans="1:19" ht="50.1" customHeight="1">
      <c r="A1385" s="31"/>
      <c r="B1385" s="32" t="s">
        <v>5502</v>
      </c>
      <c r="C1385" s="31" t="s">
        <v>2817</v>
      </c>
      <c r="D1385" s="31" t="s">
        <v>2818</v>
      </c>
      <c r="E1385" s="31" t="s">
        <v>5503</v>
      </c>
      <c r="F1385" s="31" t="s">
        <v>31</v>
      </c>
      <c r="G1385" s="31">
        <v>154</v>
      </c>
      <c r="H1385" s="31">
        <v>10</v>
      </c>
      <c r="I1385" s="31">
        <v>24</v>
      </c>
      <c r="J1385" s="31" t="s">
        <v>5504</v>
      </c>
      <c r="K1385" s="31" t="s">
        <v>130</v>
      </c>
      <c r="L1385" s="31" t="s">
        <v>56</v>
      </c>
      <c r="M1385" s="31">
        <v>128</v>
      </c>
      <c r="N1385" s="31">
        <v>2017</v>
      </c>
      <c r="O1385" s="31">
        <v>86</v>
      </c>
      <c r="P1385" s="31"/>
      <c r="Q1385" s="31"/>
      <c r="R1385" s="33"/>
      <c r="S1385" s="34" t="str">
        <f>HYPERLINK("http://www.cnpol.ru/covers/17686.jpg","фото на сайте")</f>
        <v>фото на сайте</v>
      </c>
    </row>
    <row r="1386" spans="1:19" ht="50.1" customHeight="1">
      <c r="A1386" s="31" t="s">
        <v>35</v>
      </c>
      <c r="B1386" s="32" t="s">
        <v>5505</v>
      </c>
      <c r="C1386" s="31" t="s">
        <v>5168</v>
      </c>
      <c r="D1386" s="31" t="s">
        <v>5169</v>
      </c>
      <c r="E1386" s="31" t="s">
        <v>5506</v>
      </c>
      <c r="F1386" s="31" t="s">
        <v>31</v>
      </c>
      <c r="G1386" s="31">
        <v>258</v>
      </c>
      <c r="H1386" s="31">
        <v>10</v>
      </c>
      <c r="I1386" s="31">
        <v>10</v>
      </c>
      <c r="J1386" s="31" t="s">
        <v>5507</v>
      </c>
      <c r="K1386" s="31" t="s">
        <v>33</v>
      </c>
      <c r="L1386" s="31" t="s">
        <v>56</v>
      </c>
      <c r="M1386" s="31">
        <v>224</v>
      </c>
      <c r="N1386" s="31">
        <v>2025</v>
      </c>
      <c r="O1386" s="31" t="s">
        <v>220</v>
      </c>
      <c r="P1386" s="31"/>
      <c r="Q1386" s="31"/>
      <c r="R1386" s="33" t="s">
        <v>5508</v>
      </c>
      <c r="S1386" s="34" t="str">
        <f>HYPERLINK("http://www.cnpol.ru/covers/21668.jpg","фото на сайте")</f>
        <v>фото на сайте</v>
      </c>
    </row>
    <row r="1387" spans="1:19" ht="50.1" customHeight="1">
      <c r="A1387" s="31" t="s">
        <v>35</v>
      </c>
      <c r="B1387" s="32" t="s">
        <v>5509</v>
      </c>
      <c r="C1387" s="31" t="s">
        <v>5510</v>
      </c>
      <c r="D1387" s="31" t="s">
        <v>5169</v>
      </c>
      <c r="E1387" s="31" t="s">
        <v>5511</v>
      </c>
      <c r="F1387" s="31" t="s">
        <v>31</v>
      </c>
      <c r="G1387" s="31">
        <v>258</v>
      </c>
      <c r="H1387" s="31">
        <v>10</v>
      </c>
      <c r="I1387" s="31">
        <v>12</v>
      </c>
      <c r="J1387" s="31" t="s">
        <v>5512</v>
      </c>
      <c r="K1387" s="31" t="s">
        <v>130</v>
      </c>
      <c r="L1387" s="31" t="s">
        <v>56</v>
      </c>
      <c r="M1387" s="31">
        <v>224</v>
      </c>
      <c r="N1387" s="31">
        <v>2024</v>
      </c>
      <c r="O1387" s="31">
        <v>125</v>
      </c>
      <c r="P1387" s="31"/>
      <c r="Q1387" s="31"/>
      <c r="R1387" s="33" t="s">
        <v>5513</v>
      </c>
      <c r="S1387" s="34" t="str">
        <f>HYPERLINK("http://www.cnpol.ru/covers/21282.jpg","фото на сайте")</f>
        <v>фото на сайте</v>
      </c>
    </row>
    <row r="1388" spans="1:19" ht="50.1" customHeight="1">
      <c r="A1388" s="31"/>
      <c r="B1388" s="32" t="s">
        <v>5514</v>
      </c>
      <c r="C1388" s="31" t="s">
        <v>154</v>
      </c>
      <c r="D1388" s="31" t="s">
        <v>5515</v>
      </c>
      <c r="E1388" s="31" t="s">
        <v>5516</v>
      </c>
      <c r="F1388" s="31" t="s">
        <v>31</v>
      </c>
      <c r="G1388" s="31">
        <v>675</v>
      </c>
      <c r="H1388" s="31">
        <v>10</v>
      </c>
      <c r="I1388" s="31">
        <v>14</v>
      </c>
      <c r="J1388" s="31" t="s">
        <v>5517</v>
      </c>
      <c r="K1388" s="31" t="s">
        <v>33</v>
      </c>
      <c r="L1388" s="31" t="s">
        <v>34</v>
      </c>
      <c r="M1388" s="31">
        <v>416</v>
      </c>
      <c r="N1388" s="31">
        <v>2016</v>
      </c>
      <c r="O1388" s="31">
        <v>436</v>
      </c>
      <c r="P1388" s="31"/>
      <c r="Q1388" s="31"/>
      <c r="R1388" s="33"/>
      <c r="S1388" s="34" t="str">
        <f>HYPERLINK("http://www.cnpol.ru/covers/17239.jpg","фото на сайте")</f>
        <v>фото на сайте</v>
      </c>
    </row>
    <row r="1389" spans="1:19" ht="50.1" customHeight="1">
      <c r="A1389" s="31"/>
      <c r="B1389" s="32" t="s">
        <v>5518</v>
      </c>
      <c r="C1389" s="31" t="s">
        <v>1016</v>
      </c>
      <c r="D1389" s="31" t="s">
        <v>1017</v>
      </c>
      <c r="E1389" s="31" t="s">
        <v>5519</v>
      </c>
      <c r="F1389" s="31" t="s">
        <v>31</v>
      </c>
      <c r="G1389" s="31">
        <v>917</v>
      </c>
      <c r="H1389" s="31">
        <v>10</v>
      </c>
      <c r="I1389" s="31">
        <v>12</v>
      </c>
      <c r="J1389" s="31" t="s">
        <v>5520</v>
      </c>
      <c r="K1389" s="31" t="s">
        <v>33</v>
      </c>
      <c r="L1389" s="31" t="s">
        <v>34</v>
      </c>
      <c r="M1389" s="31">
        <v>319</v>
      </c>
      <c r="N1389" s="31">
        <v>2024</v>
      </c>
      <c r="O1389" s="31">
        <v>367</v>
      </c>
      <c r="P1389" s="31"/>
      <c r="Q1389" s="31"/>
      <c r="R1389" s="33" t="s">
        <v>5521</v>
      </c>
      <c r="S1389" s="34" t="str">
        <f>HYPERLINK("http://www.cnpol.ru/covers/20966.jpg","фото на сайте")</f>
        <v>фото на сайте</v>
      </c>
    </row>
    <row r="1390" spans="1:19" ht="50.1" customHeight="1">
      <c r="A1390" s="31"/>
      <c r="B1390" s="32" t="s">
        <v>5522</v>
      </c>
      <c r="C1390" s="31" t="s">
        <v>400</v>
      </c>
      <c r="D1390" s="31" t="s">
        <v>5523</v>
      </c>
      <c r="E1390" s="31" t="s">
        <v>5524</v>
      </c>
      <c r="F1390" s="31" t="s">
        <v>31</v>
      </c>
      <c r="G1390" s="31">
        <v>503</v>
      </c>
      <c r="H1390" s="31">
        <v>10</v>
      </c>
      <c r="I1390" s="31">
        <v>14</v>
      </c>
      <c r="J1390" s="31" t="s">
        <v>5525</v>
      </c>
      <c r="K1390" s="31" t="s">
        <v>33</v>
      </c>
      <c r="L1390" s="31" t="s">
        <v>34</v>
      </c>
      <c r="M1390" s="31">
        <v>320</v>
      </c>
      <c r="N1390" s="31">
        <v>2020</v>
      </c>
      <c r="O1390" s="31">
        <v>266</v>
      </c>
      <c r="P1390" s="31"/>
      <c r="Q1390" s="31"/>
      <c r="R1390" s="33"/>
      <c r="S1390" s="34" t="str">
        <f>HYPERLINK("http://www.cnpol.ru/covers/19025.jpg","фото на сайте")</f>
        <v>фото на сайте</v>
      </c>
    </row>
    <row r="1391" spans="1:19" ht="50.1" customHeight="1">
      <c r="A1391" s="31"/>
      <c r="B1391" s="32" t="s">
        <v>5526</v>
      </c>
      <c r="C1391" s="31" t="s">
        <v>1206</v>
      </c>
      <c r="D1391" s="31" t="s">
        <v>1207</v>
      </c>
      <c r="E1391" s="31" t="s">
        <v>5527</v>
      </c>
      <c r="F1391" s="31" t="s">
        <v>31</v>
      </c>
      <c r="G1391" s="31">
        <v>640</v>
      </c>
      <c r="H1391" s="31">
        <v>10</v>
      </c>
      <c r="I1391" s="31">
        <v>14</v>
      </c>
      <c r="J1391" s="31" t="s">
        <v>5528</v>
      </c>
      <c r="K1391" s="31" t="s">
        <v>739</v>
      </c>
      <c r="L1391" s="31" t="s">
        <v>34</v>
      </c>
      <c r="M1391" s="31">
        <v>288</v>
      </c>
      <c r="N1391" s="31">
        <v>2017</v>
      </c>
      <c r="O1391" s="31">
        <v>236</v>
      </c>
      <c r="P1391" s="31"/>
      <c r="Q1391" s="31"/>
      <c r="R1391" s="33"/>
      <c r="S1391" s="34" t="str">
        <f>HYPERLINK("http://www.cnpol.ru/covers/17639.jpg","фото на сайте")</f>
        <v>фото на сайте</v>
      </c>
    </row>
    <row r="1392" spans="1:19" ht="50.1" customHeight="1">
      <c r="A1392" s="31" t="s">
        <v>43</v>
      </c>
      <c r="B1392" s="32" t="s">
        <v>5529</v>
      </c>
      <c r="C1392" s="31" t="s">
        <v>1206</v>
      </c>
      <c r="D1392" s="31" t="s">
        <v>1207</v>
      </c>
      <c r="E1392" s="31" t="s">
        <v>5530</v>
      </c>
      <c r="F1392" s="31" t="s">
        <v>31</v>
      </c>
      <c r="G1392" s="31">
        <v>672</v>
      </c>
      <c r="H1392" s="31">
        <v>10</v>
      </c>
      <c r="I1392" s="31">
        <v>10</v>
      </c>
      <c r="J1392" s="31" t="s">
        <v>5531</v>
      </c>
      <c r="K1392" s="31" t="s">
        <v>739</v>
      </c>
      <c r="L1392" s="31" t="s">
        <v>34</v>
      </c>
      <c r="M1392" s="31">
        <v>335</v>
      </c>
      <c r="N1392" s="31">
        <v>2025</v>
      </c>
      <c r="O1392" s="31">
        <v>221</v>
      </c>
      <c r="P1392" s="31"/>
      <c r="Q1392" s="31"/>
      <c r="R1392" s="33" t="s">
        <v>5532</v>
      </c>
      <c r="S1392" s="34" t="str">
        <f>HYPERLINK("http://www.cnpol.ru/covers/21595.jpg","фото на сайте")</f>
        <v>фото на сайте</v>
      </c>
    </row>
    <row r="1393" spans="1:19" ht="50.1" customHeight="1">
      <c r="A1393" s="31"/>
      <c r="B1393" s="32" t="s">
        <v>5533</v>
      </c>
      <c r="C1393" s="31" t="s">
        <v>3429</v>
      </c>
      <c r="D1393" s="31" t="s">
        <v>3430</v>
      </c>
      <c r="E1393" s="31" t="s">
        <v>5534</v>
      </c>
      <c r="F1393" s="31" t="s">
        <v>31</v>
      </c>
      <c r="G1393" s="31">
        <v>105</v>
      </c>
      <c r="H1393" s="31">
        <v>10</v>
      </c>
      <c r="I1393" s="31">
        <v>26</v>
      </c>
      <c r="J1393" s="31" t="s">
        <v>5535</v>
      </c>
      <c r="K1393" s="31" t="s">
        <v>130</v>
      </c>
      <c r="L1393" s="31" t="s">
        <v>56</v>
      </c>
      <c r="M1393" s="31">
        <v>238</v>
      </c>
      <c r="N1393" s="31">
        <v>2001</v>
      </c>
      <c r="O1393" s="31">
        <v>154</v>
      </c>
      <c r="P1393" s="31"/>
      <c r="Q1393" s="31"/>
      <c r="R1393" s="33"/>
      <c r="S1393" s="34" t="str">
        <f>HYPERLINK("http://www.cnpol.ru/covers/2649.jpg","фото на сайте")</f>
        <v>фото на сайте</v>
      </c>
    </row>
    <row r="1394" spans="1:19" ht="50.1" customHeight="1">
      <c r="A1394" s="31"/>
      <c r="B1394" s="32" t="s">
        <v>5536</v>
      </c>
      <c r="C1394" s="31" t="s">
        <v>953</v>
      </c>
      <c r="D1394" s="31" t="s">
        <v>5537</v>
      </c>
      <c r="E1394" s="31" t="s">
        <v>5538</v>
      </c>
      <c r="F1394" s="31" t="s">
        <v>31</v>
      </c>
      <c r="G1394" s="31">
        <v>154</v>
      </c>
      <c r="H1394" s="31">
        <v>10</v>
      </c>
      <c r="I1394" s="31">
        <v>24</v>
      </c>
      <c r="J1394" s="31" t="s">
        <v>5539</v>
      </c>
      <c r="K1394" s="31" t="s">
        <v>55</v>
      </c>
      <c r="L1394" s="31" t="s">
        <v>56</v>
      </c>
      <c r="M1394" s="31">
        <v>351</v>
      </c>
      <c r="N1394" s="31">
        <v>2008</v>
      </c>
      <c r="O1394" s="31">
        <v>154</v>
      </c>
      <c r="P1394" s="31"/>
      <c r="Q1394" s="31"/>
      <c r="R1394" s="33"/>
      <c r="S1394" s="34" t="str">
        <f>HYPERLINK("http://www.cnpol.ru/covers/10803.jpg","фото на сайте")</f>
        <v>фото на сайте</v>
      </c>
    </row>
    <row r="1395" spans="1:19" ht="50.1" customHeight="1">
      <c r="A1395" s="31"/>
      <c r="B1395" s="32" t="s">
        <v>5540</v>
      </c>
      <c r="C1395" s="31" t="s">
        <v>663</v>
      </c>
      <c r="D1395" s="31" t="s">
        <v>5541</v>
      </c>
      <c r="E1395" s="31" t="s">
        <v>5542</v>
      </c>
      <c r="F1395" s="31" t="s">
        <v>31</v>
      </c>
      <c r="G1395" s="35">
        <v>1247</v>
      </c>
      <c r="H1395" s="31">
        <v>10</v>
      </c>
      <c r="I1395" s="31">
        <v>8</v>
      </c>
      <c r="J1395" s="31" t="s">
        <v>5543</v>
      </c>
      <c r="K1395" s="31" t="s">
        <v>33</v>
      </c>
      <c r="L1395" s="31" t="s">
        <v>34</v>
      </c>
      <c r="M1395" s="31">
        <v>527</v>
      </c>
      <c r="N1395" s="31">
        <v>2022</v>
      </c>
      <c r="O1395" s="31">
        <v>506</v>
      </c>
      <c r="P1395" s="31"/>
      <c r="Q1395" s="31"/>
      <c r="R1395" s="33" t="s">
        <v>5544</v>
      </c>
      <c r="S1395" s="34" t="str">
        <f>HYPERLINK("http://www.cnpol.ru/covers/20320.jpg","фото на сайте")</f>
        <v>фото на сайте</v>
      </c>
    </row>
    <row r="1396" spans="1:19" ht="50.1" customHeight="1">
      <c r="A1396" s="31"/>
      <c r="B1396" s="32" t="s">
        <v>5545</v>
      </c>
      <c r="C1396" s="31" t="s">
        <v>3767</v>
      </c>
      <c r="D1396" s="31" t="s">
        <v>3768</v>
      </c>
      <c r="E1396" s="31" t="s">
        <v>5546</v>
      </c>
      <c r="F1396" s="31" t="s">
        <v>31</v>
      </c>
      <c r="G1396" s="31">
        <v>807</v>
      </c>
      <c r="H1396" s="31">
        <v>10</v>
      </c>
      <c r="I1396" s="31">
        <v>10</v>
      </c>
      <c r="J1396" s="31" t="s">
        <v>5547</v>
      </c>
      <c r="K1396" s="31" t="s">
        <v>33</v>
      </c>
      <c r="L1396" s="31" t="s">
        <v>34</v>
      </c>
      <c r="M1396" s="31">
        <v>384</v>
      </c>
      <c r="N1396" s="31">
        <v>2019</v>
      </c>
      <c r="O1396" s="31">
        <v>406</v>
      </c>
      <c r="P1396" s="31"/>
      <c r="Q1396" s="31"/>
      <c r="R1396" s="33"/>
      <c r="S1396" s="34" t="str">
        <f>HYPERLINK("http://www.cnpol.ru/covers/18459.jpg","фото на сайте")</f>
        <v>фото на сайте</v>
      </c>
    </row>
    <row r="1397" spans="1:19" ht="50.1" customHeight="1">
      <c r="A1397" s="31" t="s">
        <v>35</v>
      </c>
      <c r="B1397" s="32" t="s">
        <v>5548</v>
      </c>
      <c r="C1397" s="31" t="s">
        <v>503</v>
      </c>
      <c r="D1397" s="31" t="s">
        <v>504</v>
      </c>
      <c r="E1397" s="31" t="s">
        <v>5549</v>
      </c>
      <c r="F1397" s="31" t="s">
        <v>31</v>
      </c>
      <c r="G1397" s="35">
        <v>1771</v>
      </c>
      <c r="H1397" s="31">
        <v>10</v>
      </c>
      <c r="I1397" s="31">
        <v>5</v>
      </c>
      <c r="J1397" s="31" t="s">
        <v>5550</v>
      </c>
      <c r="K1397" s="31" t="s">
        <v>147</v>
      </c>
      <c r="L1397" s="31" t="s">
        <v>34</v>
      </c>
      <c r="M1397" s="31">
        <v>480</v>
      </c>
      <c r="N1397" s="31">
        <v>2025</v>
      </c>
      <c r="O1397" s="31">
        <v>522</v>
      </c>
      <c r="P1397" s="31"/>
      <c r="Q1397" s="31"/>
      <c r="R1397" s="33" t="s">
        <v>5551</v>
      </c>
      <c r="S1397" s="34" t="str">
        <f>HYPERLINK("http://www.cnpol.ru/covers/21741.jpg","фото на сайте")</f>
        <v>фото на сайте</v>
      </c>
    </row>
    <row r="1398" spans="1:19" ht="50.1" customHeight="1">
      <c r="A1398" s="31" t="s">
        <v>35</v>
      </c>
      <c r="B1398" s="32" t="s">
        <v>5552</v>
      </c>
      <c r="C1398" s="31" t="s">
        <v>37</v>
      </c>
      <c r="D1398" s="31" t="s">
        <v>5553</v>
      </c>
      <c r="E1398" s="31" t="s">
        <v>5554</v>
      </c>
      <c r="F1398" s="31" t="s">
        <v>31</v>
      </c>
      <c r="G1398" s="31">
        <v>966</v>
      </c>
      <c r="H1398" s="31">
        <v>10</v>
      </c>
      <c r="I1398" s="31">
        <v>10</v>
      </c>
      <c r="J1398" s="31" t="s">
        <v>5555</v>
      </c>
      <c r="K1398" s="31" t="s">
        <v>33</v>
      </c>
      <c r="L1398" s="31" t="s">
        <v>34</v>
      </c>
      <c r="M1398" s="31">
        <v>352</v>
      </c>
      <c r="N1398" s="31">
        <v>2024</v>
      </c>
      <c r="O1398" s="31">
        <v>266</v>
      </c>
      <c r="P1398" s="31"/>
      <c r="Q1398" s="31"/>
      <c r="R1398" s="33" t="s">
        <v>5556</v>
      </c>
      <c r="S1398" s="34" t="str">
        <f>HYPERLINK("http://www.cnpol.ru/covers/21274.jpg","фото на сайте")</f>
        <v>фото на сайте</v>
      </c>
    </row>
    <row r="1399" spans="1:19" ht="50.1" customHeight="1">
      <c r="A1399" s="31"/>
      <c r="B1399" s="32" t="s">
        <v>5557</v>
      </c>
      <c r="C1399" s="31" t="s">
        <v>1338</v>
      </c>
      <c r="D1399" s="31" t="s">
        <v>5558</v>
      </c>
      <c r="E1399" s="31" t="s">
        <v>5559</v>
      </c>
      <c r="F1399" s="31" t="s">
        <v>31</v>
      </c>
      <c r="G1399" s="31">
        <v>154</v>
      </c>
      <c r="H1399" s="31">
        <v>10</v>
      </c>
      <c r="I1399" s="31">
        <v>18</v>
      </c>
      <c r="J1399" s="31" t="s">
        <v>5560</v>
      </c>
      <c r="K1399" s="31" t="s">
        <v>55</v>
      </c>
      <c r="L1399" s="31" t="s">
        <v>56</v>
      </c>
      <c r="M1399" s="31">
        <v>317</v>
      </c>
      <c r="N1399" s="31">
        <v>2009</v>
      </c>
      <c r="O1399" s="31">
        <v>134</v>
      </c>
      <c r="P1399" s="31"/>
      <c r="Q1399" s="31"/>
      <c r="R1399" s="33"/>
      <c r="S1399" s="34" t="str">
        <f>HYPERLINK("http://www.cnpol.ru/covers/11557.jpg","фото на сайте")</f>
        <v>фото на сайте</v>
      </c>
    </row>
    <row r="1400" spans="1:19" ht="50.1" customHeight="1">
      <c r="A1400" s="31"/>
      <c r="B1400" s="32" t="s">
        <v>5561</v>
      </c>
      <c r="C1400" s="31" t="s">
        <v>1301</v>
      </c>
      <c r="D1400" s="31" t="s">
        <v>5562</v>
      </c>
      <c r="E1400" s="31" t="s">
        <v>5563</v>
      </c>
      <c r="F1400" s="31" t="s">
        <v>31</v>
      </c>
      <c r="G1400" s="31">
        <v>486</v>
      </c>
      <c r="H1400" s="31">
        <v>10</v>
      </c>
      <c r="I1400" s="31">
        <v>16</v>
      </c>
      <c r="J1400" s="31" t="s">
        <v>5564</v>
      </c>
      <c r="K1400" s="31" t="s">
        <v>33</v>
      </c>
      <c r="L1400" s="31" t="s">
        <v>34</v>
      </c>
      <c r="M1400" s="31">
        <v>320</v>
      </c>
      <c r="N1400" s="31">
        <v>2018</v>
      </c>
      <c r="O1400" s="31">
        <v>312</v>
      </c>
      <c r="P1400" s="31"/>
      <c r="Q1400" s="31"/>
      <c r="R1400" s="33"/>
      <c r="S1400" s="34" t="str">
        <f>HYPERLINK("http://www.cnpol.ru/covers/18313.jpg","фото на сайте")</f>
        <v>фото на сайте</v>
      </c>
    </row>
    <row r="1401" spans="1:19" ht="50.1" customHeight="1">
      <c r="A1401" s="31"/>
      <c r="B1401" s="32" t="s">
        <v>5565</v>
      </c>
      <c r="C1401" s="31" t="s">
        <v>423</v>
      </c>
      <c r="D1401" s="31" t="s">
        <v>5566</v>
      </c>
      <c r="E1401" s="31" t="s">
        <v>5567</v>
      </c>
      <c r="F1401" s="31" t="s">
        <v>31</v>
      </c>
      <c r="G1401" s="31">
        <v>96</v>
      </c>
      <c r="H1401" s="31">
        <v>10</v>
      </c>
      <c r="I1401" s="31">
        <v>20</v>
      </c>
      <c r="J1401" s="31" t="s">
        <v>5568</v>
      </c>
      <c r="K1401" s="31" t="s">
        <v>55</v>
      </c>
      <c r="L1401" s="31" t="s">
        <v>56</v>
      </c>
      <c r="M1401" s="31">
        <v>412</v>
      </c>
      <c r="N1401" s="31">
        <v>2007</v>
      </c>
      <c r="O1401" s="31">
        <v>166</v>
      </c>
      <c r="P1401" s="31"/>
      <c r="Q1401" s="31"/>
      <c r="R1401" s="33"/>
      <c r="S1401" s="34" t="str">
        <f>HYPERLINK("http://www.cnpol.ru/covers/6300.jpg","фото на сайте")</f>
        <v>фото на сайте</v>
      </c>
    </row>
    <row r="1402" spans="1:19" ht="50.1" customHeight="1">
      <c r="A1402" s="31"/>
      <c r="B1402" s="32" t="s">
        <v>5569</v>
      </c>
      <c r="C1402" s="31" t="s">
        <v>423</v>
      </c>
      <c r="D1402" s="31" t="s">
        <v>5566</v>
      </c>
      <c r="E1402" s="31" t="s">
        <v>5567</v>
      </c>
      <c r="F1402" s="31" t="s">
        <v>31</v>
      </c>
      <c r="G1402" s="31">
        <v>154</v>
      </c>
      <c r="H1402" s="31">
        <v>10</v>
      </c>
      <c r="I1402" s="31">
        <v>16</v>
      </c>
      <c r="J1402" s="31" t="s">
        <v>5568</v>
      </c>
      <c r="K1402" s="31" t="s">
        <v>55</v>
      </c>
      <c r="L1402" s="31" t="s">
        <v>56</v>
      </c>
      <c r="M1402" s="31">
        <v>412</v>
      </c>
      <c r="N1402" s="31">
        <v>2008</v>
      </c>
      <c r="O1402" s="31">
        <v>168</v>
      </c>
      <c r="P1402" s="31"/>
      <c r="Q1402" s="31"/>
      <c r="R1402" s="33"/>
      <c r="S1402" s="34" t="str">
        <f>HYPERLINK("http://www.cnpol.ru/covers/7436.jpg","фото на сайте")</f>
        <v>фото на сайте</v>
      </c>
    </row>
    <row r="1403" spans="1:19" ht="50.1" customHeight="1">
      <c r="A1403" s="31"/>
      <c r="B1403" s="32" t="s">
        <v>5570</v>
      </c>
      <c r="C1403" s="31" t="s">
        <v>400</v>
      </c>
      <c r="D1403" s="31" t="s">
        <v>5571</v>
      </c>
      <c r="E1403" s="31" t="s">
        <v>5572</v>
      </c>
      <c r="F1403" s="31" t="s">
        <v>31</v>
      </c>
      <c r="G1403" s="31">
        <v>503</v>
      </c>
      <c r="H1403" s="31">
        <v>10</v>
      </c>
      <c r="I1403" s="31">
        <v>12</v>
      </c>
      <c r="J1403" s="31" t="s">
        <v>5573</v>
      </c>
      <c r="K1403" s="31" t="s">
        <v>33</v>
      </c>
      <c r="L1403" s="31" t="s">
        <v>34</v>
      </c>
      <c r="M1403" s="31">
        <v>446</v>
      </c>
      <c r="N1403" s="31">
        <v>2010</v>
      </c>
      <c r="O1403" s="31">
        <v>360</v>
      </c>
      <c r="P1403" s="31"/>
      <c r="Q1403" s="31"/>
      <c r="R1403" s="33"/>
      <c r="S1403" s="34" t="str">
        <f>HYPERLINK("http://www.cnpol.ru/covers/12348.jpg","фото на сайте")</f>
        <v>фото на сайте</v>
      </c>
    </row>
    <row r="1404" spans="1:19" ht="50.1" customHeight="1">
      <c r="A1404" s="31"/>
      <c r="B1404" s="32" t="s">
        <v>5574</v>
      </c>
      <c r="C1404" s="31" t="s">
        <v>5575</v>
      </c>
      <c r="D1404" s="31" t="s">
        <v>5576</v>
      </c>
      <c r="E1404" s="31" t="s">
        <v>5577</v>
      </c>
      <c r="F1404" s="31" t="s">
        <v>31</v>
      </c>
      <c r="G1404" s="35">
        <v>6105</v>
      </c>
      <c r="H1404" s="31">
        <v>10</v>
      </c>
      <c r="I1404" s="31">
        <v>4</v>
      </c>
      <c r="J1404" s="31" t="s">
        <v>5578</v>
      </c>
      <c r="K1404" s="31" t="s">
        <v>468</v>
      </c>
      <c r="L1404" s="31" t="s">
        <v>34</v>
      </c>
      <c r="M1404" s="31">
        <v>311</v>
      </c>
      <c r="N1404" s="31">
        <v>2023</v>
      </c>
      <c r="O1404" s="31">
        <v>1432</v>
      </c>
      <c r="P1404" s="31"/>
      <c r="Q1404" s="31"/>
      <c r="R1404" s="33" t="s">
        <v>5579</v>
      </c>
      <c r="S1404" s="34" t="str">
        <f>HYPERLINK("http://www.cnpol.ru/covers/20698.jpg","фото на сайте")</f>
        <v>фото на сайте</v>
      </c>
    </row>
    <row r="1405" spans="1:19" ht="50.1" customHeight="1">
      <c r="A1405" s="31"/>
      <c r="B1405" s="32" t="s">
        <v>5580</v>
      </c>
      <c r="C1405" s="31" t="s">
        <v>520</v>
      </c>
      <c r="D1405" s="31" t="s">
        <v>4804</v>
      </c>
      <c r="E1405" s="31" t="s">
        <v>5581</v>
      </c>
      <c r="F1405" s="31">
        <v>75</v>
      </c>
      <c r="G1405" s="31">
        <v>117</v>
      </c>
      <c r="H1405" s="31">
        <v>10</v>
      </c>
      <c r="I1405" s="31">
        <v>30</v>
      </c>
      <c r="J1405" s="31" t="s">
        <v>5582</v>
      </c>
      <c r="K1405" s="31" t="s">
        <v>123</v>
      </c>
      <c r="L1405" s="31" t="s">
        <v>56</v>
      </c>
      <c r="M1405" s="31">
        <v>192</v>
      </c>
      <c r="N1405" s="31">
        <v>2020</v>
      </c>
      <c r="O1405" s="31">
        <v>90</v>
      </c>
      <c r="P1405" s="31"/>
      <c r="Q1405" s="31"/>
      <c r="R1405" s="33"/>
      <c r="S1405" s="34" t="str">
        <f>HYPERLINK("http://www.cnpol.ru/covers/19076.jpg","фото на сайте")</f>
        <v>фото на сайте</v>
      </c>
    </row>
    <row r="1406" spans="1:19" ht="50.1" customHeight="1">
      <c r="A1406" s="31"/>
      <c r="B1406" s="32" t="s">
        <v>5583</v>
      </c>
      <c r="C1406" s="31" t="s">
        <v>390</v>
      </c>
      <c r="D1406" s="31" t="s">
        <v>1599</v>
      </c>
      <c r="E1406" s="31" t="s">
        <v>5584</v>
      </c>
      <c r="F1406" s="31">
        <v>788</v>
      </c>
      <c r="G1406" s="31">
        <v>86</v>
      </c>
      <c r="H1406" s="31">
        <v>10</v>
      </c>
      <c r="I1406" s="31">
        <v>30</v>
      </c>
      <c r="J1406" s="31" t="s">
        <v>5585</v>
      </c>
      <c r="K1406" s="31" t="s">
        <v>123</v>
      </c>
      <c r="L1406" s="31" t="s">
        <v>56</v>
      </c>
      <c r="M1406" s="31">
        <v>160</v>
      </c>
      <c r="N1406" s="31">
        <v>2018</v>
      </c>
      <c r="O1406" s="31">
        <v>76</v>
      </c>
      <c r="P1406" s="31"/>
      <c r="Q1406" s="31"/>
      <c r="R1406" s="33"/>
      <c r="S1406" s="34" t="str">
        <f>HYPERLINK("http://www.cnpol.ru/covers/17951.jpg","фото на сайте")</f>
        <v>фото на сайте</v>
      </c>
    </row>
    <row r="1407" spans="1:19" ht="50.1" customHeight="1">
      <c r="A1407" s="31"/>
      <c r="B1407" s="32" t="s">
        <v>5586</v>
      </c>
      <c r="C1407" s="31" t="s">
        <v>390</v>
      </c>
      <c r="D1407" s="31" t="s">
        <v>2294</v>
      </c>
      <c r="E1407" s="31" t="s">
        <v>5587</v>
      </c>
      <c r="F1407" s="31">
        <v>752</v>
      </c>
      <c r="G1407" s="31">
        <v>86</v>
      </c>
      <c r="H1407" s="31">
        <v>10</v>
      </c>
      <c r="I1407" s="31">
        <v>30</v>
      </c>
      <c r="J1407" s="31" t="s">
        <v>5588</v>
      </c>
      <c r="K1407" s="31" t="s">
        <v>123</v>
      </c>
      <c r="L1407" s="31" t="s">
        <v>56</v>
      </c>
      <c r="M1407" s="31">
        <v>160</v>
      </c>
      <c r="N1407" s="31">
        <v>2017</v>
      </c>
      <c r="O1407" s="31">
        <v>76</v>
      </c>
      <c r="P1407" s="31"/>
      <c r="Q1407" s="31"/>
      <c r="R1407" s="33"/>
      <c r="S1407" s="34" t="str">
        <f>HYPERLINK("http://www.cnpol.ru/covers/17691.jpg","фото на сайте")</f>
        <v>фото на сайте</v>
      </c>
    </row>
    <row r="1408" spans="1:19" ht="50.1" customHeight="1">
      <c r="A1408" s="31"/>
      <c r="B1408" s="32" t="s">
        <v>5589</v>
      </c>
      <c r="C1408" s="31" t="s">
        <v>390</v>
      </c>
      <c r="D1408" s="31" t="s">
        <v>1520</v>
      </c>
      <c r="E1408" s="31" t="s">
        <v>5590</v>
      </c>
      <c r="F1408" s="31">
        <v>813</v>
      </c>
      <c r="G1408" s="31">
        <v>86</v>
      </c>
      <c r="H1408" s="31">
        <v>10</v>
      </c>
      <c r="I1408" s="31">
        <v>30</v>
      </c>
      <c r="J1408" s="31" t="s">
        <v>5591</v>
      </c>
      <c r="K1408" s="31" t="s">
        <v>123</v>
      </c>
      <c r="L1408" s="31" t="s">
        <v>56</v>
      </c>
      <c r="M1408" s="31">
        <v>160</v>
      </c>
      <c r="N1408" s="31">
        <v>2018</v>
      </c>
      <c r="O1408" s="31">
        <v>76</v>
      </c>
      <c r="P1408" s="31"/>
      <c r="Q1408" s="31"/>
      <c r="R1408" s="33"/>
      <c r="S1408" s="34" t="str">
        <f>HYPERLINK("http://www.cnpol.ru/covers/18164.jpg","фото на сайте")</f>
        <v>фото на сайте</v>
      </c>
    </row>
    <row r="1409" spans="1:19" ht="50.1" customHeight="1">
      <c r="A1409" s="31"/>
      <c r="B1409" s="32" t="s">
        <v>5592</v>
      </c>
      <c r="C1409" s="31" t="s">
        <v>390</v>
      </c>
      <c r="D1409" s="31" t="s">
        <v>2106</v>
      </c>
      <c r="E1409" s="31" t="s">
        <v>5593</v>
      </c>
      <c r="F1409" s="31">
        <v>951</v>
      </c>
      <c r="G1409" s="31">
        <v>86</v>
      </c>
      <c r="H1409" s="31">
        <v>10</v>
      </c>
      <c r="I1409" s="31">
        <v>30</v>
      </c>
      <c r="J1409" s="31" t="s">
        <v>5594</v>
      </c>
      <c r="K1409" s="31" t="s">
        <v>123</v>
      </c>
      <c r="L1409" s="31" t="s">
        <v>56</v>
      </c>
      <c r="M1409" s="31">
        <v>160</v>
      </c>
      <c r="N1409" s="31">
        <v>2019</v>
      </c>
      <c r="O1409" s="31">
        <v>76</v>
      </c>
      <c r="P1409" s="31"/>
      <c r="Q1409" s="31"/>
      <c r="R1409" s="33"/>
      <c r="S1409" s="34" t="str">
        <f>HYPERLINK("http://www.cnpol.ru/covers/18994.jpg","фото на сайте")</f>
        <v>фото на сайте</v>
      </c>
    </row>
    <row r="1410" spans="1:19" ht="50.1" customHeight="1">
      <c r="A1410" s="31"/>
      <c r="B1410" s="32" t="s">
        <v>5595</v>
      </c>
      <c r="C1410" s="31" t="s">
        <v>546</v>
      </c>
      <c r="D1410" s="31" t="s">
        <v>765</v>
      </c>
      <c r="E1410" s="31" t="s">
        <v>5596</v>
      </c>
      <c r="F1410" s="31">
        <v>227</v>
      </c>
      <c r="G1410" s="31">
        <v>93</v>
      </c>
      <c r="H1410" s="31">
        <v>10</v>
      </c>
      <c r="I1410" s="31">
        <v>30</v>
      </c>
      <c r="J1410" s="31" t="s">
        <v>5597</v>
      </c>
      <c r="K1410" s="31" t="s">
        <v>123</v>
      </c>
      <c r="L1410" s="31" t="s">
        <v>56</v>
      </c>
      <c r="M1410" s="31">
        <v>160</v>
      </c>
      <c r="N1410" s="31">
        <v>2017</v>
      </c>
      <c r="O1410" s="31">
        <v>76</v>
      </c>
      <c r="P1410" s="31"/>
      <c r="Q1410" s="31"/>
      <c r="R1410" s="33"/>
      <c r="S1410" s="34" t="str">
        <f>HYPERLINK("http://www.cnpol.ru/covers/17579.jpg","фото на сайте")</f>
        <v>фото на сайте</v>
      </c>
    </row>
    <row r="1411" spans="1:19" ht="50.1" customHeight="1">
      <c r="A1411" s="31"/>
      <c r="B1411" s="32" t="s">
        <v>5598</v>
      </c>
      <c r="C1411" s="31" t="s">
        <v>797</v>
      </c>
      <c r="D1411" s="31" t="s">
        <v>5599</v>
      </c>
      <c r="E1411" s="31" t="s">
        <v>5600</v>
      </c>
      <c r="F1411" s="31" t="s">
        <v>31</v>
      </c>
      <c r="G1411" s="31">
        <v>137</v>
      </c>
      <c r="H1411" s="31">
        <v>10</v>
      </c>
      <c r="I1411" s="31">
        <v>40</v>
      </c>
      <c r="J1411" s="31" t="s">
        <v>5601</v>
      </c>
      <c r="K1411" s="31" t="s">
        <v>130</v>
      </c>
      <c r="L1411" s="31" t="s">
        <v>56</v>
      </c>
      <c r="M1411" s="31">
        <v>198</v>
      </c>
      <c r="N1411" s="31">
        <v>2000</v>
      </c>
      <c r="O1411" s="31">
        <v>126</v>
      </c>
      <c r="P1411" s="31"/>
      <c r="Q1411" s="31"/>
      <c r="R1411" s="33"/>
      <c r="S1411" s="34" t="str">
        <f>HYPERLINK("http://www.cnpol.ru/covers/1931.jpg","фото на сайте")</f>
        <v>фото на сайте</v>
      </c>
    </row>
    <row r="1412" spans="1:19" ht="50.1" customHeight="1">
      <c r="A1412" s="31"/>
      <c r="B1412" s="32" t="s">
        <v>5602</v>
      </c>
      <c r="C1412" s="31" t="s">
        <v>797</v>
      </c>
      <c r="D1412" s="31" t="s">
        <v>5599</v>
      </c>
      <c r="E1412" s="31" t="s">
        <v>5603</v>
      </c>
      <c r="F1412" s="31" t="s">
        <v>31</v>
      </c>
      <c r="G1412" s="31">
        <v>137</v>
      </c>
      <c r="H1412" s="31">
        <v>10</v>
      </c>
      <c r="I1412" s="31">
        <v>40</v>
      </c>
      <c r="J1412" s="31" t="s">
        <v>5604</v>
      </c>
      <c r="K1412" s="31" t="s">
        <v>130</v>
      </c>
      <c r="L1412" s="31" t="s">
        <v>56</v>
      </c>
      <c r="M1412" s="31">
        <v>153</v>
      </c>
      <c r="N1412" s="31">
        <v>2000</v>
      </c>
      <c r="O1412" s="31">
        <v>102</v>
      </c>
      <c r="P1412" s="31"/>
      <c r="Q1412" s="31"/>
      <c r="R1412" s="33"/>
      <c r="S1412" s="34" t="str">
        <f>HYPERLINK("http://www.cnpol.ru/covers/1930.jpg","фото на сайте")</f>
        <v>фото на сайте</v>
      </c>
    </row>
    <row r="1413" spans="1:19" ht="50.1" customHeight="1">
      <c r="A1413" s="31" t="s">
        <v>35</v>
      </c>
      <c r="B1413" s="32" t="s">
        <v>5605</v>
      </c>
      <c r="C1413" s="31" t="s">
        <v>479</v>
      </c>
      <c r="D1413" s="31" t="s">
        <v>2035</v>
      </c>
      <c r="E1413" s="31" t="s">
        <v>5606</v>
      </c>
      <c r="F1413" s="31" t="s">
        <v>31</v>
      </c>
      <c r="G1413" s="31">
        <v>562</v>
      </c>
      <c r="H1413" s="31">
        <v>10</v>
      </c>
      <c r="I1413" s="31">
        <v>10</v>
      </c>
      <c r="J1413" s="31" t="s">
        <v>5607</v>
      </c>
      <c r="K1413" s="31" t="s">
        <v>33</v>
      </c>
      <c r="L1413" s="31" t="s">
        <v>34</v>
      </c>
      <c r="M1413" s="31">
        <v>416</v>
      </c>
      <c r="N1413" s="31">
        <v>2024</v>
      </c>
      <c r="O1413" s="31">
        <v>334</v>
      </c>
      <c r="P1413" s="31"/>
      <c r="Q1413" s="31"/>
      <c r="R1413" s="33" t="s">
        <v>5608</v>
      </c>
      <c r="S1413" s="34" t="str">
        <f>HYPERLINK("http://www.cnpol.ru/covers/21038.jpg","фото на сайте")</f>
        <v>фото на сайте</v>
      </c>
    </row>
    <row r="1414" spans="1:19" ht="50.1" customHeight="1">
      <c r="A1414" s="31" t="s">
        <v>35</v>
      </c>
      <c r="B1414" s="32" t="s">
        <v>5609</v>
      </c>
      <c r="C1414" s="31" t="s">
        <v>28</v>
      </c>
      <c r="D1414" s="31" t="s">
        <v>5610</v>
      </c>
      <c r="E1414" s="31" t="s">
        <v>5611</v>
      </c>
      <c r="F1414" s="31" t="s">
        <v>31</v>
      </c>
      <c r="G1414" s="35">
        <v>1394</v>
      </c>
      <c r="H1414" s="31">
        <v>10</v>
      </c>
      <c r="I1414" s="31">
        <v>8</v>
      </c>
      <c r="J1414" s="31" t="s">
        <v>5612</v>
      </c>
      <c r="K1414" s="31" t="s">
        <v>33</v>
      </c>
      <c r="L1414" s="31" t="s">
        <v>34</v>
      </c>
      <c r="M1414" s="31">
        <v>575</v>
      </c>
      <c r="N1414" s="31">
        <v>2024</v>
      </c>
      <c r="O1414" s="31">
        <v>569</v>
      </c>
      <c r="P1414" s="31"/>
      <c r="Q1414" s="31"/>
      <c r="R1414" s="33" t="s">
        <v>5613</v>
      </c>
      <c r="S1414" s="34" t="str">
        <f>HYPERLINK("http://www.cnpol.ru/covers/21315.jpg","фото на сайте")</f>
        <v>фото на сайте</v>
      </c>
    </row>
    <row r="1415" spans="1:19" ht="50.1" customHeight="1">
      <c r="A1415" s="31"/>
      <c r="B1415" s="32" t="s">
        <v>5614</v>
      </c>
      <c r="C1415" s="31" t="s">
        <v>1323</v>
      </c>
      <c r="D1415" s="31" t="s">
        <v>127</v>
      </c>
      <c r="E1415" s="31" t="s">
        <v>5615</v>
      </c>
      <c r="F1415" s="31" t="s">
        <v>31</v>
      </c>
      <c r="G1415" s="31">
        <v>169</v>
      </c>
      <c r="H1415" s="31">
        <v>10</v>
      </c>
      <c r="I1415" s="31">
        <v>20</v>
      </c>
      <c r="J1415" s="31" t="s">
        <v>5616</v>
      </c>
      <c r="K1415" s="31" t="s">
        <v>55</v>
      </c>
      <c r="L1415" s="31" t="s">
        <v>56</v>
      </c>
      <c r="M1415" s="31">
        <v>352</v>
      </c>
      <c r="N1415" s="31">
        <v>2019</v>
      </c>
      <c r="O1415" s="31">
        <v>146</v>
      </c>
      <c r="P1415" s="31"/>
      <c r="Q1415" s="31"/>
      <c r="R1415" s="33"/>
      <c r="S1415" s="34" t="str">
        <f>HYPERLINK("http://www.cnpol.ru/covers/18914.jpg","фото на сайте")</f>
        <v>фото на сайте</v>
      </c>
    </row>
    <row r="1416" spans="1:19" ht="50.1" customHeight="1">
      <c r="A1416" s="31"/>
      <c r="B1416" s="32" t="s">
        <v>5617</v>
      </c>
      <c r="C1416" s="31" t="s">
        <v>28</v>
      </c>
      <c r="D1416" s="31" t="s">
        <v>1898</v>
      </c>
      <c r="E1416" s="31" t="s">
        <v>5618</v>
      </c>
      <c r="F1416" s="31" t="s">
        <v>31</v>
      </c>
      <c r="G1416" s="31">
        <v>593</v>
      </c>
      <c r="H1416" s="31">
        <v>10</v>
      </c>
      <c r="I1416" s="31">
        <v>12</v>
      </c>
      <c r="J1416" s="31" t="s">
        <v>5619</v>
      </c>
      <c r="K1416" s="31" t="s">
        <v>33</v>
      </c>
      <c r="L1416" s="31" t="s">
        <v>34</v>
      </c>
      <c r="M1416" s="31">
        <v>352</v>
      </c>
      <c r="N1416" s="31">
        <v>2018</v>
      </c>
      <c r="O1416" s="31">
        <v>286</v>
      </c>
      <c r="P1416" s="31"/>
      <c r="Q1416" s="31"/>
      <c r="R1416" s="33"/>
      <c r="S1416" s="34" t="str">
        <f>HYPERLINK("http://www.cnpol.ru/covers/18378.jpg","фото на сайте")</f>
        <v>фото на сайте</v>
      </c>
    </row>
    <row r="1417" spans="1:19" ht="50.1" customHeight="1">
      <c r="A1417" s="31"/>
      <c r="B1417" s="32" t="s">
        <v>5620</v>
      </c>
      <c r="C1417" s="31" t="s">
        <v>1102</v>
      </c>
      <c r="D1417" s="31" t="s">
        <v>1898</v>
      </c>
      <c r="E1417" s="31" t="s">
        <v>5621</v>
      </c>
      <c r="F1417" s="31" t="s">
        <v>31</v>
      </c>
      <c r="G1417" s="31">
        <v>593</v>
      </c>
      <c r="H1417" s="31">
        <v>10</v>
      </c>
      <c r="I1417" s="31">
        <v>12</v>
      </c>
      <c r="J1417" s="31" t="s">
        <v>5622</v>
      </c>
      <c r="K1417" s="31" t="s">
        <v>33</v>
      </c>
      <c r="L1417" s="31" t="s">
        <v>34</v>
      </c>
      <c r="M1417" s="31">
        <v>352</v>
      </c>
      <c r="N1417" s="31">
        <v>2018</v>
      </c>
      <c r="O1417" s="31">
        <v>292</v>
      </c>
      <c r="P1417" s="31"/>
      <c r="Q1417" s="31"/>
      <c r="R1417" s="33"/>
      <c r="S1417" s="34" t="str">
        <f>HYPERLINK("http://www.cnpol.ru/covers/18395.jpg","фото на сайте")</f>
        <v>фото на сайте</v>
      </c>
    </row>
    <row r="1418" spans="1:19" ht="50.1" customHeight="1">
      <c r="A1418" s="31" t="s">
        <v>43</v>
      </c>
      <c r="B1418" s="32" t="s">
        <v>5623</v>
      </c>
      <c r="C1418" s="31" t="s">
        <v>37</v>
      </c>
      <c r="D1418" s="31" t="s">
        <v>3390</v>
      </c>
      <c r="E1418" s="31" t="s">
        <v>5624</v>
      </c>
      <c r="F1418" s="31" t="s">
        <v>31</v>
      </c>
      <c r="G1418" s="31">
        <v>539</v>
      </c>
      <c r="H1418" s="31">
        <v>10</v>
      </c>
      <c r="I1418" s="31">
        <v>12</v>
      </c>
      <c r="J1418" s="31" t="s">
        <v>5625</v>
      </c>
      <c r="K1418" s="31" t="s">
        <v>33</v>
      </c>
      <c r="L1418" s="31" t="s">
        <v>34</v>
      </c>
      <c r="M1418" s="31">
        <v>319</v>
      </c>
      <c r="N1418" s="31">
        <v>2025</v>
      </c>
      <c r="O1418" s="31">
        <v>299</v>
      </c>
      <c r="P1418" s="31"/>
      <c r="Q1418" s="31"/>
      <c r="R1418" s="33" t="s">
        <v>5626</v>
      </c>
      <c r="S1418" s="34" t="str">
        <f>HYPERLINK("http://www.cnpol.ru/covers/21504.jpg","фото на сайте")</f>
        <v>фото на сайте</v>
      </c>
    </row>
    <row r="1419" spans="1:19" ht="50.1" customHeight="1">
      <c r="A1419" s="31" t="s">
        <v>35</v>
      </c>
      <c r="B1419" s="32" t="s">
        <v>5627</v>
      </c>
      <c r="C1419" s="31" t="s">
        <v>37</v>
      </c>
      <c r="D1419" s="31" t="s">
        <v>5628</v>
      </c>
      <c r="E1419" s="31" t="s">
        <v>5629</v>
      </c>
      <c r="F1419" s="31" t="s">
        <v>31</v>
      </c>
      <c r="G1419" s="35">
        <v>1394</v>
      </c>
      <c r="H1419" s="31">
        <v>10</v>
      </c>
      <c r="I1419" s="31">
        <v>4</v>
      </c>
      <c r="J1419" s="31" t="s">
        <v>5630</v>
      </c>
      <c r="K1419" s="31" t="s">
        <v>33</v>
      </c>
      <c r="L1419" s="31" t="s">
        <v>34</v>
      </c>
      <c r="M1419" s="31">
        <v>607</v>
      </c>
      <c r="N1419" s="31">
        <v>2025</v>
      </c>
      <c r="O1419" s="31">
        <v>620</v>
      </c>
      <c r="P1419" s="31"/>
      <c r="Q1419" s="31"/>
      <c r="R1419" s="33" t="s">
        <v>5631</v>
      </c>
      <c r="S1419" s="34" t="str">
        <f>HYPERLINK("http://www.cnpol.ru/covers/21672.jpg","фото на сайте")</f>
        <v>фото на сайте</v>
      </c>
    </row>
    <row r="1420" spans="1:19" ht="50.1" customHeight="1">
      <c r="A1420" s="31" t="s">
        <v>43</v>
      </c>
      <c r="B1420" s="32" t="s">
        <v>5632</v>
      </c>
      <c r="C1420" s="31" t="s">
        <v>5633</v>
      </c>
      <c r="D1420" s="31" t="s">
        <v>5634</v>
      </c>
      <c r="E1420" s="31" t="s">
        <v>5635</v>
      </c>
      <c r="F1420" s="31" t="s">
        <v>31</v>
      </c>
      <c r="G1420" s="35">
        <v>1149</v>
      </c>
      <c r="H1420" s="31">
        <v>10</v>
      </c>
      <c r="I1420" s="31">
        <v>10</v>
      </c>
      <c r="J1420" s="31" t="s">
        <v>5636</v>
      </c>
      <c r="K1420" s="31" t="s">
        <v>33</v>
      </c>
      <c r="L1420" s="31" t="s">
        <v>34</v>
      </c>
      <c r="M1420" s="31">
        <v>445</v>
      </c>
      <c r="N1420" s="31">
        <v>2025</v>
      </c>
      <c r="O1420" s="31">
        <v>374</v>
      </c>
      <c r="P1420" s="31"/>
      <c r="Q1420" s="31"/>
      <c r="R1420" s="33" t="s">
        <v>5637</v>
      </c>
      <c r="S1420" s="34" t="str">
        <f>HYPERLINK("http://www.cnpol.ru/covers/21621.jpg","фото на сайте")</f>
        <v>фото на сайте</v>
      </c>
    </row>
    <row r="1421" spans="1:19" ht="50.1" customHeight="1">
      <c r="A1421" s="31"/>
      <c r="B1421" s="32" t="s">
        <v>5638</v>
      </c>
      <c r="C1421" s="31" t="s">
        <v>5639</v>
      </c>
      <c r="D1421" s="31" t="s">
        <v>1356</v>
      </c>
      <c r="E1421" s="31" t="s">
        <v>5640</v>
      </c>
      <c r="F1421" s="31" t="s">
        <v>31</v>
      </c>
      <c r="G1421" s="31">
        <v>88</v>
      </c>
      <c r="H1421" s="31">
        <v>10</v>
      </c>
      <c r="I1421" s="31">
        <v>40</v>
      </c>
      <c r="J1421" s="31" t="s">
        <v>5641</v>
      </c>
      <c r="K1421" s="31" t="s">
        <v>55</v>
      </c>
      <c r="L1421" s="31" t="s">
        <v>56</v>
      </c>
      <c r="M1421" s="31">
        <v>253</v>
      </c>
      <c r="N1421" s="31">
        <v>2011</v>
      </c>
      <c r="O1421" s="31">
        <v>114</v>
      </c>
      <c r="P1421" s="31"/>
      <c r="Q1421" s="31"/>
      <c r="R1421" s="33"/>
      <c r="S1421" s="34" t="str">
        <f>HYPERLINK("http://www.cnpol.ru/covers/12449.jpg","фото на сайте")</f>
        <v>фото на сайте</v>
      </c>
    </row>
    <row r="1422" spans="1:19" ht="50.1" customHeight="1">
      <c r="A1422" s="31"/>
      <c r="B1422" s="32" t="s">
        <v>5642</v>
      </c>
      <c r="C1422" s="31" t="s">
        <v>390</v>
      </c>
      <c r="D1422" s="31" t="s">
        <v>3214</v>
      </c>
      <c r="E1422" s="31" t="s">
        <v>5643</v>
      </c>
      <c r="F1422" s="31">
        <v>777</v>
      </c>
      <c r="G1422" s="31">
        <v>86</v>
      </c>
      <c r="H1422" s="31">
        <v>10</v>
      </c>
      <c r="I1422" s="31">
        <v>30</v>
      </c>
      <c r="J1422" s="31" t="s">
        <v>5644</v>
      </c>
      <c r="K1422" s="31" t="s">
        <v>123</v>
      </c>
      <c r="L1422" s="31" t="s">
        <v>56</v>
      </c>
      <c r="M1422" s="31">
        <v>160</v>
      </c>
      <c r="N1422" s="31">
        <v>2017</v>
      </c>
      <c r="O1422" s="31">
        <v>76</v>
      </c>
      <c r="P1422" s="31"/>
      <c r="Q1422" s="31"/>
      <c r="R1422" s="33"/>
      <c r="S1422" s="34" t="str">
        <f>HYPERLINK("http://www.cnpol.ru/covers/17862.jpg","фото на сайте")</f>
        <v>фото на сайте</v>
      </c>
    </row>
    <row r="1423" spans="1:19" ht="50.1" customHeight="1">
      <c r="A1423" s="31"/>
      <c r="B1423" s="32" t="s">
        <v>5645</v>
      </c>
      <c r="C1423" s="31" t="s">
        <v>543</v>
      </c>
      <c r="D1423" s="31" t="s">
        <v>539</v>
      </c>
      <c r="E1423" s="31" t="s">
        <v>5646</v>
      </c>
      <c r="F1423" s="31" t="s">
        <v>31</v>
      </c>
      <c r="G1423" s="31">
        <v>169</v>
      </c>
      <c r="H1423" s="31">
        <v>10</v>
      </c>
      <c r="I1423" s="31">
        <v>16</v>
      </c>
      <c r="J1423" s="31" t="s">
        <v>5647</v>
      </c>
      <c r="K1423" s="31" t="s">
        <v>123</v>
      </c>
      <c r="L1423" s="31" t="s">
        <v>56</v>
      </c>
      <c r="M1423" s="31">
        <v>382</v>
      </c>
      <c r="N1423" s="31">
        <v>2009</v>
      </c>
      <c r="O1423" s="31">
        <v>172</v>
      </c>
      <c r="P1423" s="31"/>
      <c r="Q1423" s="31"/>
      <c r="R1423" s="33"/>
      <c r="S1423" s="34" t="str">
        <f>HYPERLINK("http://www.cnpol.ru/covers/11493.jpg","фото на сайте")</f>
        <v>фото на сайте</v>
      </c>
    </row>
    <row r="1424" spans="1:19" ht="50.1" customHeight="1">
      <c r="A1424" s="31"/>
      <c r="B1424" s="32" t="s">
        <v>5648</v>
      </c>
      <c r="C1424" s="31" t="s">
        <v>349</v>
      </c>
      <c r="D1424" s="31" t="s">
        <v>5649</v>
      </c>
      <c r="E1424" s="31" t="s">
        <v>5650</v>
      </c>
      <c r="F1424" s="31" t="s">
        <v>31</v>
      </c>
      <c r="G1424" s="31">
        <v>407</v>
      </c>
      <c r="H1424" s="31">
        <v>10</v>
      </c>
      <c r="I1424" s="31">
        <v>14</v>
      </c>
      <c r="J1424" s="31" t="s">
        <v>5651</v>
      </c>
      <c r="K1424" s="31" t="s">
        <v>33</v>
      </c>
      <c r="L1424" s="31" t="s">
        <v>34</v>
      </c>
      <c r="M1424" s="31">
        <v>349</v>
      </c>
      <c r="N1424" s="31">
        <v>2011</v>
      </c>
      <c r="O1424" s="31">
        <v>276</v>
      </c>
      <c r="P1424" s="31"/>
      <c r="Q1424" s="31"/>
      <c r="R1424" s="33" t="s">
        <v>5652</v>
      </c>
      <c r="S1424" s="34" t="str">
        <f>HYPERLINK("http://www.cnpol.ru/covers/12889.jpg","фото на сайте")</f>
        <v>фото на сайте</v>
      </c>
    </row>
    <row r="1425" spans="1:19" ht="50.1" customHeight="1">
      <c r="A1425" s="31" t="s">
        <v>35</v>
      </c>
      <c r="B1425" s="32" t="s">
        <v>5653</v>
      </c>
      <c r="C1425" s="31" t="s">
        <v>37</v>
      </c>
      <c r="D1425" s="31" t="s">
        <v>5654</v>
      </c>
      <c r="E1425" s="31" t="s">
        <v>5655</v>
      </c>
      <c r="F1425" s="31" t="s">
        <v>31</v>
      </c>
      <c r="G1425" s="35">
        <v>1076</v>
      </c>
      <c r="H1425" s="31">
        <v>10</v>
      </c>
      <c r="I1425" s="31">
        <v>5</v>
      </c>
      <c r="J1425" s="31" t="s">
        <v>5656</v>
      </c>
      <c r="K1425" s="31" t="s">
        <v>33</v>
      </c>
      <c r="L1425" s="31" t="s">
        <v>34</v>
      </c>
      <c r="M1425" s="31">
        <v>381</v>
      </c>
      <c r="N1425" s="31">
        <v>2025</v>
      </c>
      <c r="O1425" s="31">
        <v>266</v>
      </c>
      <c r="P1425" s="31"/>
      <c r="Q1425" s="31"/>
      <c r="R1425" s="33" t="s">
        <v>5657</v>
      </c>
      <c r="S1425" s="34" t="str">
        <f>HYPERLINK("http://www.cnpol.ru/covers/21605.jpg","фото на сайте")</f>
        <v>фото на сайте</v>
      </c>
    </row>
    <row r="1426" spans="1:19" ht="50.1" customHeight="1">
      <c r="A1426" s="31"/>
      <c r="B1426" s="32" t="s">
        <v>5658</v>
      </c>
      <c r="C1426" s="31" t="s">
        <v>385</v>
      </c>
      <c r="D1426" s="31" t="s">
        <v>386</v>
      </c>
      <c r="E1426" s="31" t="s">
        <v>5659</v>
      </c>
      <c r="F1426" s="31" t="s">
        <v>31</v>
      </c>
      <c r="G1426" s="31">
        <v>162</v>
      </c>
      <c r="H1426" s="31">
        <v>10</v>
      </c>
      <c r="I1426" s="31">
        <v>32</v>
      </c>
      <c r="J1426" s="31" t="s">
        <v>5660</v>
      </c>
      <c r="K1426" s="31" t="s">
        <v>55</v>
      </c>
      <c r="L1426" s="31" t="s">
        <v>56</v>
      </c>
      <c r="M1426" s="31">
        <v>256</v>
      </c>
      <c r="N1426" s="31">
        <v>2016</v>
      </c>
      <c r="O1426" s="31">
        <v>110</v>
      </c>
      <c r="P1426" s="31"/>
      <c r="Q1426" s="31"/>
      <c r="R1426" s="33"/>
      <c r="S1426" s="34" t="str">
        <f>HYPERLINK("http://www.cnpol.ru/covers/0139.jpg","фото на сайте")</f>
        <v>фото на сайте</v>
      </c>
    </row>
    <row r="1427" spans="1:19" ht="50.1" customHeight="1">
      <c r="A1427" s="31"/>
      <c r="B1427" s="32" t="s">
        <v>5661</v>
      </c>
      <c r="C1427" s="31" t="s">
        <v>400</v>
      </c>
      <c r="D1427" s="31" t="s">
        <v>1149</v>
      </c>
      <c r="E1427" s="31" t="s">
        <v>5662</v>
      </c>
      <c r="F1427" s="31" t="s">
        <v>31</v>
      </c>
      <c r="G1427" s="31">
        <v>503</v>
      </c>
      <c r="H1427" s="31">
        <v>10</v>
      </c>
      <c r="I1427" s="31">
        <v>14</v>
      </c>
      <c r="J1427" s="31" t="s">
        <v>5663</v>
      </c>
      <c r="K1427" s="31" t="s">
        <v>33</v>
      </c>
      <c r="L1427" s="31" t="s">
        <v>34</v>
      </c>
      <c r="M1427" s="31">
        <v>351</v>
      </c>
      <c r="N1427" s="31">
        <v>2011</v>
      </c>
      <c r="O1427" s="31">
        <v>292</v>
      </c>
      <c r="P1427" s="31"/>
      <c r="Q1427" s="31"/>
      <c r="R1427" s="33"/>
      <c r="S1427" s="34" t="str">
        <f>HYPERLINK("http://www.cnpol.ru/covers/12542.jpg","фото на сайте")</f>
        <v>фото на сайте</v>
      </c>
    </row>
    <row r="1428" spans="1:19" ht="50.1" customHeight="1">
      <c r="A1428" s="31"/>
      <c r="B1428" s="32" t="s">
        <v>5664</v>
      </c>
      <c r="C1428" s="31" t="s">
        <v>400</v>
      </c>
      <c r="D1428" s="31" t="s">
        <v>5665</v>
      </c>
      <c r="E1428" s="31" t="s">
        <v>5666</v>
      </c>
      <c r="F1428" s="31" t="s">
        <v>31</v>
      </c>
      <c r="G1428" s="31">
        <v>503</v>
      </c>
      <c r="H1428" s="31">
        <v>10</v>
      </c>
      <c r="I1428" s="31">
        <v>10</v>
      </c>
      <c r="J1428" s="31" t="s">
        <v>5667</v>
      </c>
      <c r="K1428" s="31" t="s">
        <v>33</v>
      </c>
      <c r="L1428" s="31" t="s">
        <v>34</v>
      </c>
      <c r="M1428" s="31">
        <v>350</v>
      </c>
      <c r="N1428" s="31">
        <v>2020</v>
      </c>
      <c r="O1428" s="31">
        <v>288</v>
      </c>
      <c r="P1428" s="31"/>
      <c r="Q1428" s="31"/>
      <c r="R1428" s="33"/>
      <c r="S1428" s="34" t="str">
        <f>HYPERLINK("http://www.cnpol.ru/covers/19207.jpg","фото на сайте")</f>
        <v>фото на сайте</v>
      </c>
    </row>
    <row r="1429" spans="1:19" ht="50.1" customHeight="1">
      <c r="A1429" s="31" t="s">
        <v>35</v>
      </c>
      <c r="B1429" s="32" t="s">
        <v>5668</v>
      </c>
      <c r="C1429" s="31" t="s">
        <v>143</v>
      </c>
      <c r="D1429" s="31" t="s">
        <v>5669</v>
      </c>
      <c r="E1429" s="31" t="s">
        <v>5670</v>
      </c>
      <c r="F1429" s="31" t="s">
        <v>31</v>
      </c>
      <c r="G1429" s="31">
        <v>917</v>
      </c>
      <c r="H1429" s="31">
        <v>10</v>
      </c>
      <c r="I1429" s="31">
        <v>12</v>
      </c>
      <c r="J1429" s="31" t="s">
        <v>5671</v>
      </c>
      <c r="K1429" s="31" t="s">
        <v>33</v>
      </c>
      <c r="L1429" s="31" t="s">
        <v>34</v>
      </c>
      <c r="M1429" s="31">
        <v>319</v>
      </c>
      <c r="N1429" s="31">
        <v>2024</v>
      </c>
      <c r="O1429" s="31">
        <v>370</v>
      </c>
      <c r="P1429" s="31"/>
      <c r="Q1429" s="31"/>
      <c r="R1429" s="33" t="s">
        <v>5672</v>
      </c>
      <c r="S1429" s="34" t="str">
        <f>HYPERLINK("http://www.cnpol.ru/covers/21185.jpg","фото на сайте")</f>
        <v>фото на сайте</v>
      </c>
    </row>
    <row r="1430" spans="1:19" ht="50.1" customHeight="1">
      <c r="A1430" s="31" t="s">
        <v>43</v>
      </c>
      <c r="B1430" s="32" t="s">
        <v>5673</v>
      </c>
      <c r="C1430" s="31" t="s">
        <v>1016</v>
      </c>
      <c r="D1430" s="31" t="s">
        <v>2389</v>
      </c>
      <c r="E1430" s="31" t="s">
        <v>5674</v>
      </c>
      <c r="F1430" s="31" t="s">
        <v>31</v>
      </c>
      <c r="G1430" s="31">
        <v>944</v>
      </c>
      <c r="H1430" s="31">
        <v>10</v>
      </c>
      <c r="I1430" s="31">
        <v>12</v>
      </c>
      <c r="J1430" s="31" t="s">
        <v>5675</v>
      </c>
      <c r="K1430" s="31" t="s">
        <v>33</v>
      </c>
      <c r="L1430" s="31" t="s">
        <v>34</v>
      </c>
      <c r="M1430" s="31">
        <v>317</v>
      </c>
      <c r="N1430" s="31">
        <v>2025</v>
      </c>
      <c r="O1430" s="31">
        <v>310</v>
      </c>
      <c r="P1430" s="31"/>
      <c r="Q1430" s="31"/>
      <c r="R1430" s="33" t="s">
        <v>5676</v>
      </c>
      <c r="S1430" s="34" t="str">
        <f>HYPERLINK("http://www.cnpol.ru/covers/21513.jpg","фото на сайте")</f>
        <v>фото на сайте</v>
      </c>
    </row>
    <row r="1431" spans="1:19" ht="50.1" customHeight="1">
      <c r="A1431" s="31"/>
      <c r="B1431" s="32" t="s">
        <v>5677</v>
      </c>
      <c r="C1431" s="31" t="s">
        <v>464</v>
      </c>
      <c r="D1431" s="31" t="s">
        <v>2607</v>
      </c>
      <c r="E1431" s="31" t="s">
        <v>5678</v>
      </c>
      <c r="F1431" s="31" t="s">
        <v>31</v>
      </c>
      <c r="G1431" s="31">
        <v>137</v>
      </c>
      <c r="H1431" s="31">
        <v>10</v>
      </c>
      <c r="I1431" s="31">
        <v>50</v>
      </c>
      <c r="J1431" s="31" t="s">
        <v>5679</v>
      </c>
      <c r="K1431" s="31" t="s">
        <v>468</v>
      </c>
      <c r="L1431" s="31" t="s">
        <v>56</v>
      </c>
      <c r="M1431" s="31">
        <v>18</v>
      </c>
      <c r="N1431" s="31">
        <v>2007</v>
      </c>
      <c r="O1431" s="31">
        <v>88</v>
      </c>
      <c r="P1431" s="31"/>
      <c r="Q1431" s="31"/>
      <c r="R1431" s="33"/>
      <c r="S1431" s="34" t="str">
        <f>HYPERLINK("http://www.cnpol.ru/covers/6418.jpg","фото на сайте")</f>
        <v>фото на сайте</v>
      </c>
    </row>
    <row r="1432" spans="1:19" ht="50.1" customHeight="1">
      <c r="A1432" s="31"/>
      <c r="B1432" s="32" t="s">
        <v>5680</v>
      </c>
      <c r="C1432" s="31" t="s">
        <v>1102</v>
      </c>
      <c r="D1432" s="31" t="s">
        <v>3991</v>
      </c>
      <c r="E1432" s="31" t="s">
        <v>5681</v>
      </c>
      <c r="F1432" s="31" t="s">
        <v>31</v>
      </c>
      <c r="G1432" s="31">
        <v>640</v>
      </c>
      <c r="H1432" s="31">
        <v>10</v>
      </c>
      <c r="I1432" s="31">
        <v>10</v>
      </c>
      <c r="J1432" s="31" t="s">
        <v>5682</v>
      </c>
      <c r="K1432" s="31" t="s">
        <v>33</v>
      </c>
      <c r="L1432" s="31" t="s">
        <v>34</v>
      </c>
      <c r="M1432" s="31">
        <v>416</v>
      </c>
      <c r="N1432" s="31">
        <v>2016</v>
      </c>
      <c r="O1432" s="31">
        <v>316</v>
      </c>
      <c r="P1432" s="31"/>
      <c r="Q1432" s="31"/>
      <c r="R1432" s="33"/>
      <c r="S1432" s="34" t="str">
        <f>HYPERLINK("http://www.cnpol.ru/covers/16741.jpg","фото на сайте")</f>
        <v>фото на сайте</v>
      </c>
    </row>
    <row r="1433" spans="1:19" ht="50.1" customHeight="1">
      <c r="A1433" s="31"/>
      <c r="B1433" s="32" t="s">
        <v>5683</v>
      </c>
      <c r="C1433" s="31" t="s">
        <v>413</v>
      </c>
      <c r="D1433" s="31" t="s">
        <v>5684</v>
      </c>
      <c r="E1433" s="31" t="s">
        <v>5685</v>
      </c>
      <c r="F1433" s="31">
        <v>153</v>
      </c>
      <c r="G1433" s="31">
        <v>117</v>
      </c>
      <c r="H1433" s="31">
        <v>10</v>
      </c>
      <c r="I1433" s="31">
        <v>36</v>
      </c>
      <c r="J1433" s="31" t="s">
        <v>5686</v>
      </c>
      <c r="K1433" s="31" t="s">
        <v>123</v>
      </c>
      <c r="L1433" s="31" t="s">
        <v>56</v>
      </c>
      <c r="M1433" s="31">
        <v>192</v>
      </c>
      <c r="N1433" s="31">
        <v>2018</v>
      </c>
      <c r="O1433" s="31">
        <v>90</v>
      </c>
      <c r="P1433" s="31"/>
      <c r="Q1433" s="31"/>
      <c r="R1433" s="33"/>
      <c r="S1433" s="34" t="str">
        <f>HYPERLINK("http://www.cnpol.ru/covers/18017.jpg","фото на сайте")</f>
        <v>фото на сайте</v>
      </c>
    </row>
    <row r="1434" spans="1:19" ht="50.1" customHeight="1">
      <c r="A1434" s="31"/>
      <c r="B1434" s="32" t="s">
        <v>5687</v>
      </c>
      <c r="C1434" s="31" t="s">
        <v>390</v>
      </c>
      <c r="D1434" s="31" t="s">
        <v>1801</v>
      </c>
      <c r="E1434" s="31" t="s">
        <v>5688</v>
      </c>
      <c r="F1434" s="31">
        <v>671</v>
      </c>
      <c r="G1434" s="31">
        <v>86</v>
      </c>
      <c r="H1434" s="31">
        <v>10</v>
      </c>
      <c r="I1434" s="31">
        <v>30</v>
      </c>
      <c r="J1434" s="31" t="s">
        <v>5689</v>
      </c>
      <c r="K1434" s="31" t="s">
        <v>123</v>
      </c>
      <c r="L1434" s="31" t="s">
        <v>56</v>
      </c>
      <c r="M1434" s="31">
        <v>160</v>
      </c>
      <c r="N1434" s="31">
        <v>2016</v>
      </c>
      <c r="O1434" s="31">
        <v>76</v>
      </c>
      <c r="P1434" s="31"/>
      <c r="Q1434" s="31"/>
      <c r="R1434" s="33"/>
      <c r="S1434" s="34" t="str">
        <f>HYPERLINK("http://www.cnpol.ru/covers/17155.jpg","фото на сайте")</f>
        <v>фото на сайте</v>
      </c>
    </row>
    <row r="1435" spans="1:19" ht="50.1" customHeight="1">
      <c r="A1435" s="31"/>
      <c r="B1435" s="32" t="s">
        <v>5690</v>
      </c>
      <c r="C1435" s="31" t="s">
        <v>400</v>
      </c>
      <c r="D1435" s="31" t="s">
        <v>5691</v>
      </c>
      <c r="E1435" s="31" t="s">
        <v>5692</v>
      </c>
      <c r="F1435" s="31" t="s">
        <v>31</v>
      </c>
      <c r="G1435" s="31">
        <v>503</v>
      </c>
      <c r="H1435" s="31">
        <v>10</v>
      </c>
      <c r="I1435" s="31">
        <v>14</v>
      </c>
      <c r="J1435" s="31" t="s">
        <v>5693</v>
      </c>
      <c r="K1435" s="31" t="s">
        <v>33</v>
      </c>
      <c r="L1435" s="31" t="s">
        <v>34</v>
      </c>
      <c r="M1435" s="31">
        <v>320</v>
      </c>
      <c r="N1435" s="31">
        <v>2019</v>
      </c>
      <c r="O1435" s="31">
        <v>274</v>
      </c>
      <c r="P1435" s="31"/>
      <c r="Q1435" s="31"/>
      <c r="R1435" s="33"/>
      <c r="S1435" s="34" t="str">
        <f>HYPERLINK("http://www.cnpol.ru/covers/18919.jpg","фото на сайте")</f>
        <v>фото на сайте</v>
      </c>
    </row>
    <row r="1436" spans="1:19" ht="50.1" customHeight="1">
      <c r="A1436" s="31"/>
      <c r="B1436" s="32" t="s">
        <v>5694</v>
      </c>
      <c r="C1436" s="31" t="s">
        <v>2056</v>
      </c>
      <c r="D1436" s="31" t="s">
        <v>5695</v>
      </c>
      <c r="E1436" s="31" t="s">
        <v>5696</v>
      </c>
      <c r="F1436" s="31" t="s">
        <v>31</v>
      </c>
      <c r="G1436" s="35">
        <v>1412</v>
      </c>
      <c r="H1436" s="31">
        <v>10</v>
      </c>
      <c r="I1436" s="31">
        <v>8</v>
      </c>
      <c r="J1436" s="31" t="s">
        <v>5697</v>
      </c>
      <c r="K1436" s="31" t="s">
        <v>33</v>
      </c>
      <c r="L1436" s="31" t="s">
        <v>34</v>
      </c>
      <c r="M1436" s="31">
        <v>624</v>
      </c>
      <c r="N1436" s="31">
        <v>2021</v>
      </c>
      <c r="O1436" s="31">
        <v>550</v>
      </c>
      <c r="P1436" s="31"/>
      <c r="Q1436" s="31"/>
      <c r="R1436" s="33"/>
      <c r="S1436" s="34" t="str">
        <f>HYPERLINK("http://www.cnpol.ru/covers/19741.jpg","фото на сайте")</f>
        <v>фото на сайте</v>
      </c>
    </row>
    <row r="1437" spans="1:19" ht="50.1" customHeight="1">
      <c r="A1437" s="31"/>
      <c r="B1437" s="32" t="s">
        <v>5698</v>
      </c>
      <c r="C1437" s="31" t="s">
        <v>390</v>
      </c>
      <c r="D1437" s="31" t="s">
        <v>3214</v>
      </c>
      <c r="E1437" s="31" t="s">
        <v>5699</v>
      </c>
      <c r="F1437" s="31">
        <v>815</v>
      </c>
      <c r="G1437" s="31">
        <v>86</v>
      </c>
      <c r="H1437" s="31">
        <v>10</v>
      </c>
      <c r="I1437" s="31">
        <v>30</v>
      </c>
      <c r="J1437" s="31" t="s">
        <v>5700</v>
      </c>
      <c r="K1437" s="31" t="s">
        <v>123</v>
      </c>
      <c r="L1437" s="31" t="s">
        <v>56</v>
      </c>
      <c r="M1437" s="31">
        <v>160</v>
      </c>
      <c r="N1437" s="31">
        <v>2018</v>
      </c>
      <c r="O1437" s="31">
        <v>76</v>
      </c>
      <c r="P1437" s="31"/>
      <c r="Q1437" s="31"/>
      <c r="R1437" s="33"/>
      <c r="S1437" s="34" t="str">
        <f>HYPERLINK("http://www.cnpol.ru/covers/18179.jpg","фото на сайте")</f>
        <v>фото на сайте</v>
      </c>
    </row>
    <row r="1438" spans="1:19" ht="50.1" customHeight="1">
      <c r="A1438" s="31"/>
      <c r="B1438" s="32" t="s">
        <v>5701</v>
      </c>
      <c r="C1438" s="31" t="s">
        <v>302</v>
      </c>
      <c r="D1438" s="31" t="s">
        <v>5702</v>
      </c>
      <c r="E1438" s="31" t="s">
        <v>5703</v>
      </c>
      <c r="F1438" s="31" t="s">
        <v>31</v>
      </c>
      <c r="G1438" s="31">
        <v>917</v>
      </c>
      <c r="H1438" s="31">
        <v>10</v>
      </c>
      <c r="I1438" s="31">
        <v>12</v>
      </c>
      <c r="J1438" s="31" t="s">
        <v>5704</v>
      </c>
      <c r="K1438" s="31" t="s">
        <v>41</v>
      </c>
      <c r="L1438" s="31" t="s">
        <v>304</v>
      </c>
      <c r="M1438" s="31">
        <v>400</v>
      </c>
      <c r="N1438" s="31">
        <v>2016</v>
      </c>
      <c r="O1438" s="31">
        <v>536</v>
      </c>
      <c r="P1438" s="31"/>
      <c r="Q1438" s="31"/>
      <c r="R1438" s="33"/>
      <c r="S1438" s="34" t="str">
        <f>HYPERLINK("http://www.cnpol.ru/covers/16429.jpg","фото на сайте")</f>
        <v>фото на сайте</v>
      </c>
    </row>
    <row r="1439" spans="1:19" ht="50.1" customHeight="1">
      <c r="A1439" s="31"/>
      <c r="B1439" s="32" t="s">
        <v>5705</v>
      </c>
      <c r="C1439" s="31" t="s">
        <v>546</v>
      </c>
      <c r="D1439" s="31" t="s">
        <v>5706</v>
      </c>
      <c r="E1439" s="31" t="s">
        <v>5707</v>
      </c>
      <c r="F1439" s="31">
        <v>280</v>
      </c>
      <c r="G1439" s="31">
        <v>93</v>
      </c>
      <c r="H1439" s="31">
        <v>10</v>
      </c>
      <c r="I1439" s="31">
        <v>30</v>
      </c>
      <c r="J1439" s="31" t="s">
        <v>5708</v>
      </c>
      <c r="K1439" s="31" t="s">
        <v>123</v>
      </c>
      <c r="L1439" s="31" t="s">
        <v>56</v>
      </c>
      <c r="M1439" s="31">
        <v>160</v>
      </c>
      <c r="N1439" s="31">
        <v>2018</v>
      </c>
      <c r="O1439" s="31">
        <v>76</v>
      </c>
      <c r="P1439" s="31"/>
      <c r="Q1439" s="31"/>
      <c r="R1439" s="33"/>
      <c r="S1439" s="34" t="str">
        <f>HYPERLINK("http://www.cnpol.ru/covers/18325.jpg","фото на сайте")</f>
        <v>фото на сайте</v>
      </c>
    </row>
    <row r="1440" spans="1:19" ht="50.1" customHeight="1">
      <c r="A1440" s="31"/>
      <c r="B1440" s="32" t="s">
        <v>5709</v>
      </c>
      <c r="C1440" s="31" t="s">
        <v>385</v>
      </c>
      <c r="D1440" s="31" t="s">
        <v>386</v>
      </c>
      <c r="E1440" s="31" t="s">
        <v>5710</v>
      </c>
      <c r="F1440" s="31" t="s">
        <v>31</v>
      </c>
      <c r="G1440" s="31">
        <v>162</v>
      </c>
      <c r="H1440" s="31">
        <v>10</v>
      </c>
      <c r="I1440" s="31">
        <v>32</v>
      </c>
      <c r="J1440" s="31" t="s">
        <v>5711</v>
      </c>
      <c r="K1440" s="31" t="s">
        <v>55</v>
      </c>
      <c r="L1440" s="31" t="s">
        <v>56</v>
      </c>
      <c r="M1440" s="31">
        <v>256</v>
      </c>
      <c r="N1440" s="31">
        <v>2016</v>
      </c>
      <c r="O1440" s="31">
        <v>108</v>
      </c>
      <c r="P1440" s="31"/>
      <c r="Q1440" s="31"/>
      <c r="R1440" s="33"/>
      <c r="S1440" s="34" t="str">
        <f>HYPERLINK("http://www.cnpol.ru/covers/0169.jpg","фото на сайте")</f>
        <v>фото на сайте</v>
      </c>
    </row>
    <row r="1441" spans="1:19" ht="50.1" customHeight="1">
      <c r="A1441" s="31"/>
      <c r="B1441" s="32" t="s">
        <v>5712</v>
      </c>
      <c r="C1441" s="31" t="s">
        <v>423</v>
      </c>
      <c r="D1441" s="31" t="s">
        <v>5713</v>
      </c>
      <c r="E1441" s="31" t="s">
        <v>5714</v>
      </c>
      <c r="F1441" s="31" t="s">
        <v>31</v>
      </c>
      <c r="G1441" s="31">
        <v>122</v>
      </c>
      <c r="H1441" s="31">
        <v>10</v>
      </c>
      <c r="I1441" s="31">
        <v>24</v>
      </c>
      <c r="J1441" s="31" t="s">
        <v>5715</v>
      </c>
      <c r="K1441" s="31" t="s">
        <v>55</v>
      </c>
      <c r="L1441" s="31" t="s">
        <v>56</v>
      </c>
      <c r="M1441" s="31">
        <v>380</v>
      </c>
      <c r="N1441" s="31" t="s">
        <v>431</v>
      </c>
      <c r="O1441" s="31">
        <v>156</v>
      </c>
      <c r="P1441" s="31"/>
      <c r="Q1441" s="31"/>
      <c r="R1441" s="33"/>
      <c r="S1441" s="34" t="str">
        <f>HYPERLINK("http://www.cnpol.ru/covers/4579.jpg","фото на сайте")</f>
        <v>фото на сайте</v>
      </c>
    </row>
    <row r="1442" spans="1:19" ht="50.1" customHeight="1">
      <c r="A1442" s="31"/>
      <c r="B1442" s="32" t="s">
        <v>5716</v>
      </c>
      <c r="C1442" s="31" t="s">
        <v>423</v>
      </c>
      <c r="D1442" s="31" t="s">
        <v>5713</v>
      </c>
      <c r="E1442" s="31" t="s">
        <v>5714</v>
      </c>
      <c r="F1442" s="31" t="s">
        <v>31</v>
      </c>
      <c r="G1442" s="31">
        <v>96</v>
      </c>
      <c r="H1442" s="31">
        <v>10</v>
      </c>
      <c r="I1442" s="31">
        <v>24</v>
      </c>
      <c r="J1442" s="31" t="s">
        <v>5715</v>
      </c>
      <c r="K1442" s="31" t="s">
        <v>55</v>
      </c>
      <c r="L1442" s="31" t="s">
        <v>56</v>
      </c>
      <c r="M1442" s="31">
        <v>380</v>
      </c>
      <c r="N1442" s="31" t="s">
        <v>431</v>
      </c>
      <c r="O1442" s="31" t="s">
        <v>220</v>
      </c>
      <c r="P1442" s="31"/>
      <c r="Q1442" s="31"/>
      <c r="R1442" s="33"/>
      <c r="S1442" s="34" t="str">
        <f>HYPERLINK("http://www.cnpol.ru/covers/3853.jpg","фото на сайте")</f>
        <v>фото на сайте</v>
      </c>
    </row>
    <row r="1443" spans="1:19" ht="50.1" customHeight="1">
      <c r="A1443" s="31"/>
      <c r="B1443" s="32" t="s">
        <v>5717</v>
      </c>
      <c r="C1443" s="31" t="s">
        <v>423</v>
      </c>
      <c r="D1443" s="31" t="s">
        <v>5713</v>
      </c>
      <c r="E1443" s="31" t="s">
        <v>5714</v>
      </c>
      <c r="F1443" s="31" t="s">
        <v>31</v>
      </c>
      <c r="G1443" s="31">
        <v>154</v>
      </c>
      <c r="H1443" s="31">
        <v>10</v>
      </c>
      <c r="I1443" s="31">
        <v>24</v>
      </c>
      <c r="J1443" s="31" t="s">
        <v>5715</v>
      </c>
      <c r="K1443" s="31" t="s">
        <v>55</v>
      </c>
      <c r="L1443" s="31" t="s">
        <v>56</v>
      </c>
      <c r="M1443" s="31">
        <v>380</v>
      </c>
      <c r="N1443" s="31">
        <v>2005</v>
      </c>
      <c r="O1443" s="31">
        <v>156</v>
      </c>
      <c r="P1443" s="31"/>
      <c r="Q1443" s="31"/>
      <c r="R1443" s="33"/>
      <c r="S1443" s="34" t="str">
        <f>HYPERLINK("http://www.cnpol.ru/covers/5541.jpg","фото на сайте")</f>
        <v>фото на сайте</v>
      </c>
    </row>
    <row r="1444" spans="1:19" ht="50.1" customHeight="1">
      <c r="A1444" s="31"/>
      <c r="B1444" s="32" t="s">
        <v>5718</v>
      </c>
      <c r="C1444" s="31" t="s">
        <v>520</v>
      </c>
      <c r="D1444" s="31" t="s">
        <v>5719</v>
      </c>
      <c r="E1444" s="31" t="s">
        <v>5714</v>
      </c>
      <c r="F1444" s="31">
        <v>93</v>
      </c>
      <c r="G1444" s="31">
        <v>117</v>
      </c>
      <c r="H1444" s="31">
        <v>10</v>
      </c>
      <c r="I1444" s="31">
        <v>24</v>
      </c>
      <c r="J1444" s="31" t="s">
        <v>5720</v>
      </c>
      <c r="K1444" s="31" t="s">
        <v>123</v>
      </c>
      <c r="L1444" s="31" t="s">
        <v>56</v>
      </c>
      <c r="M1444" s="31">
        <v>191</v>
      </c>
      <c r="N1444" s="31">
        <v>2023</v>
      </c>
      <c r="O1444" s="31">
        <v>76</v>
      </c>
      <c r="P1444" s="31"/>
      <c r="Q1444" s="31"/>
      <c r="R1444" s="33" t="s">
        <v>5721</v>
      </c>
      <c r="S1444" s="34" t="str">
        <f>HYPERLINK("http://www.cnpol.ru/covers/20867.jpg","фото на сайте")</f>
        <v>фото на сайте</v>
      </c>
    </row>
    <row r="1445" spans="1:19" ht="50.1" customHeight="1">
      <c r="A1445" s="31"/>
      <c r="B1445" s="32" t="s">
        <v>5722</v>
      </c>
      <c r="C1445" s="31" t="s">
        <v>5723</v>
      </c>
      <c r="D1445" s="31" t="s">
        <v>5724</v>
      </c>
      <c r="E1445" s="31" t="s">
        <v>5725</v>
      </c>
      <c r="F1445" s="31" t="s">
        <v>31</v>
      </c>
      <c r="G1445" s="31">
        <v>105</v>
      </c>
      <c r="H1445" s="31">
        <v>10</v>
      </c>
      <c r="I1445" s="31">
        <v>80</v>
      </c>
      <c r="J1445" s="31" t="s">
        <v>5726</v>
      </c>
      <c r="K1445" s="31" t="s">
        <v>1159</v>
      </c>
      <c r="L1445" s="31" t="s">
        <v>56</v>
      </c>
      <c r="M1445" s="31">
        <v>48</v>
      </c>
      <c r="N1445" s="31">
        <v>2007</v>
      </c>
      <c r="O1445" s="31">
        <v>44</v>
      </c>
      <c r="P1445" s="31"/>
      <c r="Q1445" s="31"/>
      <c r="R1445" s="33"/>
      <c r="S1445" s="34" t="str">
        <f>HYPERLINK("http://www.cnpol.ru/covers/6323.jpg","фото на сайте")</f>
        <v>фото на сайте</v>
      </c>
    </row>
    <row r="1446" spans="1:19" ht="50.1" customHeight="1">
      <c r="A1446" s="31"/>
      <c r="B1446" s="32" t="s">
        <v>5727</v>
      </c>
      <c r="C1446" s="31" t="s">
        <v>5723</v>
      </c>
      <c r="D1446" s="31" t="s">
        <v>5728</v>
      </c>
      <c r="E1446" s="31" t="s">
        <v>5725</v>
      </c>
      <c r="F1446" s="31" t="s">
        <v>31</v>
      </c>
      <c r="G1446" s="31">
        <v>105</v>
      </c>
      <c r="H1446" s="31">
        <v>10</v>
      </c>
      <c r="I1446" s="31">
        <v>80</v>
      </c>
      <c r="J1446" s="31" t="s">
        <v>5729</v>
      </c>
      <c r="K1446" s="31" t="s">
        <v>130</v>
      </c>
      <c r="L1446" s="31" t="s">
        <v>56</v>
      </c>
      <c r="M1446" s="31">
        <v>48</v>
      </c>
      <c r="N1446" s="31">
        <v>2007</v>
      </c>
      <c r="O1446" s="31">
        <v>44</v>
      </c>
      <c r="P1446" s="31"/>
      <c r="Q1446" s="31"/>
      <c r="R1446" s="33"/>
      <c r="S1446" s="34" t="str">
        <f>HYPERLINK("http://www.cnpol.ru/covers/6321.jpg","фото на сайте")</f>
        <v>фото на сайте</v>
      </c>
    </row>
    <row r="1447" spans="1:19" ht="50.1" customHeight="1">
      <c r="A1447" s="31"/>
      <c r="B1447" s="32" t="s">
        <v>5730</v>
      </c>
      <c r="C1447" s="31" t="s">
        <v>5723</v>
      </c>
      <c r="D1447" s="31" t="s">
        <v>5731</v>
      </c>
      <c r="E1447" s="31" t="s">
        <v>5725</v>
      </c>
      <c r="F1447" s="31" t="s">
        <v>31</v>
      </c>
      <c r="G1447" s="31">
        <v>105</v>
      </c>
      <c r="H1447" s="31">
        <v>10</v>
      </c>
      <c r="I1447" s="31">
        <v>80</v>
      </c>
      <c r="J1447" s="31" t="s">
        <v>5732</v>
      </c>
      <c r="K1447" s="31" t="s">
        <v>130</v>
      </c>
      <c r="L1447" s="31" t="s">
        <v>56</v>
      </c>
      <c r="M1447" s="31">
        <v>48</v>
      </c>
      <c r="N1447" s="31">
        <v>2007</v>
      </c>
      <c r="O1447" s="31">
        <v>42</v>
      </c>
      <c r="P1447" s="31"/>
      <c r="Q1447" s="31"/>
      <c r="R1447" s="33"/>
      <c r="S1447" s="34" t="str">
        <f>HYPERLINK("http://www.cnpol.ru/covers/6405.jpg","фото на сайте")</f>
        <v>фото на сайте</v>
      </c>
    </row>
    <row r="1448" spans="1:19" ht="50.1" customHeight="1">
      <c r="A1448" s="31"/>
      <c r="B1448" s="32" t="s">
        <v>5733</v>
      </c>
      <c r="C1448" s="31" t="s">
        <v>5723</v>
      </c>
      <c r="D1448" s="31" t="s">
        <v>5734</v>
      </c>
      <c r="E1448" s="31" t="s">
        <v>5725</v>
      </c>
      <c r="F1448" s="31" t="s">
        <v>31</v>
      </c>
      <c r="G1448" s="31">
        <v>105</v>
      </c>
      <c r="H1448" s="31">
        <v>10</v>
      </c>
      <c r="I1448" s="31">
        <v>80</v>
      </c>
      <c r="J1448" s="31" t="s">
        <v>5735</v>
      </c>
      <c r="K1448" s="31" t="s">
        <v>130</v>
      </c>
      <c r="L1448" s="31" t="s">
        <v>56</v>
      </c>
      <c r="M1448" s="31">
        <v>48</v>
      </c>
      <c r="N1448" s="31">
        <v>2007</v>
      </c>
      <c r="O1448" s="31">
        <v>42</v>
      </c>
      <c r="P1448" s="31"/>
      <c r="Q1448" s="31"/>
      <c r="R1448" s="33"/>
      <c r="S1448" s="34" t="str">
        <f>HYPERLINK("http://www.cnpol.ru/covers/6406.jpg","фото на сайте")</f>
        <v>фото на сайте</v>
      </c>
    </row>
    <row r="1449" spans="1:19" ht="50.1" customHeight="1">
      <c r="A1449" s="31"/>
      <c r="B1449" s="32" t="s">
        <v>5736</v>
      </c>
      <c r="C1449" s="31" t="s">
        <v>5723</v>
      </c>
      <c r="D1449" s="31" t="s">
        <v>5737</v>
      </c>
      <c r="E1449" s="31" t="s">
        <v>5725</v>
      </c>
      <c r="F1449" s="31" t="s">
        <v>31</v>
      </c>
      <c r="G1449" s="31">
        <v>105</v>
      </c>
      <c r="H1449" s="31">
        <v>10</v>
      </c>
      <c r="I1449" s="31">
        <v>80</v>
      </c>
      <c r="J1449" s="31" t="s">
        <v>5738</v>
      </c>
      <c r="K1449" s="31" t="s">
        <v>130</v>
      </c>
      <c r="L1449" s="31" t="s">
        <v>56</v>
      </c>
      <c r="M1449" s="31">
        <v>48</v>
      </c>
      <c r="N1449" s="31">
        <v>2007</v>
      </c>
      <c r="O1449" s="31">
        <v>42</v>
      </c>
      <c r="P1449" s="31"/>
      <c r="Q1449" s="31"/>
      <c r="R1449" s="33"/>
      <c r="S1449" s="34" t="str">
        <f>HYPERLINK("http://www.cnpol.ru/covers/6424.jpg","фото на сайте")</f>
        <v>фото на сайте</v>
      </c>
    </row>
    <row r="1450" spans="1:19" ht="50.1" customHeight="1">
      <c r="A1450" s="31"/>
      <c r="B1450" s="32" t="s">
        <v>5739</v>
      </c>
      <c r="C1450" s="31" t="s">
        <v>390</v>
      </c>
      <c r="D1450" s="31" t="s">
        <v>1801</v>
      </c>
      <c r="E1450" s="31" t="s">
        <v>5740</v>
      </c>
      <c r="F1450" s="31">
        <v>608</v>
      </c>
      <c r="G1450" s="31">
        <v>86</v>
      </c>
      <c r="H1450" s="31">
        <v>10</v>
      </c>
      <c r="I1450" s="31">
        <v>30</v>
      </c>
      <c r="J1450" s="31" t="s">
        <v>5741</v>
      </c>
      <c r="K1450" s="31" t="s">
        <v>123</v>
      </c>
      <c r="L1450" s="31" t="s">
        <v>56</v>
      </c>
      <c r="M1450" s="31">
        <v>160</v>
      </c>
      <c r="N1450" s="31">
        <v>2016</v>
      </c>
      <c r="O1450" s="31">
        <v>76</v>
      </c>
      <c r="P1450" s="31"/>
      <c r="Q1450" s="31"/>
      <c r="R1450" s="33"/>
      <c r="S1450" s="34" t="str">
        <f>HYPERLINK("http://www.cnpol.ru/covers/16684.jpg","фото на сайте")</f>
        <v>фото на сайте</v>
      </c>
    </row>
    <row r="1451" spans="1:19" ht="50.1" customHeight="1">
      <c r="A1451" s="31"/>
      <c r="B1451" s="32" t="s">
        <v>5742</v>
      </c>
      <c r="C1451" s="31" t="s">
        <v>400</v>
      </c>
      <c r="D1451" s="31" t="s">
        <v>5743</v>
      </c>
      <c r="E1451" s="31" t="s">
        <v>5744</v>
      </c>
      <c r="F1451" s="31" t="s">
        <v>31</v>
      </c>
      <c r="G1451" s="31">
        <v>503</v>
      </c>
      <c r="H1451" s="31">
        <v>10</v>
      </c>
      <c r="I1451" s="31">
        <v>14</v>
      </c>
      <c r="J1451" s="31" t="s">
        <v>5745</v>
      </c>
      <c r="K1451" s="31" t="s">
        <v>33</v>
      </c>
      <c r="L1451" s="31" t="s">
        <v>34</v>
      </c>
      <c r="M1451" s="31">
        <v>318</v>
      </c>
      <c r="N1451" s="31">
        <v>2015</v>
      </c>
      <c r="O1451" s="31">
        <v>270</v>
      </c>
      <c r="P1451" s="31"/>
      <c r="Q1451" s="31"/>
      <c r="R1451" s="33"/>
      <c r="S1451" s="34" t="str">
        <f>HYPERLINK("http://www.cnpol.ru/covers/16078.jpg","фото на сайте")</f>
        <v>фото на сайте</v>
      </c>
    </row>
    <row r="1452" spans="1:19" ht="50.1" customHeight="1">
      <c r="A1452" s="31"/>
      <c r="B1452" s="32" t="s">
        <v>5746</v>
      </c>
      <c r="C1452" s="31" t="s">
        <v>400</v>
      </c>
      <c r="D1452" s="31" t="s">
        <v>5747</v>
      </c>
      <c r="E1452" s="31" t="s">
        <v>5748</v>
      </c>
      <c r="F1452" s="31" t="s">
        <v>31</v>
      </c>
      <c r="G1452" s="31">
        <v>503</v>
      </c>
      <c r="H1452" s="31">
        <v>10</v>
      </c>
      <c r="I1452" s="31">
        <v>14</v>
      </c>
      <c r="J1452" s="31" t="s">
        <v>5749</v>
      </c>
      <c r="K1452" s="31" t="s">
        <v>33</v>
      </c>
      <c r="L1452" s="31" t="s">
        <v>34</v>
      </c>
      <c r="M1452" s="31">
        <v>317</v>
      </c>
      <c r="N1452" s="31">
        <v>2014</v>
      </c>
      <c r="O1452" s="31">
        <v>268</v>
      </c>
      <c r="P1452" s="31"/>
      <c r="Q1452" s="31"/>
      <c r="R1452" s="33"/>
      <c r="S1452" s="34" t="str">
        <f>HYPERLINK("http://www.cnpol.ru/covers/14969.jpg","фото на сайте")</f>
        <v>фото на сайте</v>
      </c>
    </row>
    <row r="1453" spans="1:19" ht="50.1" customHeight="1">
      <c r="A1453" s="31"/>
      <c r="B1453" s="32" t="s">
        <v>5750</v>
      </c>
      <c r="C1453" s="31" t="s">
        <v>5751</v>
      </c>
      <c r="D1453" s="31" t="s">
        <v>5752</v>
      </c>
      <c r="E1453" s="31" t="s">
        <v>5753</v>
      </c>
      <c r="F1453" s="31" t="s">
        <v>31</v>
      </c>
      <c r="G1453" s="31">
        <v>154</v>
      </c>
      <c r="H1453" s="31">
        <v>10</v>
      </c>
      <c r="I1453" s="31">
        <v>32</v>
      </c>
      <c r="J1453" s="31" t="s">
        <v>5754</v>
      </c>
      <c r="K1453" s="31" t="s">
        <v>55</v>
      </c>
      <c r="L1453" s="31" t="s">
        <v>56</v>
      </c>
      <c r="M1453" s="31">
        <v>285</v>
      </c>
      <c r="N1453" s="31">
        <v>2012</v>
      </c>
      <c r="O1453" s="31">
        <v>126</v>
      </c>
      <c r="P1453" s="31"/>
      <c r="Q1453" s="31"/>
      <c r="R1453" s="33"/>
      <c r="S1453" s="34" t="str">
        <f>HYPERLINK("http://www.cnpol.ru/covers/13673.jpg","фото на сайте")</f>
        <v>фото на сайте</v>
      </c>
    </row>
    <row r="1454" spans="1:19" ht="50.1" customHeight="1">
      <c r="A1454" s="31"/>
      <c r="B1454" s="32" t="s">
        <v>5755</v>
      </c>
      <c r="C1454" s="31" t="s">
        <v>5756</v>
      </c>
      <c r="D1454" s="31" t="s">
        <v>5757</v>
      </c>
      <c r="E1454" s="31" t="s">
        <v>5758</v>
      </c>
      <c r="F1454" s="31" t="s">
        <v>31</v>
      </c>
      <c r="G1454" s="31">
        <v>275</v>
      </c>
      <c r="H1454" s="31">
        <v>10</v>
      </c>
      <c r="I1454" s="31">
        <v>14</v>
      </c>
      <c r="J1454" s="31" t="s">
        <v>5759</v>
      </c>
      <c r="K1454" s="31" t="s">
        <v>123</v>
      </c>
      <c r="L1454" s="31" t="s">
        <v>56</v>
      </c>
      <c r="M1454" s="31">
        <v>480</v>
      </c>
      <c r="N1454" s="31">
        <v>2018</v>
      </c>
      <c r="O1454" s="31">
        <v>222</v>
      </c>
      <c r="P1454" s="31"/>
      <c r="Q1454" s="31"/>
      <c r="R1454" s="33"/>
      <c r="S1454" s="34" t="str">
        <f>HYPERLINK("http://www.cnpol.ru/covers/18417.jpg","фото на сайте")</f>
        <v>фото на сайте</v>
      </c>
    </row>
    <row r="1455" spans="1:19" ht="50.1" customHeight="1">
      <c r="A1455" s="31"/>
      <c r="B1455" s="32" t="s">
        <v>5760</v>
      </c>
      <c r="C1455" s="31" t="s">
        <v>390</v>
      </c>
      <c r="D1455" s="31" t="s">
        <v>1187</v>
      </c>
      <c r="E1455" s="31" t="s">
        <v>5761</v>
      </c>
      <c r="F1455" s="31">
        <v>380</v>
      </c>
      <c r="G1455" s="31">
        <v>86</v>
      </c>
      <c r="H1455" s="31">
        <v>10</v>
      </c>
      <c r="I1455" s="31">
        <v>30</v>
      </c>
      <c r="J1455" s="31" t="s">
        <v>5762</v>
      </c>
      <c r="K1455" s="31" t="s">
        <v>123</v>
      </c>
      <c r="L1455" s="31" t="s">
        <v>56</v>
      </c>
      <c r="M1455" s="31">
        <v>158</v>
      </c>
      <c r="N1455" s="31">
        <v>2014</v>
      </c>
      <c r="O1455" s="31">
        <v>76</v>
      </c>
      <c r="P1455" s="31"/>
      <c r="Q1455" s="31"/>
      <c r="R1455" s="33"/>
      <c r="S1455" s="34" t="str">
        <f>HYPERLINK("http://www.cnpol.ru/covers/14837.jpg","фото на сайте")</f>
        <v>фото на сайте</v>
      </c>
    </row>
    <row r="1456" spans="1:19" ht="50.1" customHeight="1">
      <c r="A1456" s="31"/>
      <c r="B1456" s="32" t="s">
        <v>5763</v>
      </c>
      <c r="C1456" s="31" t="s">
        <v>390</v>
      </c>
      <c r="D1456" s="31" t="s">
        <v>1520</v>
      </c>
      <c r="E1456" s="31" t="s">
        <v>5764</v>
      </c>
      <c r="F1456" s="31">
        <v>699</v>
      </c>
      <c r="G1456" s="31">
        <v>86</v>
      </c>
      <c r="H1456" s="31">
        <v>10</v>
      </c>
      <c r="I1456" s="31">
        <v>30</v>
      </c>
      <c r="J1456" s="31" t="s">
        <v>5765</v>
      </c>
      <c r="K1456" s="31" t="s">
        <v>123</v>
      </c>
      <c r="L1456" s="31" t="s">
        <v>56</v>
      </c>
      <c r="M1456" s="31">
        <v>160</v>
      </c>
      <c r="N1456" s="31">
        <v>2017</v>
      </c>
      <c r="O1456" s="31">
        <v>76</v>
      </c>
      <c r="P1456" s="31"/>
      <c r="Q1456" s="31"/>
      <c r="R1456" s="33"/>
      <c r="S1456" s="34" t="str">
        <f>HYPERLINK("http://www.cnpol.ru/covers/17351.jpg","фото на сайте")</f>
        <v>фото на сайте</v>
      </c>
    </row>
    <row r="1457" spans="1:19" ht="50.1" customHeight="1">
      <c r="A1457" s="31"/>
      <c r="B1457" s="32" t="s">
        <v>5766</v>
      </c>
      <c r="C1457" s="31" t="s">
        <v>390</v>
      </c>
      <c r="D1457" s="31" t="s">
        <v>961</v>
      </c>
      <c r="E1457" s="31" t="s">
        <v>5767</v>
      </c>
      <c r="F1457" s="31">
        <v>857</v>
      </c>
      <c r="G1457" s="31">
        <v>86</v>
      </c>
      <c r="H1457" s="31">
        <v>10</v>
      </c>
      <c r="I1457" s="31">
        <v>30</v>
      </c>
      <c r="J1457" s="31" t="s">
        <v>5768</v>
      </c>
      <c r="K1457" s="31" t="s">
        <v>123</v>
      </c>
      <c r="L1457" s="31" t="s">
        <v>56</v>
      </c>
      <c r="M1457" s="31">
        <v>160</v>
      </c>
      <c r="N1457" s="31">
        <v>2018</v>
      </c>
      <c r="O1457" s="31">
        <v>76</v>
      </c>
      <c r="P1457" s="31"/>
      <c r="Q1457" s="31"/>
      <c r="R1457" s="33"/>
      <c r="S1457" s="34" t="str">
        <f>HYPERLINK("http://www.cnpol.ru/covers/18428.jpg","фото на сайте")</f>
        <v>фото на сайте</v>
      </c>
    </row>
    <row r="1458" spans="1:19" ht="50.1" customHeight="1">
      <c r="A1458" s="31"/>
      <c r="B1458" s="32" t="s">
        <v>5769</v>
      </c>
      <c r="C1458" s="31" t="s">
        <v>390</v>
      </c>
      <c r="D1458" s="31" t="s">
        <v>5291</v>
      </c>
      <c r="E1458" s="31" t="s">
        <v>5770</v>
      </c>
      <c r="F1458" s="31">
        <v>954</v>
      </c>
      <c r="G1458" s="31">
        <v>86</v>
      </c>
      <c r="H1458" s="31">
        <v>10</v>
      </c>
      <c r="I1458" s="31">
        <v>30</v>
      </c>
      <c r="J1458" s="31" t="s">
        <v>5771</v>
      </c>
      <c r="K1458" s="31" t="s">
        <v>123</v>
      </c>
      <c r="L1458" s="31" t="s">
        <v>56</v>
      </c>
      <c r="M1458" s="31">
        <v>160</v>
      </c>
      <c r="N1458" s="31">
        <v>2020</v>
      </c>
      <c r="O1458" s="31">
        <v>76</v>
      </c>
      <c r="P1458" s="31"/>
      <c r="Q1458" s="31"/>
      <c r="R1458" s="33"/>
      <c r="S1458" s="34" t="str">
        <f>HYPERLINK("http://www.cnpol.ru/covers/19009.jpg","фото на сайте")</f>
        <v>фото на сайте</v>
      </c>
    </row>
    <row r="1459" spans="1:19" ht="50.1" customHeight="1">
      <c r="A1459" s="31"/>
      <c r="B1459" s="32" t="s">
        <v>5772</v>
      </c>
      <c r="C1459" s="31" t="s">
        <v>1390</v>
      </c>
      <c r="D1459" s="31" t="s">
        <v>236</v>
      </c>
      <c r="E1459" s="31" t="s">
        <v>5773</v>
      </c>
      <c r="F1459" s="31" t="s">
        <v>31</v>
      </c>
      <c r="G1459" s="31">
        <v>514</v>
      </c>
      <c r="H1459" s="31">
        <v>10</v>
      </c>
      <c r="I1459" s="31">
        <v>14</v>
      </c>
      <c r="J1459" s="31" t="s">
        <v>5774</v>
      </c>
      <c r="K1459" s="31" t="s">
        <v>33</v>
      </c>
      <c r="L1459" s="31" t="s">
        <v>34</v>
      </c>
      <c r="M1459" s="31">
        <v>319</v>
      </c>
      <c r="N1459" s="31">
        <v>2023</v>
      </c>
      <c r="O1459" s="31">
        <v>279</v>
      </c>
      <c r="P1459" s="31"/>
      <c r="Q1459" s="31"/>
      <c r="R1459" s="33" t="s">
        <v>5775</v>
      </c>
      <c r="S1459" s="34" t="str">
        <f>HYPERLINK("http://www.cnpol.ru/covers/20841.jpg","фото на сайте")</f>
        <v>фото на сайте</v>
      </c>
    </row>
    <row r="1460" spans="1:19" ht="50.1" customHeight="1">
      <c r="A1460" s="31"/>
      <c r="B1460" s="32" t="s">
        <v>5776</v>
      </c>
      <c r="C1460" s="31" t="s">
        <v>5777</v>
      </c>
      <c r="D1460" s="31" t="s">
        <v>5778</v>
      </c>
      <c r="E1460" s="31" t="s">
        <v>5779</v>
      </c>
      <c r="F1460" s="31" t="s">
        <v>31</v>
      </c>
      <c r="G1460" s="31">
        <v>389</v>
      </c>
      <c r="H1460" s="31">
        <v>10</v>
      </c>
      <c r="I1460" s="31">
        <v>12</v>
      </c>
      <c r="J1460" s="31" t="s">
        <v>5780</v>
      </c>
      <c r="K1460" s="31" t="s">
        <v>33</v>
      </c>
      <c r="L1460" s="31" t="s">
        <v>34</v>
      </c>
      <c r="M1460" s="31">
        <v>382</v>
      </c>
      <c r="N1460" s="31">
        <v>2009</v>
      </c>
      <c r="O1460" s="31">
        <v>314</v>
      </c>
      <c r="P1460" s="31"/>
      <c r="Q1460" s="31"/>
      <c r="R1460" s="33"/>
      <c r="S1460" s="34" t="str">
        <f>HYPERLINK("http://www.cnpol.ru/covers/11490.jpg","фото на сайте")</f>
        <v>фото на сайте</v>
      </c>
    </row>
    <row r="1461" spans="1:19" ht="50.1" customHeight="1">
      <c r="A1461" s="31"/>
      <c r="B1461" s="32" t="s">
        <v>5781</v>
      </c>
      <c r="C1461" s="31" t="s">
        <v>413</v>
      </c>
      <c r="D1461" s="31" t="s">
        <v>1846</v>
      </c>
      <c r="E1461" s="31" t="s">
        <v>5782</v>
      </c>
      <c r="F1461" s="31">
        <v>133</v>
      </c>
      <c r="G1461" s="31">
        <v>117</v>
      </c>
      <c r="H1461" s="31">
        <v>10</v>
      </c>
      <c r="I1461" s="31">
        <v>36</v>
      </c>
      <c r="J1461" s="31" t="s">
        <v>5783</v>
      </c>
      <c r="K1461" s="31" t="s">
        <v>123</v>
      </c>
      <c r="L1461" s="31" t="s">
        <v>56</v>
      </c>
      <c r="M1461" s="31">
        <v>190</v>
      </c>
      <c r="N1461" s="31">
        <v>2016</v>
      </c>
      <c r="O1461" s="31">
        <v>90</v>
      </c>
      <c r="P1461" s="31"/>
      <c r="Q1461" s="31"/>
      <c r="R1461" s="33"/>
      <c r="S1461" s="34" t="str">
        <f>HYPERLINK("http://www.cnpol.ru/covers/17157.jpg","фото на сайте")</f>
        <v>фото на сайте</v>
      </c>
    </row>
    <row r="1462" spans="1:19" ht="50.1" customHeight="1">
      <c r="A1462" s="31"/>
      <c r="B1462" s="32" t="s">
        <v>5784</v>
      </c>
      <c r="C1462" s="31" t="s">
        <v>390</v>
      </c>
      <c r="D1462" s="31" t="s">
        <v>391</v>
      </c>
      <c r="E1462" s="31" t="s">
        <v>5785</v>
      </c>
      <c r="F1462" s="31">
        <v>1072</v>
      </c>
      <c r="G1462" s="31">
        <v>86</v>
      </c>
      <c r="H1462" s="31">
        <v>10</v>
      </c>
      <c r="I1462" s="31">
        <v>30</v>
      </c>
      <c r="J1462" s="31" t="s">
        <v>5786</v>
      </c>
      <c r="K1462" s="31" t="s">
        <v>123</v>
      </c>
      <c r="L1462" s="31" t="s">
        <v>56</v>
      </c>
      <c r="M1462" s="31">
        <v>159</v>
      </c>
      <c r="N1462" s="31">
        <v>2021</v>
      </c>
      <c r="O1462" s="31">
        <v>76</v>
      </c>
      <c r="P1462" s="31"/>
      <c r="Q1462" s="31"/>
      <c r="R1462" s="33"/>
      <c r="S1462" s="34" t="str">
        <f>HYPERLINK("http://www.cnpol.ru/covers/20000.jpg","фото на сайте")</f>
        <v>фото на сайте</v>
      </c>
    </row>
    <row r="1463" spans="1:19" ht="50.1" customHeight="1">
      <c r="A1463" s="31"/>
      <c r="B1463" s="32" t="s">
        <v>5787</v>
      </c>
      <c r="C1463" s="31" t="s">
        <v>390</v>
      </c>
      <c r="D1463" s="31" t="s">
        <v>2511</v>
      </c>
      <c r="E1463" s="31" t="s">
        <v>5788</v>
      </c>
      <c r="F1463" s="31">
        <v>687</v>
      </c>
      <c r="G1463" s="31">
        <v>86</v>
      </c>
      <c r="H1463" s="31">
        <v>10</v>
      </c>
      <c r="I1463" s="31">
        <v>30</v>
      </c>
      <c r="J1463" s="31" t="s">
        <v>5789</v>
      </c>
      <c r="K1463" s="31" t="s">
        <v>123</v>
      </c>
      <c r="L1463" s="31" t="s">
        <v>56</v>
      </c>
      <c r="M1463" s="31">
        <v>160</v>
      </c>
      <c r="N1463" s="31">
        <v>2017</v>
      </c>
      <c r="O1463" s="31">
        <v>76</v>
      </c>
      <c r="P1463" s="31"/>
      <c r="Q1463" s="31"/>
      <c r="R1463" s="33"/>
      <c r="S1463" s="34" t="str">
        <f>HYPERLINK("http://www.cnpol.ru/covers/17280.jpg","фото на сайте")</f>
        <v>фото на сайте</v>
      </c>
    </row>
    <row r="1464" spans="1:19" ht="50.1" customHeight="1">
      <c r="A1464" s="31"/>
      <c r="B1464" s="32" t="s">
        <v>5790</v>
      </c>
      <c r="C1464" s="31" t="s">
        <v>413</v>
      </c>
      <c r="D1464" s="31" t="s">
        <v>4589</v>
      </c>
      <c r="E1464" s="31" t="s">
        <v>5791</v>
      </c>
      <c r="F1464" s="31">
        <v>48</v>
      </c>
      <c r="G1464" s="31">
        <v>117</v>
      </c>
      <c r="H1464" s="31">
        <v>10</v>
      </c>
      <c r="I1464" s="31">
        <v>36</v>
      </c>
      <c r="J1464" s="31" t="s">
        <v>5792</v>
      </c>
      <c r="K1464" s="31" t="s">
        <v>123</v>
      </c>
      <c r="L1464" s="31" t="s">
        <v>56</v>
      </c>
      <c r="M1464" s="31">
        <v>190</v>
      </c>
      <c r="N1464" s="31">
        <v>2015</v>
      </c>
      <c r="O1464" s="31">
        <v>94</v>
      </c>
      <c r="P1464" s="31"/>
      <c r="Q1464" s="31"/>
      <c r="R1464" s="33"/>
      <c r="S1464" s="34" t="str">
        <f>HYPERLINK("http://www.cnpol.ru/covers/15905.jpg","фото на сайте")</f>
        <v>фото на сайте</v>
      </c>
    </row>
    <row r="1465" spans="1:19" ht="50.1" customHeight="1">
      <c r="A1465" s="31"/>
      <c r="B1465" s="32" t="s">
        <v>5793</v>
      </c>
      <c r="C1465" s="31" t="s">
        <v>1323</v>
      </c>
      <c r="D1465" s="31" t="s">
        <v>1835</v>
      </c>
      <c r="E1465" s="31" t="s">
        <v>5794</v>
      </c>
      <c r="F1465" s="31" t="s">
        <v>31</v>
      </c>
      <c r="G1465" s="31">
        <v>169</v>
      </c>
      <c r="H1465" s="31">
        <v>10</v>
      </c>
      <c r="I1465" s="31">
        <v>40</v>
      </c>
      <c r="J1465" s="31" t="s">
        <v>5795</v>
      </c>
      <c r="K1465" s="31" t="s">
        <v>55</v>
      </c>
      <c r="L1465" s="31" t="s">
        <v>56</v>
      </c>
      <c r="M1465" s="31">
        <v>320</v>
      </c>
      <c r="N1465" s="31">
        <v>2020</v>
      </c>
      <c r="O1465" s="31">
        <v>134</v>
      </c>
      <c r="P1465" s="31"/>
      <c r="Q1465" s="31"/>
      <c r="R1465" s="33"/>
      <c r="S1465" s="34" t="str">
        <f>HYPERLINK("http://www.cnpol.ru/covers/19199.jpg","фото на сайте")</f>
        <v>фото на сайте</v>
      </c>
    </row>
    <row r="1466" spans="1:19" ht="50.1" customHeight="1">
      <c r="A1466" s="31"/>
      <c r="B1466" s="32" t="s">
        <v>5796</v>
      </c>
      <c r="C1466" s="31" t="s">
        <v>37</v>
      </c>
      <c r="D1466" s="31" t="s">
        <v>5797</v>
      </c>
      <c r="E1466" s="31" t="s">
        <v>5798</v>
      </c>
      <c r="F1466" s="31" t="s">
        <v>31</v>
      </c>
      <c r="G1466" s="31">
        <v>917</v>
      </c>
      <c r="H1466" s="31">
        <v>10</v>
      </c>
      <c r="I1466" s="31">
        <v>12</v>
      </c>
      <c r="J1466" s="31" t="s">
        <v>5799</v>
      </c>
      <c r="K1466" s="31" t="s">
        <v>33</v>
      </c>
      <c r="L1466" s="31" t="s">
        <v>34</v>
      </c>
      <c r="M1466" s="31">
        <v>319</v>
      </c>
      <c r="N1466" s="31">
        <v>2023</v>
      </c>
      <c r="O1466" s="31">
        <v>368</v>
      </c>
      <c r="P1466" s="31"/>
      <c r="Q1466" s="31"/>
      <c r="R1466" s="33" t="s">
        <v>5800</v>
      </c>
      <c r="S1466" s="34" t="str">
        <f>HYPERLINK("http://www.cnpol.ru/covers/20829.jpg","фото на сайте")</f>
        <v>фото на сайте</v>
      </c>
    </row>
    <row r="1467" spans="1:19" ht="50.1" customHeight="1">
      <c r="A1467" s="31"/>
      <c r="B1467" s="32" t="s">
        <v>5801</v>
      </c>
      <c r="C1467" s="31" t="s">
        <v>1516</v>
      </c>
      <c r="D1467" s="31" t="s">
        <v>2511</v>
      </c>
      <c r="E1467" s="31" t="s">
        <v>5802</v>
      </c>
      <c r="F1467" s="31">
        <v>13</v>
      </c>
      <c r="G1467" s="31">
        <v>106</v>
      </c>
      <c r="H1467" s="31">
        <v>10</v>
      </c>
      <c r="I1467" s="31">
        <v>30</v>
      </c>
      <c r="J1467" s="31" t="s">
        <v>5803</v>
      </c>
      <c r="K1467" s="31" t="s">
        <v>123</v>
      </c>
      <c r="L1467" s="31" t="s">
        <v>56</v>
      </c>
      <c r="M1467" s="31">
        <v>160</v>
      </c>
      <c r="N1467" s="31">
        <v>2018</v>
      </c>
      <c r="O1467" s="31">
        <v>76</v>
      </c>
      <c r="P1467" s="31"/>
      <c r="Q1467" s="31"/>
      <c r="R1467" s="33"/>
      <c r="S1467" s="34" t="str">
        <f>HYPERLINK("http://www.cnpol.ru/covers/18386.jpg","фото на сайте")</f>
        <v>фото на сайте</v>
      </c>
    </row>
    <row r="1468" spans="1:19" ht="50.1" customHeight="1">
      <c r="A1468" s="31"/>
      <c r="B1468" s="32" t="s">
        <v>5804</v>
      </c>
      <c r="C1468" s="31" t="s">
        <v>423</v>
      </c>
      <c r="D1468" s="31" t="s">
        <v>2234</v>
      </c>
      <c r="E1468" s="31" t="s">
        <v>5805</v>
      </c>
      <c r="F1468" s="31" t="s">
        <v>31</v>
      </c>
      <c r="G1468" s="31">
        <v>112</v>
      </c>
      <c r="H1468" s="31">
        <v>10</v>
      </c>
      <c r="I1468" s="31">
        <v>20</v>
      </c>
      <c r="J1468" s="31" t="s">
        <v>5806</v>
      </c>
      <c r="K1468" s="31" t="s">
        <v>55</v>
      </c>
      <c r="L1468" s="31" t="s">
        <v>56</v>
      </c>
      <c r="M1468" s="31">
        <v>317</v>
      </c>
      <c r="N1468" s="31">
        <v>2008</v>
      </c>
      <c r="O1468" s="31">
        <v>134</v>
      </c>
      <c r="P1468" s="31"/>
      <c r="Q1468" s="31"/>
      <c r="R1468" s="33"/>
      <c r="S1468" s="34" t="str">
        <f>HYPERLINK("http://www.cnpol.ru/covers/7627.jpg","фото на сайте")</f>
        <v>фото на сайте</v>
      </c>
    </row>
    <row r="1469" spans="1:19" ht="50.1" customHeight="1">
      <c r="A1469" s="31"/>
      <c r="B1469" s="32" t="s">
        <v>5807</v>
      </c>
      <c r="C1469" s="31" t="s">
        <v>143</v>
      </c>
      <c r="D1469" s="31" t="s">
        <v>5808</v>
      </c>
      <c r="E1469" s="31" t="s">
        <v>5809</v>
      </c>
      <c r="F1469" s="31" t="s">
        <v>31</v>
      </c>
      <c r="G1469" s="35">
        <v>2065</v>
      </c>
      <c r="H1469" s="31">
        <v>10</v>
      </c>
      <c r="I1469" s="31">
        <v>6</v>
      </c>
      <c r="J1469" s="31" t="s">
        <v>5810</v>
      </c>
      <c r="K1469" s="31" t="s">
        <v>41</v>
      </c>
      <c r="L1469" s="31" t="s">
        <v>34</v>
      </c>
      <c r="M1469" s="31">
        <v>863</v>
      </c>
      <c r="N1469" s="31">
        <v>2022</v>
      </c>
      <c r="O1469" s="31">
        <v>900</v>
      </c>
      <c r="P1469" s="31"/>
      <c r="Q1469" s="31"/>
      <c r="R1469" s="33"/>
      <c r="S1469" s="34" t="str">
        <f>HYPERLINK("http://www.cnpol.ru/covers/20205.jpg","фото на сайте")</f>
        <v>фото на сайте</v>
      </c>
    </row>
    <row r="1470" spans="1:19" ht="50.1" customHeight="1">
      <c r="A1470" s="31"/>
      <c r="B1470" s="32" t="s">
        <v>5811</v>
      </c>
      <c r="C1470" s="31" t="s">
        <v>37</v>
      </c>
      <c r="D1470" s="31" t="s">
        <v>5812</v>
      </c>
      <c r="E1470" s="31" t="s">
        <v>5813</v>
      </c>
      <c r="F1470" s="31" t="s">
        <v>31</v>
      </c>
      <c r="G1470" s="35">
        <v>1076</v>
      </c>
      <c r="H1470" s="31">
        <v>10</v>
      </c>
      <c r="I1470" s="31">
        <v>5</v>
      </c>
      <c r="J1470" s="31" t="s">
        <v>5814</v>
      </c>
      <c r="K1470" s="31" t="s">
        <v>33</v>
      </c>
      <c r="L1470" s="31" t="s">
        <v>34</v>
      </c>
      <c r="M1470" s="31">
        <v>415</v>
      </c>
      <c r="N1470" s="31">
        <v>2023</v>
      </c>
      <c r="O1470" s="31">
        <v>415</v>
      </c>
      <c r="P1470" s="31"/>
      <c r="Q1470" s="31"/>
      <c r="R1470" s="33" t="s">
        <v>5815</v>
      </c>
      <c r="S1470" s="34" t="str">
        <f>HYPERLINK("http://www.cnpol.ru/covers/20569.jpg","фото на сайте")</f>
        <v>фото на сайте</v>
      </c>
    </row>
    <row r="1471" spans="1:19" ht="50.1" customHeight="1">
      <c r="A1471" s="31"/>
      <c r="B1471" s="32" t="s">
        <v>5816</v>
      </c>
      <c r="C1471" s="31" t="s">
        <v>828</v>
      </c>
      <c r="D1471" s="31" t="s">
        <v>5817</v>
      </c>
      <c r="E1471" s="31" t="s">
        <v>5818</v>
      </c>
      <c r="F1471" s="31" t="s">
        <v>31</v>
      </c>
      <c r="G1471" s="31">
        <v>461</v>
      </c>
      <c r="H1471" s="31">
        <v>10</v>
      </c>
      <c r="I1471" s="31">
        <v>12</v>
      </c>
      <c r="J1471" s="31" t="s">
        <v>5819</v>
      </c>
      <c r="K1471" s="31" t="s">
        <v>260</v>
      </c>
      <c r="L1471" s="31" t="s">
        <v>34</v>
      </c>
      <c r="M1471" s="31">
        <v>239</v>
      </c>
      <c r="N1471" s="31">
        <v>2004</v>
      </c>
      <c r="O1471" s="31">
        <v>322</v>
      </c>
      <c r="P1471" s="31"/>
      <c r="Q1471" s="31"/>
      <c r="R1471" s="33"/>
      <c r="S1471" s="34" t="str">
        <f>HYPERLINK("http://www.cnpol.ru/covers/4554.jpg","фото на сайте")</f>
        <v>фото на сайте</v>
      </c>
    </row>
    <row r="1472" spans="1:19" ht="50.1" customHeight="1">
      <c r="A1472" s="31"/>
      <c r="B1472" s="32" t="s">
        <v>5820</v>
      </c>
      <c r="C1472" s="31" t="s">
        <v>390</v>
      </c>
      <c r="D1472" s="31" t="s">
        <v>3095</v>
      </c>
      <c r="E1472" s="31" t="s">
        <v>5821</v>
      </c>
      <c r="F1472" s="31">
        <v>737</v>
      </c>
      <c r="G1472" s="31">
        <v>86</v>
      </c>
      <c r="H1472" s="31">
        <v>10</v>
      </c>
      <c r="I1472" s="31">
        <v>30</v>
      </c>
      <c r="J1472" s="31" t="s">
        <v>5822</v>
      </c>
      <c r="K1472" s="31" t="s">
        <v>123</v>
      </c>
      <c r="L1472" s="31" t="s">
        <v>56</v>
      </c>
      <c r="M1472" s="31">
        <v>160</v>
      </c>
      <c r="N1472" s="31">
        <v>2017</v>
      </c>
      <c r="O1472" s="31">
        <v>76</v>
      </c>
      <c r="P1472" s="31"/>
      <c r="Q1472" s="31"/>
      <c r="R1472" s="33"/>
      <c r="S1472" s="34" t="str">
        <f>HYPERLINK("http://www.cnpol.ru/covers/17601.jpg","фото на сайте")</f>
        <v>фото на сайте</v>
      </c>
    </row>
    <row r="1473" spans="1:19" ht="50.1" customHeight="1">
      <c r="A1473" s="31"/>
      <c r="B1473" s="32" t="s">
        <v>5823</v>
      </c>
      <c r="C1473" s="31" t="s">
        <v>390</v>
      </c>
      <c r="D1473" s="31" t="s">
        <v>5824</v>
      </c>
      <c r="E1473" s="31" t="s">
        <v>5825</v>
      </c>
      <c r="F1473" s="31">
        <v>1163</v>
      </c>
      <c r="G1473" s="31">
        <v>86</v>
      </c>
      <c r="H1473" s="31">
        <v>10</v>
      </c>
      <c r="I1473" s="31">
        <v>30</v>
      </c>
      <c r="J1473" s="31" t="s">
        <v>5826</v>
      </c>
      <c r="K1473" s="31" t="s">
        <v>123</v>
      </c>
      <c r="L1473" s="31" t="s">
        <v>56</v>
      </c>
      <c r="M1473" s="31">
        <v>159</v>
      </c>
      <c r="N1473" s="31">
        <v>2024</v>
      </c>
      <c r="O1473" s="31">
        <v>76</v>
      </c>
      <c r="P1473" s="31"/>
      <c r="Q1473" s="31"/>
      <c r="R1473" s="33" t="s">
        <v>5827</v>
      </c>
      <c r="S1473" s="34" t="str">
        <f>HYPERLINK("http://www.cnpol.ru/covers/20955.jpg","фото на сайте")</f>
        <v>фото на сайте</v>
      </c>
    </row>
    <row r="1474" spans="1:19" ht="50.1" customHeight="1">
      <c r="A1474" s="31"/>
      <c r="B1474" s="32" t="s">
        <v>5828</v>
      </c>
      <c r="C1474" s="31" t="s">
        <v>400</v>
      </c>
      <c r="D1474" s="31" t="s">
        <v>5829</v>
      </c>
      <c r="E1474" s="31" t="s">
        <v>5830</v>
      </c>
      <c r="F1474" s="31" t="s">
        <v>31</v>
      </c>
      <c r="G1474" s="31">
        <v>503</v>
      </c>
      <c r="H1474" s="31">
        <v>10</v>
      </c>
      <c r="I1474" s="31">
        <v>12</v>
      </c>
      <c r="J1474" s="31" t="s">
        <v>5831</v>
      </c>
      <c r="K1474" s="31" t="s">
        <v>33</v>
      </c>
      <c r="L1474" s="31" t="s">
        <v>34</v>
      </c>
      <c r="M1474" s="31">
        <v>350</v>
      </c>
      <c r="N1474" s="31">
        <v>2015</v>
      </c>
      <c r="O1474" s="31">
        <v>298</v>
      </c>
      <c r="P1474" s="31"/>
      <c r="Q1474" s="31"/>
      <c r="R1474" s="33"/>
      <c r="S1474" s="34" t="str">
        <f>HYPERLINK("http://www.cnpol.ru/covers/16204.jpg","фото на сайте")</f>
        <v>фото на сайте</v>
      </c>
    </row>
    <row r="1475" spans="1:19" ht="50.1" customHeight="1">
      <c r="A1475" s="31"/>
      <c r="B1475" s="32" t="s">
        <v>5832</v>
      </c>
      <c r="C1475" s="31" t="s">
        <v>495</v>
      </c>
      <c r="D1475" s="31" t="s">
        <v>5833</v>
      </c>
      <c r="E1475" s="31" t="s">
        <v>5834</v>
      </c>
      <c r="F1475" s="31" t="s">
        <v>31</v>
      </c>
      <c r="G1475" s="35">
        <v>2087</v>
      </c>
      <c r="H1475" s="31">
        <v>10</v>
      </c>
      <c r="I1475" s="31">
        <v>1</v>
      </c>
      <c r="J1475" s="31" t="s">
        <v>5835</v>
      </c>
      <c r="K1475" s="31" t="s">
        <v>260</v>
      </c>
      <c r="L1475" s="31" t="s">
        <v>210</v>
      </c>
      <c r="M1475" s="31">
        <v>180</v>
      </c>
      <c r="N1475" s="31">
        <v>2016</v>
      </c>
      <c r="O1475" s="31">
        <v>622</v>
      </c>
      <c r="P1475" s="31"/>
      <c r="Q1475" s="31"/>
      <c r="R1475" s="33"/>
      <c r="S1475" s="34" t="str">
        <f>HYPERLINK("http://www.cnpol.ru/covers/16946.jpg","фото на сайте")</f>
        <v>фото на сайте</v>
      </c>
    </row>
    <row r="1476" spans="1:19" ht="50.1" customHeight="1">
      <c r="A1476" s="31"/>
      <c r="B1476" s="32" t="s">
        <v>5836</v>
      </c>
      <c r="C1476" s="31" t="s">
        <v>1822</v>
      </c>
      <c r="D1476" s="31" t="s">
        <v>1814</v>
      </c>
      <c r="E1476" s="31" t="s">
        <v>5837</v>
      </c>
      <c r="F1476" s="31" t="s">
        <v>31</v>
      </c>
      <c r="G1476" s="31">
        <v>733</v>
      </c>
      <c r="H1476" s="31">
        <v>20</v>
      </c>
      <c r="I1476" s="31">
        <v>14</v>
      </c>
      <c r="J1476" s="31" t="s">
        <v>5838</v>
      </c>
      <c r="K1476" s="31" t="s">
        <v>194</v>
      </c>
      <c r="L1476" s="31" t="s">
        <v>34</v>
      </c>
      <c r="M1476" s="31">
        <v>160</v>
      </c>
      <c r="N1476" s="31">
        <v>2021</v>
      </c>
      <c r="O1476" s="31">
        <v>226</v>
      </c>
      <c r="P1476" s="31"/>
      <c r="Q1476" s="31"/>
      <c r="R1476" s="33"/>
      <c r="S1476" s="34" t="str">
        <f>HYPERLINK("http://www.cnpol.ru/covers/19752.jpg","фото на сайте")</f>
        <v>фото на сайте</v>
      </c>
    </row>
    <row r="1477" spans="1:19" ht="50.1" customHeight="1">
      <c r="A1477" s="31"/>
      <c r="B1477" s="32" t="s">
        <v>5839</v>
      </c>
      <c r="C1477" s="31" t="s">
        <v>1390</v>
      </c>
      <c r="D1477" s="31" t="s">
        <v>236</v>
      </c>
      <c r="E1477" s="31" t="s">
        <v>5840</v>
      </c>
      <c r="F1477" s="31" t="s">
        <v>31</v>
      </c>
      <c r="G1477" s="31">
        <v>209</v>
      </c>
      <c r="H1477" s="31">
        <v>10</v>
      </c>
      <c r="I1477" s="31">
        <v>20</v>
      </c>
      <c r="J1477" s="31" t="s">
        <v>5841</v>
      </c>
      <c r="K1477" s="31" t="s">
        <v>130</v>
      </c>
      <c r="L1477" s="31" t="s">
        <v>56</v>
      </c>
      <c r="M1477" s="31">
        <v>192</v>
      </c>
      <c r="N1477" s="31">
        <v>2021</v>
      </c>
      <c r="O1477" s="31">
        <v>116</v>
      </c>
      <c r="P1477" s="31"/>
      <c r="Q1477" s="31"/>
      <c r="R1477" s="33"/>
      <c r="S1477" s="34" t="str">
        <f>HYPERLINK("http://www.cnpol.ru/covers/19518.jpg","фото на сайте")</f>
        <v>фото на сайте</v>
      </c>
    </row>
    <row r="1478" spans="1:19" ht="50.1" customHeight="1">
      <c r="A1478" s="31"/>
      <c r="B1478" s="32" t="s">
        <v>5842</v>
      </c>
      <c r="C1478" s="31" t="s">
        <v>528</v>
      </c>
      <c r="D1478" s="31" t="s">
        <v>529</v>
      </c>
      <c r="E1478" s="31" t="s">
        <v>5843</v>
      </c>
      <c r="F1478" s="31" t="s">
        <v>31</v>
      </c>
      <c r="G1478" s="31">
        <v>137</v>
      </c>
      <c r="H1478" s="31">
        <v>10</v>
      </c>
      <c r="I1478" s="31">
        <v>30</v>
      </c>
      <c r="J1478" s="31" t="s">
        <v>5844</v>
      </c>
      <c r="K1478" s="31" t="s">
        <v>55</v>
      </c>
      <c r="L1478" s="31" t="s">
        <v>56</v>
      </c>
      <c r="M1478" s="31">
        <v>159</v>
      </c>
      <c r="N1478" s="31">
        <v>2022</v>
      </c>
      <c r="O1478" s="31">
        <v>70</v>
      </c>
      <c r="P1478" s="31"/>
      <c r="Q1478" s="31"/>
      <c r="R1478" s="33"/>
      <c r="S1478" s="34" t="str">
        <f>HYPERLINK("http://www.cnpol.ru/covers/19995.jpg","фото на сайте")</f>
        <v>фото на сайте</v>
      </c>
    </row>
    <row r="1479" spans="1:19" ht="50.1" customHeight="1">
      <c r="A1479" s="31"/>
      <c r="B1479" s="32" t="s">
        <v>5845</v>
      </c>
      <c r="C1479" s="31" t="s">
        <v>1102</v>
      </c>
      <c r="D1479" s="31" t="s">
        <v>386</v>
      </c>
      <c r="E1479" s="31" t="s">
        <v>5846</v>
      </c>
      <c r="F1479" s="31" t="s">
        <v>31</v>
      </c>
      <c r="G1479" s="31">
        <v>640</v>
      </c>
      <c r="H1479" s="31">
        <v>10</v>
      </c>
      <c r="I1479" s="31">
        <v>12</v>
      </c>
      <c r="J1479" s="31" t="s">
        <v>5847</v>
      </c>
      <c r="K1479" s="31" t="s">
        <v>33</v>
      </c>
      <c r="L1479" s="31" t="s">
        <v>34</v>
      </c>
      <c r="M1479" s="31">
        <v>383</v>
      </c>
      <c r="N1479" s="31">
        <v>2011</v>
      </c>
      <c r="O1479" s="31">
        <v>384</v>
      </c>
      <c r="P1479" s="31"/>
      <c r="Q1479" s="31"/>
      <c r="R1479" s="33"/>
      <c r="S1479" s="34" t="str">
        <f>HYPERLINK("http://www.cnpol.ru/covers/12495.jpg","фото на сайте")</f>
        <v>фото на сайте</v>
      </c>
    </row>
    <row r="1480" spans="1:19" ht="50.1" customHeight="1">
      <c r="A1480" s="31"/>
      <c r="B1480" s="32" t="s">
        <v>5848</v>
      </c>
      <c r="C1480" s="31" t="s">
        <v>5849</v>
      </c>
      <c r="D1480" s="31" t="s">
        <v>386</v>
      </c>
      <c r="E1480" s="31" t="s">
        <v>5846</v>
      </c>
      <c r="F1480" s="31" t="s">
        <v>31</v>
      </c>
      <c r="G1480" s="31">
        <v>96</v>
      </c>
      <c r="H1480" s="31">
        <v>10</v>
      </c>
      <c r="I1480" s="31">
        <v>40</v>
      </c>
      <c r="J1480" s="31" t="s">
        <v>5850</v>
      </c>
      <c r="K1480" s="31" t="s">
        <v>55</v>
      </c>
      <c r="L1480" s="31" t="s">
        <v>56</v>
      </c>
      <c r="M1480" s="31" t="s">
        <v>431</v>
      </c>
      <c r="N1480" s="31" t="s">
        <v>431</v>
      </c>
      <c r="O1480" s="31" t="s">
        <v>220</v>
      </c>
      <c r="P1480" s="31"/>
      <c r="Q1480" s="31"/>
      <c r="R1480" s="33"/>
      <c r="S1480" s="34" t="str">
        <f>HYPERLINK("http://www.cnpol.ru/covers/2199.jpg","фото на сайте")</f>
        <v>фото на сайте</v>
      </c>
    </row>
    <row r="1481" spans="1:19" ht="50.1" customHeight="1">
      <c r="A1481" s="31"/>
      <c r="B1481" s="32" t="s">
        <v>5851</v>
      </c>
      <c r="C1481" s="31" t="s">
        <v>385</v>
      </c>
      <c r="D1481" s="31" t="s">
        <v>386</v>
      </c>
      <c r="E1481" s="31" t="s">
        <v>5846</v>
      </c>
      <c r="F1481" s="31" t="s">
        <v>31</v>
      </c>
      <c r="G1481" s="31">
        <v>162</v>
      </c>
      <c r="H1481" s="31">
        <v>10</v>
      </c>
      <c r="I1481" s="31">
        <v>32</v>
      </c>
      <c r="J1481" s="31" t="s">
        <v>5852</v>
      </c>
      <c r="K1481" s="31" t="s">
        <v>55</v>
      </c>
      <c r="L1481" s="31" t="s">
        <v>56</v>
      </c>
      <c r="M1481" s="31">
        <v>256</v>
      </c>
      <c r="N1481" s="31">
        <v>2016</v>
      </c>
      <c r="O1481" s="31">
        <v>110</v>
      </c>
      <c r="P1481" s="31"/>
      <c r="Q1481" s="31"/>
      <c r="R1481" s="33"/>
      <c r="S1481" s="34" t="str">
        <f>HYPERLINK("http://www.cnpol.ru/covers/16818.jpg","фото на сайте")</f>
        <v>фото на сайте</v>
      </c>
    </row>
    <row r="1482" spans="1:19" ht="50.1" customHeight="1">
      <c r="A1482" s="31"/>
      <c r="B1482" s="32" t="s">
        <v>5853</v>
      </c>
      <c r="C1482" s="31" t="s">
        <v>1265</v>
      </c>
      <c r="D1482" s="31" t="s">
        <v>1266</v>
      </c>
      <c r="E1482" s="31" t="s">
        <v>5854</v>
      </c>
      <c r="F1482" s="31" t="s">
        <v>31</v>
      </c>
      <c r="G1482" s="31">
        <v>73</v>
      </c>
      <c r="H1482" s="31">
        <v>10</v>
      </c>
      <c r="I1482" s="31">
        <v>40</v>
      </c>
      <c r="J1482" s="31" t="s">
        <v>5855</v>
      </c>
      <c r="K1482" s="31" t="s">
        <v>123</v>
      </c>
      <c r="L1482" s="31" t="s">
        <v>56</v>
      </c>
      <c r="M1482" s="31">
        <v>125</v>
      </c>
      <c r="N1482" s="31">
        <v>2010</v>
      </c>
      <c r="O1482" s="31">
        <v>62</v>
      </c>
      <c r="P1482" s="31"/>
      <c r="Q1482" s="31"/>
      <c r="R1482" s="33"/>
      <c r="S1482" s="34" t="str">
        <f>HYPERLINK("http://www.cnpol.ru/covers/11921.jpg","фото на сайте")</f>
        <v>фото на сайте</v>
      </c>
    </row>
    <row r="1483" spans="1:19" ht="50.1" customHeight="1">
      <c r="A1483" s="31"/>
      <c r="B1483" s="32" t="s">
        <v>5856</v>
      </c>
      <c r="C1483" s="31" t="s">
        <v>1003</v>
      </c>
      <c r="D1483" s="31" t="s">
        <v>1004</v>
      </c>
      <c r="E1483" s="31" t="s">
        <v>5854</v>
      </c>
      <c r="F1483" s="31" t="s">
        <v>31</v>
      </c>
      <c r="G1483" s="31">
        <v>122</v>
      </c>
      <c r="H1483" s="31">
        <v>10</v>
      </c>
      <c r="I1483" s="31">
        <v>20</v>
      </c>
      <c r="J1483" s="31" t="s">
        <v>5857</v>
      </c>
      <c r="K1483" s="31" t="s">
        <v>123</v>
      </c>
      <c r="L1483" s="31" t="s">
        <v>56</v>
      </c>
      <c r="M1483" s="31">
        <v>128</v>
      </c>
      <c r="N1483" s="31">
        <v>2016</v>
      </c>
      <c r="O1483" s="31">
        <v>60</v>
      </c>
      <c r="P1483" s="31"/>
      <c r="Q1483" s="31"/>
      <c r="R1483" s="33"/>
      <c r="S1483" s="34" t="str">
        <f>HYPERLINK("http://www.cnpol.ru/covers/16789.jpg","фото на сайте")</f>
        <v>фото на сайте</v>
      </c>
    </row>
    <row r="1484" spans="1:19" ht="50.1" customHeight="1">
      <c r="A1484" s="31"/>
      <c r="B1484" s="32" t="s">
        <v>5858</v>
      </c>
      <c r="C1484" s="31" t="s">
        <v>390</v>
      </c>
      <c r="D1484" s="31" t="s">
        <v>1454</v>
      </c>
      <c r="E1484" s="31" t="s">
        <v>5859</v>
      </c>
      <c r="F1484" s="31">
        <v>824</v>
      </c>
      <c r="G1484" s="31">
        <v>86</v>
      </c>
      <c r="H1484" s="31">
        <v>10</v>
      </c>
      <c r="I1484" s="31">
        <v>30</v>
      </c>
      <c r="J1484" s="31" t="s">
        <v>5860</v>
      </c>
      <c r="K1484" s="31" t="s">
        <v>194</v>
      </c>
      <c r="L1484" s="31" t="s">
        <v>56</v>
      </c>
      <c r="M1484" s="31">
        <v>160</v>
      </c>
      <c r="N1484" s="31">
        <v>2018</v>
      </c>
      <c r="O1484" s="31">
        <v>76</v>
      </c>
      <c r="P1484" s="31"/>
      <c r="Q1484" s="31"/>
      <c r="R1484" s="33"/>
      <c r="S1484" s="34" t="str">
        <f>HYPERLINK("http://www.cnpol.ru/covers/18237.jpg","фото на сайте")</f>
        <v>фото на сайте</v>
      </c>
    </row>
    <row r="1485" spans="1:19" ht="50.1" customHeight="1">
      <c r="A1485" s="31"/>
      <c r="B1485" s="32" t="s">
        <v>5861</v>
      </c>
      <c r="C1485" s="31" t="s">
        <v>3229</v>
      </c>
      <c r="D1485" s="31" t="s">
        <v>3230</v>
      </c>
      <c r="E1485" s="31" t="s">
        <v>5862</v>
      </c>
      <c r="F1485" s="31" t="s">
        <v>31</v>
      </c>
      <c r="G1485" s="31">
        <v>843</v>
      </c>
      <c r="H1485" s="31">
        <v>10</v>
      </c>
      <c r="I1485" s="31">
        <v>12</v>
      </c>
      <c r="J1485" s="31" t="s">
        <v>5863</v>
      </c>
      <c r="K1485" s="31" t="s">
        <v>41</v>
      </c>
      <c r="L1485" s="31" t="s">
        <v>34</v>
      </c>
      <c r="M1485" s="31">
        <v>416</v>
      </c>
      <c r="N1485" s="31">
        <v>2017</v>
      </c>
      <c r="O1485" s="31">
        <v>458</v>
      </c>
      <c r="P1485" s="31"/>
      <c r="Q1485" s="31"/>
      <c r="R1485" s="33"/>
      <c r="S1485" s="34" t="str">
        <f>HYPERLINK("http://www.cnpol.ru/covers/17386.jpg","фото на сайте")</f>
        <v>фото на сайте</v>
      </c>
    </row>
    <row r="1486" spans="1:19" ht="50.1" customHeight="1">
      <c r="A1486" s="31"/>
      <c r="B1486" s="32" t="s">
        <v>5864</v>
      </c>
      <c r="C1486" s="31" t="s">
        <v>400</v>
      </c>
      <c r="D1486" s="31" t="s">
        <v>5865</v>
      </c>
      <c r="E1486" s="31" t="s">
        <v>5866</v>
      </c>
      <c r="F1486" s="31" t="s">
        <v>31</v>
      </c>
      <c r="G1486" s="31">
        <v>503</v>
      </c>
      <c r="H1486" s="31">
        <v>10</v>
      </c>
      <c r="I1486" s="31">
        <v>14</v>
      </c>
      <c r="J1486" s="31" t="s">
        <v>5867</v>
      </c>
      <c r="K1486" s="31" t="s">
        <v>33</v>
      </c>
      <c r="L1486" s="31" t="s">
        <v>34</v>
      </c>
      <c r="M1486" s="31">
        <v>287</v>
      </c>
      <c r="N1486" s="31">
        <v>2021</v>
      </c>
      <c r="O1486" s="31">
        <v>250</v>
      </c>
      <c r="P1486" s="31"/>
      <c r="Q1486" s="31"/>
      <c r="R1486" s="33"/>
      <c r="S1486" s="34" t="str">
        <f>HYPERLINK("http://www.cnpol.ru/covers/19493.jpg","фото на сайте")</f>
        <v>фото на сайте</v>
      </c>
    </row>
    <row r="1487" spans="1:19" ht="50.1" customHeight="1">
      <c r="A1487" s="31"/>
      <c r="B1487" s="32" t="s">
        <v>5868</v>
      </c>
      <c r="C1487" s="31" t="s">
        <v>4205</v>
      </c>
      <c r="D1487" s="31" t="s">
        <v>5869</v>
      </c>
      <c r="E1487" s="31" t="s">
        <v>5870</v>
      </c>
      <c r="F1487" s="31" t="s">
        <v>31</v>
      </c>
      <c r="G1487" s="31">
        <v>486</v>
      </c>
      <c r="H1487" s="31">
        <v>10</v>
      </c>
      <c r="I1487" s="31">
        <v>16</v>
      </c>
      <c r="J1487" s="31" t="s">
        <v>5871</v>
      </c>
      <c r="K1487" s="31" t="s">
        <v>33</v>
      </c>
      <c r="L1487" s="31" t="s">
        <v>34</v>
      </c>
      <c r="M1487" s="31">
        <v>352</v>
      </c>
      <c r="N1487" s="31">
        <v>2016</v>
      </c>
      <c r="O1487" s="31">
        <v>334</v>
      </c>
      <c r="P1487" s="31"/>
      <c r="Q1487" s="31"/>
      <c r="R1487" s="33"/>
      <c r="S1487" s="34" t="str">
        <f>HYPERLINK("http://www.cnpol.ru/covers/16415.jpg","фото на сайте")</f>
        <v>фото на сайте</v>
      </c>
    </row>
    <row r="1488" spans="1:19" ht="50.1" customHeight="1">
      <c r="A1488" s="31"/>
      <c r="B1488" s="32" t="s">
        <v>5872</v>
      </c>
      <c r="C1488" s="31" t="s">
        <v>1102</v>
      </c>
      <c r="D1488" s="31" t="s">
        <v>5873</v>
      </c>
      <c r="E1488" s="31" t="s">
        <v>5874</v>
      </c>
      <c r="F1488" s="31" t="s">
        <v>31</v>
      </c>
      <c r="G1488" s="31">
        <v>593</v>
      </c>
      <c r="H1488" s="31">
        <v>10</v>
      </c>
      <c r="I1488" s="31">
        <v>12</v>
      </c>
      <c r="J1488" s="31" t="s">
        <v>5875</v>
      </c>
      <c r="K1488" s="31" t="s">
        <v>33</v>
      </c>
      <c r="L1488" s="31" t="s">
        <v>34</v>
      </c>
      <c r="M1488" s="31">
        <v>352</v>
      </c>
      <c r="N1488" s="31">
        <v>2019</v>
      </c>
      <c r="O1488" s="31">
        <v>288</v>
      </c>
      <c r="P1488" s="31"/>
      <c r="Q1488" s="31"/>
      <c r="R1488" s="33"/>
      <c r="S1488" s="34" t="str">
        <f>HYPERLINK("http://www.cnpol.ru/covers/18456.jpg","фото на сайте")</f>
        <v>фото на сайте</v>
      </c>
    </row>
    <row r="1489" spans="1:19" ht="50.1" customHeight="1">
      <c r="A1489" s="31"/>
      <c r="B1489" s="32" t="s">
        <v>5876</v>
      </c>
      <c r="C1489" s="31" t="s">
        <v>5877</v>
      </c>
      <c r="D1489" s="31" t="s">
        <v>5702</v>
      </c>
      <c r="E1489" s="31" t="s">
        <v>5878</v>
      </c>
      <c r="F1489" s="31" t="s">
        <v>31</v>
      </c>
      <c r="G1489" s="31">
        <v>73</v>
      </c>
      <c r="H1489" s="31">
        <v>10</v>
      </c>
      <c r="I1489" s="31">
        <v>44</v>
      </c>
      <c r="J1489" s="31" t="s">
        <v>5879</v>
      </c>
      <c r="K1489" s="31" t="s">
        <v>130</v>
      </c>
      <c r="L1489" s="31" t="s">
        <v>56</v>
      </c>
      <c r="M1489" s="31">
        <v>127</v>
      </c>
      <c r="N1489" s="31">
        <v>2002</v>
      </c>
      <c r="O1489" s="31">
        <v>78</v>
      </c>
      <c r="P1489" s="31"/>
      <c r="Q1489" s="31"/>
      <c r="R1489" s="33"/>
      <c r="S1489" s="34" t="str">
        <f>HYPERLINK("http://www.cnpol.ru/covers/3353.jpg","фото на сайте")</f>
        <v>фото на сайте</v>
      </c>
    </row>
    <row r="1490" spans="1:19" ht="50.1" customHeight="1">
      <c r="A1490" s="31"/>
      <c r="B1490" s="32" t="s">
        <v>5880</v>
      </c>
      <c r="C1490" s="31" t="s">
        <v>37</v>
      </c>
      <c r="D1490" s="31" t="s">
        <v>5881</v>
      </c>
      <c r="E1490" s="31" t="s">
        <v>5882</v>
      </c>
      <c r="F1490" s="31" t="s">
        <v>31</v>
      </c>
      <c r="G1490" s="31">
        <v>862</v>
      </c>
      <c r="H1490" s="31">
        <v>10</v>
      </c>
      <c r="I1490" s="31">
        <v>10</v>
      </c>
      <c r="J1490" s="31" t="s">
        <v>5883</v>
      </c>
      <c r="K1490" s="31" t="s">
        <v>41</v>
      </c>
      <c r="L1490" s="31" t="s">
        <v>34</v>
      </c>
      <c r="M1490" s="31">
        <v>560</v>
      </c>
      <c r="N1490" s="31">
        <v>2018</v>
      </c>
      <c r="O1490" s="31">
        <v>572</v>
      </c>
      <c r="P1490" s="31"/>
      <c r="Q1490" s="31"/>
      <c r="R1490" s="33"/>
      <c r="S1490" s="34" t="str">
        <f>HYPERLINK("http://www.cnpol.ru/covers/18209.jpg","фото на сайте")</f>
        <v>фото на сайте</v>
      </c>
    </row>
    <row r="1491" spans="1:19" ht="50.1" customHeight="1">
      <c r="A1491" s="31"/>
      <c r="B1491" s="32" t="s">
        <v>5884</v>
      </c>
      <c r="C1491" s="31" t="s">
        <v>5885</v>
      </c>
      <c r="D1491" s="31" t="s">
        <v>5886</v>
      </c>
      <c r="E1491" s="31" t="s">
        <v>5887</v>
      </c>
      <c r="F1491" s="31">
        <v>2</v>
      </c>
      <c r="G1491" s="35">
        <v>1095</v>
      </c>
      <c r="H1491" s="31">
        <v>10</v>
      </c>
      <c r="I1491" s="31">
        <v>10</v>
      </c>
      <c r="J1491" s="31" t="s">
        <v>5888</v>
      </c>
      <c r="K1491" s="31" t="s">
        <v>41</v>
      </c>
      <c r="L1491" s="31" t="s">
        <v>34</v>
      </c>
      <c r="M1491" s="31">
        <v>543</v>
      </c>
      <c r="N1491" s="31">
        <v>2009</v>
      </c>
      <c r="O1491" s="31">
        <v>586</v>
      </c>
      <c r="P1491" s="31"/>
      <c r="Q1491" s="31"/>
      <c r="R1491" s="33"/>
      <c r="S1491" s="34" t="str">
        <f>HYPERLINK("http://www.cnpol.ru/covers/11467.jpg","фото на сайте")</f>
        <v>фото на сайте</v>
      </c>
    </row>
    <row r="1492" spans="1:19" ht="50.1" customHeight="1">
      <c r="A1492" s="31"/>
      <c r="B1492" s="32" t="s">
        <v>5889</v>
      </c>
      <c r="C1492" s="31" t="s">
        <v>5890</v>
      </c>
      <c r="D1492" s="31" t="s">
        <v>5886</v>
      </c>
      <c r="E1492" s="31" t="s">
        <v>5891</v>
      </c>
      <c r="F1492" s="31">
        <v>1</v>
      </c>
      <c r="G1492" s="35">
        <v>1449</v>
      </c>
      <c r="H1492" s="31">
        <v>10</v>
      </c>
      <c r="I1492" s="31">
        <v>8</v>
      </c>
      <c r="J1492" s="31" t="s">
        <v>5892</v>
      </c>
      <c r="K1492" s="31" t="s">
        <v>41</v>
      </c>
      <c r="L1492" s="31" t="s">
        <v>34</v>
      </c>
      <c r="M1492" s="31">
        <v>543</v>
      </c>
      <c r="N1492" s="31">
        <v>2021</v>
      </c>
      <c r="O1492" s="31">
        <v>650</v>
      </c>
      <c r="P1492" s="31"/>
      <c r="Q1492" s="31"/>
      <c r="R1492" s="33"/>
      <c r="S1492" s="34" t="str">
        <f>HYPERLINK("http://www.cnpol.ru/covers/19924.jpg","фото на сайте")</f>
        <v>фото на сайте</v>
      </c>
    </row>
    <row r="1493" spans="1:19" ht="50.1" customHeight="1">
      <c r="A1493" s="31"/>
      <c r="B1493" s="32" t="s">
        <v>5893</v>
      </c>
      <c r="C1493" s="31" t="s">
        <v>5890</v>
      </c>
      <c r="D1493" s="31" t="s">
        <v>5886</v>
      </c>
      <c r="E1493" s="31" t="s">
        <v>5894</v>
      </c>
      <c r="F1493" s="31">
        <v>2</v>
      </c>
      <c r="G1493" s="35">
        <v>1486</v>
      </c>
      <c r="H1493" s="31">
        <v>10</v>
      </c>
      <c r="I1493" s="31">
        <v>8</v>
      </c>
      <c r="J1493" s="31" t="s">
        <v>5895</v>
      </c>
      <c r="K1493" s="31" t="s">
        <v>41</v>
      </c>
      <c r="L1493" s="31" t="s">
        <v>34</v>
      </c>
      <c r="M1493" s="31">
        <v>559</v>
      </c>
      <c r="N1493" s="31">
        <v>2021</v>
      </c>
      <c r="O1493" s="31">
        <v>650</v>
      </c>
      <c r="P1493" s="31"/>
      <c r="Q1493" s="31"/>
      <c r="R1493" s="33"/>
      <c r="S1493" s="34" t="str">
        <f>HYPERLINK("http://www.cnpol.ru/covers/19925.jpg","фото на сайте")</f>
        <v>фото на сайте</v>
      </c>
    </row>
    <row r="1494" spans="1:19" ht="50.1" customHeight="1">
      <c r="A1494" s="31"/>
      <c r="B1494" s="32" t="s">
        <v>5896</v>
      </c>
      <c r="C1494" s="31" t="s">
        <v>1323</v>
      </c>
      <c r="D1494" s="31" t="s">
        <v>5436</v>
      </c>
      <c r="E1494" s="31" t="s">
        <v>5897</v>
      </c>
      <c r="F1494" s="31" t="s">
        <v>31</v>
      </c>
      <c r="G1494" s="31">
        <v>169</v>
      </c>
      <c r="H1494" s="31">
        <v>10</v>
      </c>
      <c r="I1494" s="31">
        <v>11</v>
      </c>
      <c r="J1494" s="31" t="s">
        <v>5898</v>
      </c>
      <c r="K1494" s="31" t="s">
        <v>55</v>
      </c>
      <c r="L1494" s="31" t="s">
        <v>56</v>
      </c>
      <c r="M1494" s="31">
        <v>288</v>
      </c>
      <c r="N1494" s="31">
        <v>2021</v>
      </c>
      <c r="O1494" s="31">
        <v>124</v>
      </c>
      <c r="P1494" s="31"/>
      <c r="Q1494" s="31"/>
      <c r="R1494" s="33"/>
      <c r="S1494" s="34" t="str">
        <f>HYPERLINK("http://www.cnpol.ru/covers/19717.jpg","фото на сайте")</f>
        <v>фото на сайте</v>
      </c>
    </row>
    <row r="1495" spans="1:19" ht="50.1" customHeight="1">
      <c r="A1495" s="31"/>
      <c r="B1495" s="32" t="s">
        <v>5899</v>
      </c>
      <c r="C1495" s="31" t="s">
        <v>528</v>
      </c>
      <c r="D1495" s="31" t="s">
        <v>529</v>
      </c>
      <c r="E1495" s="31" t="s">
        <v>5900</v>
      </c>
      <c r="F1495" s="31" t="s">
        <v>31</v>
      </c>
      <c r="G1495" s="31">
        <v>137</v>
      </c>
      <c r="H1495" s="31">
        <v>10</v>
      </c>
      <c r="I1495" s="31">
        <v>48</v>
      </c>
      <c r="J1495" s="31" t="s">
        <v>5901</v>
      </c>
      <c r="K1495" s="31" t="s">
        <v>55</v>
      </c>
      <c r="L1495" s="31" t="s">
        <v>56</v>
      </c>
      <c r="M1495" s="31">
        <v>156</v>
      </c>
      <c r="N1495" s="31">
        <v>2013</v>
      </c>
      <c r="O1495" s="31">
        <v>68</v>
      </c>
      <c r="P1495" s="31"/>
      <c r="Q1495" s="31"/>
      <c r="R1495" s="33"/>
      <c r="S1495" s="34" t="str">
        <f>HYPERLINK("http://www.cnpol.ru/covers/14191.jpg","фото на сайте")</f>
        <v>фото на сайте</v>
      </c>
    </row>
    <row r="1496" spans="1:19" ht="50.1" customHeight="1">
      <c r="A1496" s="31"/>
      <c r="B1496" s="32" t="s">
        <v>5902</v>
      </c>
      <c r="C1496" s="31" t="s">
        <v>528</v>
      </c>
      <c r="D1496" s="31" t="s">
        <v>529</v>
      </c>
      <c r="E1496" s="31" t="s">
        <v>5900</v>
      </c>
      <c r="F1496" s="31" t="s">
        <v>31</v>
      </c>
      <c r="G1496" s="31">
        <v>137</v>
      </c>
      <c r="H1496" s="31">
        <v>10</v>
      </c>
      <c r="I1496" s="31">
        <v>80</v>
      </c>
      <c r="J1496" s="31" t="s">
        <v>5903</v>
      </c>
      <c r="K1496" s="31" t="s">
        <v>55</v>
      </c>
      <c r="L1496" s="31" t="s">
        <v>56</v>
      </c>
      <c r="M1496" s="31">
        <v>156</v>
      </c>
      <c r="N1496" s="31">
        <v>2014</v>
      </c>
      <c r="O1496" s="31">
        <v>70</v>
      </c>
      <c r="P1496" s="31"/>
      <c r="Q1496" s="31"/>
      <c r="R1496" s="33"/>
      <c r="S1496" s="34" t="str">
        <f>HYPERLINK("http://www.cnpol.ru/covers/14904.jpg","фото на сайте")</f>
        <v>фото на сайте</v>
      </c>
    </row>
    <row r="1497" spans="1:19" ht="50.1" customHeight="1">
      <c r="A1497" s="31"/>
      <c r="B1497" s="32" t="s">
        <v>5904</v>
      </c>
      <c r="C1497" s="31" t="s">
        <v>3877</v>
      </c>
      <c r="D1497" s="31" t="s">
        <v>3878</v>
      </c>
      <c r="E1497" s="31" t="s">
        <v>5905</v>
      </c>
      <c r="F1497" s="31" t="s">
        <v>31</v>
      </c>
      <c r="G1497" s="31">
        <v>559</v>
      </c>
      <c r="H1497" s="31">
        <v>10</v>
      </c>
      <c r="I1497" s="31">
        <v>14</v>
      </c>
      <c r="J1497" s="31" t="s">
        <v>5906</v>
      </c>
      <c r="K1497" s="31" t="s">
        <v>41</v>
      </c>
      <c r="L1497" s="31" t="s">
        <v>34</v>
      </c>
      <c r="M1497" s="31">
        <v>319</v>
      </c>
      <c r="N1497" s="31">
        <v>2008</v>
      </c>
      <c r="O1497" s="31">
        <v>348</v>
      </c>
      <c r="P1497" s="31"/>
      <c r="Q1497" s="31"/>
      <c r="R1497" s="33"/>
      <c r="S1497" s="34" t="str">
        <f>HYPERLINK("http://www.cnpol.ru/covers/10847.jpg","фото на сайте")</f>
        <v>фото на сайте</v>
      </c>
    </row>
    <row r="1498" spans="1:19" ht="50.1" customHeight="1">
      <c r="A1498" s="31" t="s">
        <v>43</v>
      </c>
      <c r="B1498" s="32" t="s">
        <v>5907</v>
      </c>
      <c r="C1498" s="31" t="s">
        <v>143</v>
      </c>
      <c r="D1498" s="31" t="s">
        <v>5908</v>
      </c>
      <c r="E1498" s="31" t="s">
        <v>5909</v>
      </c>
      <c r="F1498" s="31" t="s">
        <v>31</v>
      </c>
      <c r="G1498" s="31">
        <v>912</v>
      </c>
      <c r="H1498" s="31">
        <v>10</v>
      </c>
      <c r="I1498" s="31">
        <v>5</v>
      </c>
      <c r="J1498" s="31" t="s">
        <v>5910</v>
      </c>
      <c r="K1498" s="31" t="s">
        <v>33</v>
      </c>
      <c r="L1498" s="31" t="s">
        <v>34</v>
      </c>
      <c r="M1498" s="31">
        <v>287</v>
      </c>
      <c r="N1498" s="31">
        <v>2025</v>
      </c>
      <c r="O1498" s="31" t="s">
        <v>220</v>
      </c>
      <c r="P1498" s="31"/>
      <c r="Q1498" s="31"/>
      <c r="R1498" s="33" t="s">
        <v>5911</v>
      </c>
      <c r="S1498" s="34" t="str">
        <f>HYPERLINK("http://www.cnpol.ru/covers/21854.jpg","фото на сайте")</f>
        <v>фото на сайте</v>
      </c>
    </row>
    <row r="1499" spans="1:19" ht="50.1" customHeight="1">
      <c r="A1499" s="31" t="s">
        <v>35</v>
      </c>
      <c r="B1499" s="32" t="s">
        <v>5912</v>
      </c>
      <c r="C1499" s="31" t="s">
        <v>1016</v>
      </c>
      <c r="D1499" s="31" t="s">
        <v>3280</v>
      </c>
      <c r="E1499" s="31" t="s">
        <v>5913</v>
      </c>
      <c r="F1499" s="31" t="s">
        <v>31</v>
      </c>
      <c r="G1499" s="31">
        <v>917</v>
      </c>
      <c r="H1499" s="31">
        <v>10</v>
      </c>
      <c r="I1499" s="31">
        <v>12</v>
      </c>
      <c r="J1499" s="31" t="s">
        <v>5914</v>
      </c>
      <c r="K1499" s="31" t="s">
        <v>33</v>
      </c>
      <c r="L1499" s="31" t="s">
        <v>34</v>
      </c>
      <c r="M1499" s="31">
        <v>318</v>
      </c>
      <c r="N1499" s="31">
        <v>2025</v>
      </c>
      <c r="O1499" s="31">
        <v>350</v>
      </c>
      <c r="P1499" s="31"/>
      <c r="Q1499" s="31"/>
      <c r="R1499" s="33" t="s">
        <v>5915</v>
      </c>
      <c r="S1499" s="34" t="str">
        <f>HYPERLINK("http://www.cnpol.ru/covers/21428.jpg","фото на сайте")</f>
        <v>фото на сайте</v>
      </c>
    </row>
    <row r="1500" spans="1:19" ht="50.1" customHeight="1">
      <c r="A1500" s="31" t="s">
        <v>35</v>
      </c>
      <c r="B1500" s="32" t="s">
        <v>5916</v>
      </c>
      <c r="C1500" s="31" t="s">
        <v>503</v>
      </c>
      <c r="D1500" s="31" t="s">
        <v>5917</v>
      </c>
      <c r="E1500" s="31" t="s">
        <v>5918</v>
      </c>
      <c r="F1500" s="31" t="s">
        <v>31</v>
      </c>
      <c r="G1500" s="35">
        <v>1649</v>
      </c>
      <c r="H1500" s="31">
        <v>10</v>
      </c>
      <c r="I1500" s="31">
        <v>5</v>
      </c>
      <c r="J1500" s="31" t="s">
        <v>5919</v>
      </c>
      <c r="K1500" s="31" t="s">
        <v>33</v>
      </c>
      <c r="L1500" s="31" t="s">
        <v>34</v>
      </c>
      <c r="M1500" s="31">
        <v>350</v>
      </c>
      <c r="N1500" s="31">
        <v>2025</v>
      </c>
      <c r="O1500" s="31">
        <v>447</v>
      </c>
      <c r="P1500" s="31"/>
      <c r="Q1500" s="31"/>
      <c r="R1500" s="33" t="s">
        <v>5920</v>
      </c>
      <c r="S1500" s="34" t="str">
        <f>HYPERLINK("http://www.cnpol.ru/covers/21740.jpg","фото на сайте")</f>
        <v>фото на сайте</v>
      </c>
    </row>
    <row r="1501" spans="1:19" ht="50.1" customHeight="1">
      <c r="A1501" s="31"/>
      <c r="B1501" s="32" t="s">
        <v>5921</v>
      </c>
      <c r="C1501" s="31" t="s">
        <v>37</v>
      </c>
      <c r="D1501" s="31" t="s">
        <v>5922</v>
      </c>
      <c r="E1501" s="31" t="s">
        <v>5923</v>
      </c>
      <c r="F1501" s="31" t="s">
        <v>31</v>
      </c>
      <c r="G1501" s="31">
        <v>977</v>
      </c>
      <c r="H1501" s="31">
        <v>10</v>
      </c>
      <c r="I1501" s="31">
        <v>10</v>
      </c>
      <c r="J1501" s="31" t="s">
        <v>5924</v>
      </c>
      <c r="K1501" s="31" t="s">
        <v>33</v>
      </c>
      <c r="L1501" s="31" t="s">
        <v>34</v>
      </c>
      <c r="M1501" s="31">
        <v>576</v>
      </c>
      <c r="N1501" s="31">
        <v>2019</v>
      </c>
      <c r="O1501" s="31">
        <v>588</v>
      </c>
      <c r="P1501" s="31"/>
      <c r="Q1501" s="31"/>
      <c r="R1501" s="33"/>
      <c r="S1501" s="34" t="str">
        <f>HYPERLINK("http://www.cnpol.ru/covers/18667.jpg","фото на сайте")</f>
        <v>фото на сайте</v>
      </c>
    </row>
    <row r="1502" spans="1:19" ht="50.1" customHeight="1">
      <c r="A1502" s="31"/>
      <c r="B1502" s="32" t="s">
        <v>5925</v>
      </c>
      <c r="C1502" s="31" t="s">
        <v>1877</v>
      </c>
      <c r="D1502" s="31" t="s">
        <v>5922</v>
      </c>
      <c r="E1502" s="31" t="s">
        <v>5926</v>
      </c>
      <c r="F1502" s="31" t="s">
        <v>31</v>
      </c>
      <c r="G1502" s="31">
        <v>977</v>
      </c>
      <c r="H1502" s="31">
        <v>10</v>
      </c>
      <c r="I1502" s="31">
        <v>10</v>
      </c>
      <c r="J1502" s="31" t="s">
        <v>5927</v>
      </c>
      <c r="K1502" s="31" t="s">
        <v>33</v>
      </c>
      <c r="L1502" s="31" t="s">
        <v>34</v>
      </c>
      <c r="M1502" s="31">
        <v>576</v>
      </c>
      <c r="N1502" s="31">
        <v>2019</v>
      </c>
      <c r="O1502" s="31">
        <v>580</v>
      </c>
      <c r="P1502" s="31"/>
      <c r="Q1502" s="31"/>
      <c r="R1502" s="33"/>
      <c r="S1502" s="34" t="str">
        <f>HYPERLINK("http://www.cnpol.ru/covers/18668.jpg","фото на сайте")</f>
        <v>фото на сайте</v>
      </c>
    </row>
    <row r="1503" spans="1:19" ht="50.1" customHeight="1">
      <c r="A1503" s="31" t="s">
        <v>43</v>
      </c>
      <c r="B1503" s="32" t="s">
        <v>5928</v>
      </c>
      <c r="C1503" s="31" t="s">
        <v>37</v>
      </c>
      <c r="D1503" s="31" t="s">
        <v>5929</v>
      </c>
      <c r="E1503" s="31" t="s">
        <v>5930</v>
      </c>
      <c r="F1503" s="31" t="s">
        <v>31</v>
      </c>
      <c r="G1503" s="35">
        <v>1307</v>
      </c>
      <c r="H1503" s="31">
        <v>10</v>
      </c>
      <c r="I1503" s="31">
        <v>8</v>
      </c>
      <c r="J1503" s="31" t="s">
        <v>5931</v>
      </c>
      <c r="K1503" s="31" t="s">
        <v>1159</v>
      </c>
      <c r="L1503" s="31" t="s">
        <v>34</v>
      </c>
      <c r="M1503" s="31">
        <v>571</v>
      </c>
      <c r="N1503" s="31">
        <v>2024</v>
      </c>
      <c r="O1503" s="31">
        <v>788</v>
      </c>
      <c r="P1503" s="31"/>
      <c r="Q1503" s="31"/>
      <c r="R1503" s="33" t="s">
        <v>5932</v>
      </c>
      <c r="S1503" s="34" t="str">
        <f>HYPERLINK("http://www.cnpol.ru/covers/21305.jpg","фото на сайте")</f>
        <v>фото на сайте</v>
      </c>
    </row>
    <row r="1504" spans="1:19" ht="50.1" customHeight="1">
      <c r="A1504" s="31"/>
      <c r="B1504" s="32" t="s">
        <v>5933</v>
      </c>
      <c r="C1504" s="31" t="s">
        <v>5934</v>
      </c>
      <c r="D1504" s="31" t="s">
        <v>5935</v>
      </c>
      <c r="E1504" s="31" t="s">
        <v>5936</v>
      </c>
      <c r="F1504" s="31" t="s">
        <v>31</v>
      </c>
      <c r="G1504" s="31">
        <v>154</v>
      </c>
      <c r="H1504" s="31">
        <v>10</v>
      </c>
      <c r="I1504" s="31">
        <v>24</v>
      </c>
      <c r="J1504" s="31" t="s">
        <v>5937</v>
      </c>
      <c r="K1504" s="31" t="s">
        <v>55</v>
      </c>
      <c r="L1504" s="31" t="s">
        <v>56</v>
      </c>
      <c r="M1504" s="31">
        <v>316</v>
      </c>
      <c r="N1504" s="31">
        <v>2004</v>
      </c>
      <c r="O1504" s="31">
        <v>130</v>
      </c>
      <c r="P1504" s="31"/>
      <c r="Q1504" s="31"/>
      <c r="R1504" s="33"/>
      <c r="S1504" s="34" t="str">
        <f>HYPERLINK("http://www.cnpol.ru/covers/4909.jpg","фото на сайте")</f>
        <v>фото на сайте</v>
      </c>
    </row>
    <row r="1505" spans="1:19" ht="50.1" customHeight="1">
      <c r="A1505" s="31" t="s">
        <v>43</v>
      </c>
      <c r="B1505" s="32" t="s">
        <v>5938</v>
      </c>
      <c r="C1505" s="31" t="s">
        <v>37</v>
      </c>
      <c r="D1505" s="31" t="s">
        <v>5939</v>
      </c>
      <c r="E1505" s="31" t="s">
        <v>5940</v>
      </c>
      <c r="F1505" s="31" t="s">
        <v>31</v>
      </c>
      <c r="G1505" s="31">
        <v>851</v>
      </c>
      <c r="H1505" s="31">
        <v>10</v>
      </c>
      <c r="I1505" s="31">
        <v>14</v>
      </c>
      <c r="J1505" s="31" t="s">
        <v>5941</v>
      </c>
      <c r="K1505" s="31" t="s">
        <v>33</v>
      </c>
      <c r="L1505" s="31" t="s">
        <v>34</v>
      </c>
      <c r="M1505" s="31">
        <v>285</v>
      </c>
      <c r="N1505" s="31">
        <v>2025</v>
      </c>
      <c r="O1505" s="31">
        <v>265</v>
      </c>
      <c r="P1505" s="31"/>
      <c r="Q1505" s="31"/>
      <c r="R1505" s="33" t="s">
        <v>5942</v>
      </c>
      <c r="S1505" s="34" t="str">
        <f>HYPERLINK("http://www.cnpol.ru/covers/21662.jpg","фото на сайте")</f>
        <v>фото на сайте</v>
      </c>
    </row>
    <row r="1506" spans="1:19" ht="50.1" customHeight="1">
      <c r="A1506" s="31"/>
      <c r="B1506" s="32" t="s">
        <v>5943</v>
      </c>
      <c r="C1506" s="31" t="s">
        <v>1877</v>
      </c>
      <c r="D1506" s="31" t="s">
        <v>5944</v>
      </c>
      <c r="E1506" s="31" t="s">
        <v>5945</v>
      </c>
      <c r="F1506" s="31" t="s">
        <v>31</v>
      </c>
      <c r="G1506" s="31">
        <v>880</v>
      </c>
      <c r="H1506" s="31">
        <v>10</v>
      </c>
      <c r="I1506" s="31">
        <v>14</v>
      </c>
      <c r="J1506" s="31" t="s">
        <v>5946</v>
      </c>
      <c r="K1506" s="31" t="s">
        <v>33</v>
      </c>
      <c r="L1506" s="31" t="s">
        <v>34</v>
      </c>
      <c r="M1506" s="31">
        <v>416</v>
      </c>
      <c r="N1506" s="31">
        <v>2016</v>
      </c>
      <c r="O1506" s="31">
        <v>436</v>
      </c>
      <c r="P1506" s="31"/>
      <c r="Q1506" s="31"/>
      <c r="R1506" s="33"/>
      <c r="S1506" s="34" t="str">
        <f>HYPERLINK("http://www.cnpol.ru/covers/16751.jpg","фото на сайте")</f>
        <v>фото на сайте</v>
      </c>
    </row>
    <row r="1507" spans="1:19" ht="50.1" customHeight="1">
      <c r="A1507" s="31"/>
      <c r="B1507" s="32" t="s">
        <v>5947</v>
      </c>
      <c r="C1507" s="31" t="s">
        <v>863</v>
      </c>
      <c r="D1507" s="31" t="s">
        <v>5948</v>
      </c>
      <c r="E1507" s="31" t="s">
        <v>5949</v>
      </c>
      <c r="F1507" s="31" t="s">
        <v>31</v>
      </c>
      <c r="G1507" s="31">
        <v>773</v>
      </c>
      <c r="H1507" s="31">
        <v>10</v>
      </c>
      <c r="I1507" s="31">
        <v>6</v>
      </c>
      <c r="J1507" s="31" t="s">
        <v>5950</v>
      </c>
      <c r="K1507" s="31" t="s">
        <v>41</v>
      </c>
      <c r="L1507" s="31" t="s">
        <v>34</v>
      </c>
      <c r="M1507" s="31">
        <v>591</v>
      </c>
      <c r="N1507" s="31">
        <v>2022</v>
      </c>
      <c r="O1507" s="31">
        <v>630</v>
      </c>
      <c r="P1507" s="31"/>
      <c r="Q1507" s="31"/>
      <c r="R1507" s="33" t="s">
        <v>5951</v>
      </c>
      <c r="S1507" s="34" t="str">
        <f>HYPERLINK("http://www.cnpol.ru/covers/20465.jpg","фото на сайте")</f>
        <v>фото на сайте</v>
      </c>
    </row>
    <row r="1508" spans="1:19" ht="50.1" customHeight="1">
      <c r="A1508" s="31"/>
      <c r="B1508" s="32" t="s">
        <v>5952</v>
      </c>
      <c r="C1508" s="31" t="s">
        <v>400</v>
      </c>
      <c r="D1508" s="31" t="s">
        <v>1835</v>
      </c>
      <c r="E1508" s="31" t="s">
        <v>5953</v>
      </c>
      <c r="F1508" s="31" t="s">
        <v>31</v>
      </c>
      <c r="G1508" s="31">
        <v>503</v>
      </c>
      <c r="H1508" s="31">
        <v>10</v>
      </c>
      <c r="I1508" s="31">
        <v>14</v>
      </c>
      <c r="J1508" s="31" t="s">
        <v>5954</v>
      </c>
      <c r="K1508" s="31" t="s">
        <v>33</v>
      </c>
      <c r="L1508" s="31" t="s">
        <v>34</v>
      </c>
      <c r="M1508" s="31">
        <v>288</v>
      </c>
      <c r="N1508" s="31">
        <v>2019</v>
      </c>
      <c r="O1508" s="31">
        <v>254</v>
      </c>
      <c r="P1508" s="31"/>
      <c r="Q1508" s="31"/>
      <c r="R1508" s="33"/>
      <c r="S1508" s="34" t="str">
        <f>HYPERLINK("http://www.cnpol.ru/covers/18612.jpg","фото на сайте")</f>
        <v>фото на сайте</v>
      </c>
    </row>
    <row r="1509" spans="1:19" ht="50.1" customHeight="1">
      <c r="A1509" s="31"/>
      <c r="B1509" s="32" t="s">
        <v>5955</v>
      </c>
      <c r="C1509" s="31" t="s">
        <v>1338</v>
      </c>
      <c r="D1509" s="31" t="s">
        <v>5956</v>
      </c>
      <c r="E1509" s="31" t="s">
        <v>5957</v>
      </c>
      <c r="F1509" s="31" t="s">
        <v>31</v>
      </c>
      <c r="G1509" s="31">
        <v>154</v>
      </c>
      <c r="H1509" s="31">
        <v>10</v>
      </c>
      <c r="I1509" s="31">
        <v>28</v>
      </c>
      <c r="J1509" s="31" t="s">
        <v>5958</v>
      </c>
      <c r="K1509" s="31" t="s">
        <v>55</v>
      </c>
      <c r="L1509" s="31" t="s">
        <v>56</v>
      </c>
      <c r="M1509" s="31">
        <v>286</v>
      </c>
      <c r="N1509" s="31">
        <v>2010</v>
      </c>
      <c r="O1509" s="31">
        <v>122</v>
      </c>
      <c r="P1509" s="31"/>
      <c r="Q1509" s="31"/>
      <c r="R1509" s="33"/>
      <c r="S1509" s="34" t="str">
        <f>HYPERLINK("http://www.cnpol.ru/covers/12060.jpg","фото на сайте")</f>
        <v>фото на сайте</v>
      </c>
    </row>
    <row r="1510" spans="1:19" ht="50.1" customHeight="1">
      <c r="A1510" s="31"/>
      <c r="B1510" s="32" t="s">
        <v>5959</v>
      </c>
      <c r="C1510" s="31" t="s">
        <v>5960</v>
      </c>
      <c r="D1510" s="31" t="s">
        <v>5961</v>
      </c>
      <c r="E1510" s="31" t="s">
        <v>5962</v>
      </c>
      <c r="F1510" s="31" t="s">
        <v>31</v>
      </c>
      <c r="G1510" s="31">
        <v>81</v>
      </c>
      <c r="H1510" s="31">
        <v>10</v>
      </c>
      <c r="I1510" s="31">
        <v>20</v>
      </c>
      <c r="J1510" s="31" t="s">
        <v>5963</v>
      </c>
      <c r="K1510" s="31" t="s">
        <v>130</v>
      </c>
      <c r="L1510" s="31" t="s">
        <v>56</v>
      </c>
      <c r="M1510" s="31" t="s">
        <v>431</v>
      </c>
      <c r="N1510" s="31" t="s">
        <v>431</v>
      </c>
      <c r="O1510" s="31" t="s">
        <v>220</v>
      </c>
      <c r="P1510" s="31"/>
      <c r="Q1510" s="31"/>
      <c r="R1510" s="33"/>
      <c r="S1510" s="34" t="str">
        <f>HYPERLINK("http://www.cnpol.ru/covers/4169.jpg","фото на сайте")</f>
        <v>фото на сайте</v>
      </c>
    </row>
    <row r="1511" spans="1:19" ht="50.1" customHeight="1">
      <c r="A1511" s="31"/>
      <c r="B1511" s="32" t="s">
        <v>5964</v>
      </c>
      <c r="C1511" s="31" t="s">
        <v>5960</v>
      </c>
      <c r="D1511" s="31" t="s">
        <v>5961</v>
      </c>
      <c r="E1511" s="31" t="s">
        <v>5962</v>
      </c>
      <c r="F1511" s="31" t="s">
        <v>31</v>
      </c>
      <c r="G1511" s="31">
        <v>88</v>
      </c>
      <c r="H1511" s="31">
        <v>10</v>
      </c>
      <c r="I1511" s="31">
        <v>20</v>
      </c>
      <c r="J1511" s="31" t="s">
        <v>5963</v>
      </c>
      <c r="K1511" s="31" t="s">
        <v>130</v>
      </c>
      <c r="L1511" s="31" t="s">
        <v>56</v>
      </c>
      <c r="M1511" s="31">
        <v>350</v>
      </c>
      <c r="N1511" s="31">
        <v>2004</v>
      </c>
      <c r="O1511" s="31" t="s">
        <v>220</v>
      </c>
      <c r="P1511" s="31"/>
      <c r="Q1511" s="31"/>
      <c r="R1511" s="33"/>
      <c r="S1511" s="34" t="str">
        <f>HYPERLINK("http://www.cnpol.ru/covers/5166.jpg","фото на сайте")</f>
        <v>фото на сайте</v>
      </c>
    </row>
    <row r="1512" spans="1:19" ht="50.1" customHeight="1">
      <c r="A1512" s="31"/>
      <c r="B1512" s="32" t="s">
        <v>5965</v>
      </c>
      <c r="C1512" s="31" t="s">
        <v>5960</v>
      </c>
      <c r="D1512" s="31" t="s">
        <v>5961</v>
      </c>
      <c r="E1512" s="31" t="s">
        <v>5962</v>
      </c>
      <c r="F1512" s="31" t="s">
        <v>31</v>
      </c>
      <c r="G1512" s="31">
        <v>137</v>
      </c>
      <c r="H1512" s="31">
        <v>10</v>
      </c>
      <c r="I1512" s="31">
        <v>20</v>
      </c>
      <c r="J1512" s="31" t="s">
        <v>5963</v>
      </c>
      <c r="K1512" s="31" t="s">
        <v>130</v>
      </c>
      <c r="L1512" s="31" t="s">
        <v>56</v>
      </c>
      <c r="M1512" s="31">
        <v>350</v>
      </c>
      <c r="N1512" s="31">
        <v>2004</v>
      </c>
      <c r="O1512" s="31">
        <v>220</v>
      </c>
      <c r="P1512" s="31"/>
      <c r="Q1512" s="31"/>
      <c r="R1512" s="33"/>
      <c r="S1512" s="34" t="str">
        <f>HYPERLINK("http://www.cnpol.ru/covers/5338.jpg","фото на сайте")</f>
        <v>фото на сайте</v>
      </c>
    </row>
    <row r="1513" spans="1:19" ht="50.1" customHeight="1">
      <c r="A1513" s="31"/>
      <c r="B1513" s="32" t="s">
        <v>5966</v>
      </c>
      <c r="C1513" s="31" t="s">
        <v>4922</v>
      </c>
      <c r="D1513" s="31" t="s">
        <v>5967</v>
      </c>
      <c r="E1513" s="31" t="s">
        <v>5968</v>
      </c>
      <c r="F1513" s="31" t="s">
        <v>31</v>
      </c>
      <c r="G1513" s="31">
        <v>539</v>
      </c>
      <c r="H1513" s="31">
        <v>10</v>
      </c>
      <c r="I1513" s="31">
        <v>12</v>
      </c>
      <c r="J1513" s="31" t="s">
        <v>5969</v>
      </c>
      <c r="K1513" s="31" t="s">
        <v>33</v>
      </c>
      <c r="L1513" s="31" t="s">
        <v>34</v>
      </c>
      <c r="M1513" s="31">
        <v>352</v>
      </c>
      <c r="N1513" s="31">
        <v>2017</v>
      </c>
      <c r="O1513" s="31">
        <v>348</v>
      </c>
      <c r="P1513" s="31"/>
      <c r="Q1513" s="31"/>
      <c r="R1513" s="33"/>
      <c r="S1513" s="34" t="str">
        <f>HYPERLINK("http://www.cnpol.ru/covers/17483.jpg","фото на сайте")</f>
        <v>фото на сайте</v>
      </c>
    </row>
    <row r="1514" spans="1:19" ht="50.1" customHeight="1">
      <c r="A1514" s="31" t="s">
        <v>43</v>
      </c>
      <c r="B1514" s="32" t="s">
        <v>5970</v>
      </c>
      <c r="C1514" s="31" t="s">
        <v>779</v>
      </c>
      <c r="D1514" s="31" t="s">
        <v>5971</v>
      </c>
      <c r="E1514" s="31" t="s">
        <v>5972</v>
      </c>
      <c r="F1514" s="31" t="s">
        <v>31</v>
      </c>
      <c r="G1514" s="31">
        <v>887</v>
      </c>
      <c r="H1514" s="31">
        <v>10</v>
      </c>
      <c r="I1514" s="31">
        <v>12</v>
      </c>
      <c r="J1514" s="31" t="s">
        <v>5973</v>
      </c>
      <c r="K1514" s="31" t="s">
        <v>33</v>
      </c>
      <c r="L1514" s="31" t="s">
        <v>34</v>
      </c>
      <c r="M1514" s="31">
        <v>294</v>
      </c>
      <c r="N1514" s="31">
        <v>2024</v>
      </c>
      <c r="O1514" s="31">
        <v>358</v>
      </c>
      <c r="P1514" s="31"/>
      <c r="Q1514" s="31"/>
      <c r="R1514" s="33" t="s">
        <v>5974</v>
      </c>
      <c r="S1514" s="34" t="str">
        <f>HYPERLINK("http://www.cnpol.ru/covers/21213.jpg","фото на сайте")</f>
        <v>фото на сайте</v>
      </c>
    </row>
    <row r="1515" spans="1:19" ht="50.1" customHeight="1">
      <c r="A1515" s="31"/>
      <c r="B1515" s="32" t="s">
        <v>5975</v>
      </c>
      <c r="C1515" s="31" t="s">
        <v>302</v>
      </c>
      <c r="D1515" s="31" t="s">
        <v>872</v>
      </c>
      <c r="E1515" s="31" t="s">
        <v>5976</v>
      </c>
      <c r="F1515" s="31" t="s">
        <v>31</v>
      </c>
      <c r="G1515" s="31">
        <v>917</v>
      </c>
      <c r="H1515" s="31">
        <v>10</v>
      </c>
      <c r="I1515" s="31">
        <v>20</v>
      </c>
      <c r="J1515" s="31" t="s">
        <v>5977</v>
      </c>
      <c r="K1515" s="31" t="s">
        <v>41</v>
      </c>
      <c r="L1515" s="31" t="s">
        <v>304</v>
      </c>
      <c r="M1515" s="31">
        <v>256</v>
      </c>
      <c r="N1515" s="31">
        <v>2023</v>
      </c>
      <c r="O1515" s="31">
        <v>376</v>
      </c>
      <c r="P1515" s="31"/>
      <c r="Q1515" s="31"/>
      <c r="R1515" s="33" t="s">
        <v>5978</v>
      </c>
      <c r="S1515" s="34" t="str">
        <f>HYPERLINK("http://www.cnpol.ru/covers/20650.jpg","фото на сайте")</f>
        <v>фото на сайте</v>
      </c>
    </row>
    <row r="1516" spans="1:19" ht="50.1" customHeight="1">
      <c r="A1516" s="31" t="s">
        <v>35</v>
      </c>
      <c r="B1516" s="32" t="s">
        <v>5979</v>
      </c>
      <c r="C1516" s="31" t="s">
        <v>297</v>
      </c>
      <c r="D1516" s="31" t="s">
        <v>872</v>
      </c>
      <c r="E1516" s="31" t="s">
        <v>5976</v>
      </c>
      <c r="F1516" s="31" t="s">
        <v>31</v>
      </c>
      <c r="G1516" s="31">
        <v>300</v>
      </c>
      <c r="H1516" s="31">
        <v>10</v>
      </c>
      <c r="I1516" s="31">
        <v>10</v>
      </c>
      <c r="J1516" s="31" t="s">
        <v>5980</v>
      </c>
      <c r="K1516" s="31" t="s">
        <v>300</v>
      </c>
      <c r="L1516" s="31" t="s">
        <v>56</v>
      </c>
      <c r="M1516" s="31">
        <v>255</v>
      </c>
      <c r="N1516" s="31">
        <v>2022</v>
      </c>
      <c r="O1516" s="31" t="s">
        <v>220</v>
      </c>
      <c r="P1516" s="31"/>
      <c r="Q1516" s="31"/>
      <c r="R1516" s="33" t="s">
        <v>5981</v>
      </c>
      <c r="S1516" s="34" t="str">
        <f>HYPERLINK("http://www.cnpol.ru/covers/21539.jpg","фото на сайте")</f>
        <v>фото на сайте</v>
      </c>
    </row>
    <row r="1517" spans="1:19" ht="50.1" customHeight="1">
      <c r="A1517" s="31"/>
      <c r="B1517" s="32" t="s">
        <v>5982</v>
      </c>
      <c r="C1517" s="31" t="s">
        <v>37</v>
      </c>
      <c r="D1517" s="31" t="s">
        <v>5983</v>
      </c>
      <c r="E1517" s="31" t="s">
        <v>5984</v>
      </c>
      <c r="F1517" s="31" t="s">
        <v>31</v>
      </c>
      <c r="G1517" s="31">
        <v>814</v>
      </c>
      <c r="H1517" s="31">
        <v>10</v>
      </c>
      <c r="I1517" s="31">
        <v>16</v>
      </c>
      <c r="J1517" s="31" t="s">
        <v>5985</v>
      </c>
      <c r="K1517" s="31" t="s">
        <v>33</v>
      </c>
      <c r="L1517" s="31" t="s">
        <v>34</v>
      </c>
      <c r="M1517" s="31">
        <v>255</v>
      </c>
      <c r="N1517" s="31">
        <v>2022</v>
      </c>
      <c r="O1517" s="31">
        <v>233</v>
      </c>
      <c r="P1517" s="31"/>
      <c r="Q1517" s="31"/>
      <c r="R1517" s="33"/>
      <c r="S1517" s="34" t="str">
        <f>HYPERLINK("http://www.cnpol.ru/covers/20197.jpg","фото на сайте")</f>
        <v>фото на сайте</v>
      </c>
    </row>
    <row r="1518" spans="1:19" ht="50.1" customHeight="1">
      <c r="A1518" s="31"/>
      <c r="B1518" s="32" t="s">
        <v>5986</v>
      </c>
      <c r="C1518" s="31" t="s">
        <v>385</v>
      </c>
      <c r="D1518" s="31" t="s">
        <v>386</v>
      </c>
      <c r="E1518" s="31" t="s">
        <v>5987</v>
      </c>
      <c r="F1518" s="31" t="s">
        <v>31</v>
      </c>
      <c r="G1518" s="31">
        <v>162</v>
      </c>
      <c r="H1518" s="31">
        <v>10</v>
      </c>
      <c r="I1518" s="31">
        <v>32</v>
      </c>
      <c r="J1518" s="31" t="s">
        <v>5988</v>
      </c>
      <c r="K1518" s="31" t="s">
        <v>55</v>
      </c>
      <c r="L1518" s="31" t="s">
        <v>56</v>
      </c>
      <c r="M1518" s="31">
        <v>256</v>
      </c>
      <c r="N1518" s="31">
        <v>2016</v>
      </c>
      <c r="O1518" s="31">
        <v>106</v>
      </c>
      <c r="P1518" s="31"/>
      <c r="Q1518" s="31"/>
      <c r="R1518" s="33"/>
      <c r="S1518" s="34" t="str">
        <f>HYPERLINK("http://www.cnpol.ru/covers/0131.jpg","фото на сайте")</f>
        <v>фото на сайте</v>
      </c>
    </row>
    <row r="1519" spans="1:19" ht="50.1" customHeight="1">
      <c r="A1519" s="31" t="s">
        <v>35</v>
      </c>
      <c r="B1519" s="32" t="s">
        <v>5989</v>
      </c>
      <c r="C1519" s="31" t="s">
        <v>1016</v>
      </c>
      <c r="D1519" s="31" t="s">
        <v>4069</v>
      </c>
      <c r="E1519" s="31" t="s">
        <v>5990</v>
      </c>
      <c r="F1519" s="31" t="s">
        <v>31</v>
      </c>
      <c r="G1519" s="35">
        <v>1277</v>
      </c>
      <c r="H1519" s="31">
        <v>10</v>
      </c>
      <c r="I1519" s="31">
        <v>5</v>
      </c>
      <c r="J1519" s="31" t="s">
        <v>5991</v>
      </c>
      <c r="K1519" s="31" t="s">
        <v>33</v>
      </c>
      <c r="L1519" s="31" t="s">
        <v>34</v>
      </c>
      <c r="M1519" s="31">
        <v>543</v>
      </c>
      <c r="N1519" s="31">
        <v>2025</v>
      </c>
      <c r="O1519" s="31" t="s">
        <v>220</v>
      </c>
      <c r="P1519" s="31"/>
      <c r="Q1519" s="31"/>
      <c r="R1519" s="33" t="s">
        <v>5992</v>
      </c>
      <c r="S1519" s="34" t="str">
        <f>HYPERLINK("http://www.cnpol.ru/covers/21859.jpg","фото на сайте")</f>
        <v>фото на сайте</v>
      </c>
    </row>
    <row r="1520" spans="1:19" ht="50.1" customHeight="1">
      <c r="A1520" s="31"/>
      <c r="B1520" s="32" t="s">
        <v>5993</v>
      </c>
      <c r="C1520" s="31" t="s">
        <v>413</v>
      </c>
      <c r="D1520" s="31" t="s">
        <v>5994</v>
      </c>
      <c r="E1520" s="31" t="s">
        <v>5995</v>
      </c>
      <c r="F1520" s="31">
        <v>136</v>
      </c>
      <c r="G1520" s="31">
        <v>117</v>
      </c>
      <c r="H1520" s="31">
        <v>10</v>
      </c>
      <c r="I1520" s="31">
        <v>30</v>
      </c>
      <c r="J1520" s="31" t="s">
        <v>5996</v>
      </c>
      <c r="K1520" s="31" t="s">
        <v>123</v>
      </c>
      <c r="L1520" s="31" t="s">
        <v>56</v>
      </c>
      <c r="M1520" s="31">
        <v>192</v>
      </c>
      <c r="N1520" s="31">
        <v>2017</v>
      </c>
      <c r="O1520" s="31">
        <v>90</v>
      </c>
      <c r="P1520" s="31"/>
      <c r="Q1520" s="31"/>
      <c r="R1520" s="33"/>
      <c r="S1520" s="34" t="str">
        <f>HYPERLINK("http://www.cnpol.ru/covers/17271.jpg","фото на сайте")</f>
        <v>фото на сайте</v>
      </c>
    </row>
    <row r="1521" spans="1:19" ht="50.1" customHeight="1">
      <c r="A1521" s="31"/>
      <c r="B1521" s="32" t="s">
        <v>5997</v>
      </c>
      <c r="C1521" s="31" t="s">
        <v>1623</v>
      </c>
      <c r="D1521" s="31" t="s">
        <v>5998</v>
      </c>
      <c r="E1521" s="31" t="s">
        <v>5999</v>
      </c>
      <c r="F1521" s="31" t="s">
        <v>31</v>
      </c>
      <c r="G1521" s="31">
        <v>169</v>
      </c>
      <c r="H1521" s="31">
        <v>10</v>
      </c>
      <c r="I1521" s="31">
        <v>11</v>
      </c>
      <c r="J1521" s="31" t="s">
        <v>6000</v>
      </c>
      <c r="K1521" s="31" t="s">
        <v>55</v>
      </c>
      <c r="L1521" s="31" t="s">
        <v>56</v>
      </c>
      <c r="M1521" s="31">
        <v>256</v>
      </c>
      <c r="N1521" s="31">
        <v>2021</v>
      </c>
      <c r="O1521" s="31">
        <v>110</v>
      </c>
      <c r="P1521" s="31"/>
      <c r="Q1521" s="31"/>
      <c r="R1521" s="33"/>
      <c r="S1521" s="34" t="str">
        <f>HYPERLINK("http://www.cnpol.ru/covers/19812.jpg","фото на сайте")</f>
        <v>фото на сайте</v>
      </c>
    </row>
    <row r="1522" spans="1:19" ht="50.1" customHeight="1">
      <c r="A1522" s="31"/>
      <c r="B1522" s="32" t="s">
        <v>6001</v>
      </c>
      <c r="C1522" s="31" t="s">
        <v>546</v>
      </c>
      <c r="D1522" s="31" t="s">
        <v>6002</v>
      </c>
      <c r="E1522" s="31" t="s">
        <v>6003</v>
      </c>
      <c r="F1522" s="31">
        <v>346</v>
      </c>
      <c r="G1522" s="31">
        <v>93</v>
      </c>
      <c r="H1522" s="31">
        <v>10</v>
      </c>
      <c r="I1522" s="31">
        <v>30</v>
      </c>
      <c r="J1522" s="31" t="s">
        <v>6004</v>
      </c>
      <c r="K1522" s="31" t="s">
        <v>123</v>
      </c>
      <c r="L1522" s="31" t="s">
        <v>56</v>
      </c>
      <c r="M1522" s="31">
        <v>160</v>
      </c>
      <c r="N1522" s="31">
        <v>2020</v>
      </c>
      <c r="O1522" s="31">
        <v>76</v>
      </c>
      <c r="P1522" s="31"/>
      <c r="Q1522" s="31"/>
      <c r="R1522" s="33"/>
      <c r="S1522" s="34" t="str">
        <f>HYPERLINK("http://www.cnpol.ru/covers/19121.jpg","фото на сайте")</f>
        <v>фото на сайте</v>
      </c>
    </row>
    <row r="1523" spans="1:19" ht="50.1" customHeight="1">
      <c r="A1523" s="31"/>
      <c r="B1523" s="32" t="s">
        <v>6005</v>
      </c>
      <c r="C1523" s="31" t="s">
        <v>6006</v>
      </c>
      <c r="D1523" s="31" t="s">
        <v>6007</v>
      </c>
      <c r="E1523" s="31" t="s">
        <v>6008</v>
      </c>
      <c r="F1523" s="31" t="s">
        <v>31</v>
      </c>
      <c r="G1523" s="31">
        <v>144</v>
      </c>
      <c r="H1523" s="31">
        <v>20</v>
      </c>
      <c r="I1523" s="31">
        <v>40</v>
      </c>
      <c r="J1523" s="31" t="s">
        <v>6009</v>
      </c>
      <c r="K1523" s="31" t="s">
        <v>6010</v>
      </c>
      <c r="L1523" s="31" t="s">
        <v>56</v>
      </c>
      <c r="M1523" s="31">
        <v>160</v>
      </c>
      <c r="N1523" s="31">
        <v>2008</v>
      </c>
      <c r="O1523" s="31">
        <v>96</v>
      </c>
      <c r="P1523" s="31"/>
      <c r="Q1523" s="31"/>
      <c r="R1523" s="33"/>
      <c r="S1523" s="34" t="str">
        <f>HYPERLINK("http://www.cnpol.ru/covers/10893.jpg","фото на сайте")</f>
        <v>фото на сайте</v>
      </c>
    </row>
    <row r="1524" spans="1:19" ht="50.1" customHeight="1">
      <c r="A1524" s="31"/>
      <c r="B1524" s="32" t="s">
        <v>6011</v>
      </c>
      <c r="C1524" s="31" t="s">
        <v>6006</v>
      </c>
      <c r="D1524" s="31" t="s">
        <v>6007</v>
      </c>
      <c r="E1524" s="31" t="s">
        <v>6012</v>
      </c>
      <c r="F1524" s="31" t="s">
        <v>31</v>
      </c>
      <c r="G1524" s="31">
        <v>144</v>
      </c>
      <c r="H1524" s="31">
        <v>20</v>
      </c>
      <c r="I1524" s="31">
        <v>48</v>
      </c>
      <c r="J1524" s="31" t="s">
        <v>6013</v>
      </c>
      <c r="K1524" s="31" t="s">
        <v>194</v>
      </c>
      <c r="L1524" s="31" t="s">
        <v>56</v>
      </c>
      <c r="M1524" s="31">
        <v>159</v>
      </c>
      <c r="N1524" s="31">
        <v>2008</v>
      </c>
      <c r="O1524" s="31">
        <v>90</v>
      </c>
      <c r="P1524" s="31"/>
      <c r="Q1524" s="31"/>
      <c r="R1524" s="33"/>
      <c r="S1524" s="34" t="str">
        <f>HYPERLINK("http://www.cnpol.ru/covers/10410.jpg","фото на сайте")</f>
        <v>фото на сайте</v>
      </c>
    </row>
    <row r="1525" spans="1:19" ht="50.1" customHeight="1">
      <c r="A1525" s="31"/>
      <c r="B1525" s="32" t="s">
        <v>6014</v>
      </c>
      <c r="C1525" s="31" t="s">
        <v>400</v>
      </c>
      <c r="D1525" s="31" t="s">
        <v>6015</v>
      </c>
      <c r="E1525" s="31" t="s">
        <v>6016</v>
      </c>
      <c r="F1525" s="31" t="s">
        <v>31</v>
      </c>
      <c r="G1525" s="31">
        <v>503</v>
      </c>
      <c r="H1525" s="31">
        <v>10</v>
      </c>
      <c r="I1525" s="31">
        <v>14</v>
      </c>
      <c r="J1525" s="31" t="s">
        <v>6017</v>
      </c>
      <c r="K1525" s="31" t="s">
        <v>33</v>
      </c>
      <c r="L1525" s="31" t="s">
        <v>34</v>
      </c>
      <c r="M1525" s="31">
        <v>316</v>
      </c>
      <c r="N1525" s="31">
        <v>2013</v>
      </c>
      <c r="O1525" s="31">
        <v>274</v>
      </c>
      <c r="P1525" s="31"/>
      <c r="Q1525" s="31"/>
      <c r="R1525" s="33"/>
      <c r="S1525" s="34" t="str">
        <f>HYPERLINK("http://www.cnpol.ru/covers/14165.jpg","фото на сайте")</f>
        <v>фото на сайте</v>
      </c>
    </row>
    <row r="1526" spans="1:19" ht="50.1" customHeight="1">
      <c r="A1526" s="31"/>
      <c r="B1526" s="32" t="s">
        <v>6018</v>
      </c>
      <c r="C1526" s="31" t="s">
        <v>479</v>
      </c>
      <c r="D1526" s="31" t="s">
        <v>609</v>
      </c>
      <c r="E1526" s="31" t="s">
        <v>6019</v>
      </c>
      <c r="F1526" s="31" t="s">
        <v>31</v>
      </c>
      <c r="G1526" s="31">
        <v>539</v>
      </c>
      <c r="H1526" s="31">
        <v>10</v>
      </c>
      <c r="I1526" s="31">
        <v>14</v>
      </c>
      <c r="J1526" s="31" t="s">
        <v>6020</v>
      </c>
      <c r="K1526" s="31" t="s">
        <v>33</v>
      </c>
      <c r="L1526" s="31" t="s">
        <v>34</v>
      </c>
      <c r="M1526" s="31">
        <v>320</v>
      </c>
      <c r="N1526" s="31">
        <v>2018</v>
      </c>
      <c r="O1526" s="31">
        <v>272</v>
      </c>
      <c r="P1526" s="31"/>
      <c r="Q1526" s="31"/>
      <c r="R1526" s="33"/>
      <c r="S1526" s="34" t="str">
        <f>HYPERLINK("http://www.cnpol.ru/covers/18095.jpg","фото на сайте")</f>
        <v>фото на сайте</v>
      </c>
    </row>
    <row r="1527" spans="1:19" ht="50.1" customHeight="1">
      <c r="A1527" s="31" t="s">
        <v>43</v>
      </c>
      <c r="B1527" s="32" t="s">
        <v>6021</v>
      </c>
      <c r="C1527" s="31" t="s">
        <v>37</v>
      </c>
      <c r="D1527" s="31" t="s">
        <v>6022</v>
      </c>
      <c r="E1527" s="31" t="s">
        <v>6023</v>
      </c>
      <c r="F1527" s="31" t="s">
        <v>31</v>
      </c>
      <c r="G1527" s="31">
        <v>911</v>
      </c>
      <c r="H1527" s="31">
        <v>10</v>
      </c>
      <c r="I1527" s="31">
        <v>5</v>
      </c>
      <c r="J1527" s="31" t="s">
        <v>6024</v>
      </c>
      <c r="K1527" s="31" t="s">
        <v>33</v>
      </c>
      <c r="L1527" s="31" t="s">
        <v>34</v>
      </c>
      <c r="M1527" s="31">
        <v>304</v>
      </c>
      <c r="N1527" s="31">
        <v>2025</v>
      </c>
      <c r="O1527" s="31" t="s">
        <v>220</v>
      </c>
      <c r="P1527" s="31"/>
      <c r="Q1527" s="31"/>
      <c r="R1527" s="33" t="s">
        <v>6025</v>
      </c>
      <c r="S1527" s="34" t="str">
        <f>HYPERLINK("http://www.cnpol.ru/covers/21794.jpg","фото на сайте")</f>
        <v>фото на сайте</v>
      </c>
    </row>
    <row r="1528" spans="1:19" ht="50.1" customHeight="1">
      <c r="A1528" s="31"/>
      <c r="B1528" s="32" t="s">
        <v>6026</v>
      </c>
      <c r="C1528" s="31" t="s">
        <v>6027</v>
      </c>
      <c r="D1528" s="31" t="s">
        <v>4876</v>
      </c>
      <c r="E1528" s="31" t="s">
        <v>6028</v>
      </c>
      <c r="F1528" s="31" t="s">
        <v>31</v>
      </c>
      <c r="G1528" s="31">
        <v>154</v>
      </c>
      <c r="H1528" s="31">
        <v>10</v>
      </c>
      <c r="I1528" s="31">
        <v>28</v>
      </c>
      <c r="J1528" s="31" t="s">
        <v>6029</v>
      </c>
      <c r="K1528" s="31" t="s">
        <v>55</v>
      </c>
      <c r="L1528" s="31" t="s">
        <v>56</v>
      </c>
      <c r="M1528" s="31" t="s">
        <v>431</v>
      </c>
      <c r="N1528" s="31" t="s">
        <v>431</v>
      </c>
      <c r="O1528" s="31">
        <v>126</v>
      </c>
      <c r="P1528" s="31"/>
      <c r="Q1528" s="31"/>
      <c r="R1528" s="33"/>
      <c r="S1528" s="34" t="str">
        <f>HYPERLINK("http://www.cnpol.ru/covers/8766.jpg","фото на сайте")</f>
        <v>фото на сайте</v>
      </c>
    </row>
    <row r="1529" spans="1:19" ht="50.1" customHeight="1">
      <c r="A1529" s="31"/>
      <c r="B1529" s="32" t="s">
        <v>6030</v>
      </c>
      <c r="C1529" s="31" t="s">
        <v>390</v>
      </c>
      <c r="D1529" s="31" t="s">
        <v>1801</v>
      </c>
      <c r="E1529" s="31" t="s">
        <v>6031</v>
      </c>
      <c r="F1529" s="31">
        <v>918</v>
      </c>
      <c r="G1529" s="31">
        <v>86</v>
      </c>
      <c r="H1529" s="31">
        <v>10</v>
      </c>
      <c r="I1529" s="31">
        <v>30</v>
      </c>
      <c r="J1529" s="31" t="s">
        <v>6032</v>
      </c>
      <c r="K1529" s="31" t="s">
        <v>123</v>
      </c>
      <c r="L1529" s="31" t="s">
        <v>56</v>
      </c>
      <c r="M1529" s="31">
        <v>160</v>
      </c>
      <c r="N1529" s="31">
        <v>2019</v>
      </c>
      <c r="O1529" s="31">
        <v>76</v>
      </c>
      <c r="P1529" s="31"/>
      <c r="Q1529" s="31"/>
      <c r="R1529" s="33"/>
      <c r="S1529" s="34" t="str">
        <f>HYPERLINK("http://www.cnpol.ru/covers/18825.jpg","фото на сайте")</f>
        <v>фото на сайте</v>
      </c>
    </row>
    <row r="1530" spans="1:19" ht="50.1" customHeight="1">
      <c r="A1530" s="31"/>
      <c r="B1530" s="32" t="s">
        <v>6033</v>
      </c>
      <c r="C1530" s="31" t="s">
        <v>546</v>
      </c>
      <c r="D1530" s="31" t="s">
        <v>1292</v>
      </c>
      <c r="E1530" s="31" t="s">
        <v>6034</v>
      </c>
      <c r="F1530" s="31">
        <v>189</v>
      </c>
      <c r="G1530" s="31">
        <v>93</v>
      </c>
      <c r="H1530" s="31">
        <v>10</v>
      </c>
      <c r="I1530" s="31">
        <v>30</v>
      </c>
      <c r="J1530" s="31" t="s">
        <v>6035</v>
      </c>
      <c r="K1530" s="31" t="s">
        <v>123</v>
      </c>
      <c r="L1530" s="31" t="s">
        <v>56</v>
      </c>
      <c r="M1530" s="31">
        <v>160</v>
      </c>
      <c r="N1530" s="31">
        <v>2016</v>
      </c>
      <c r="O1530" s="31">
        <v>76</v>
      </c>
      <c r="P1530" s="31"/>
      <c r="Q1530" s="31"/>
      <c r="R1530" s="33"/>
      <c r="S1530" s="34" t="str">
        <f>HYPERLINK("http://www.cnpol.ru/covers/17041.jpg","фото на сайте")</f>
        <v>фото на сайте</v>
      </c>
    </row>
    <row r="1531" spans="1:19" ht="50.1" customHeight="1">
      <c r="A1531" s="31"/>
      <c r="B1531" s="32" t="s">
        <v>6036</v>
      </c>
      <c r="C1531" s="31" t="s">
        <v>390</v>
      </c>
      <c r="D1531" s="31" t="s">
        <v>4675</v>
      </c>
      <c r="E1531" s="31" t="s">
        <v>6037</v>
      </c>
      <c r="F1531" s="31">
        <v>776</v>
      </c>
      <c r="G1531" s="31">
        <v>86</v>
      </c>
      <c r="H1531" s="31">
        <v>10</v>
      </c>
      <c r="I1531" s="31">
        <v>30</v>
      </c>
      <c r="J1531" s="31" t="s">
        <v>6038</v>
      </c>
      <c r="K1531" s="31" t="s">
        <v>123</v>
      </c>
      <c r="L1531" s="31" t="s">
        <v>56</v>
      </c>
      <c r="M1531" s="31">
        <v>160</v>
      </c>
      <c r="N1531" s="31">
        <v>2017</v>
      </c>
      <c r="O1531" s="31">
        <v>76</v>
      </c>
      <c r="P1531" s="31"/>
      <c r="Q1531" s="31"/>
      <c r="R1531" s="33"/>
      <c r="S1531" s="34" t="str">
        <f>HYPERLINK("http://www.cnpol.ru/covers/17861.jpg","фото на сайте")</f>
        <v>фото на сайте</v>
      </c>
    </row>
    <row r="1532" spans="1:19" ht="50.1" customHeight="1">
      <c r="A1532" s="31"/>
      <c r="B1532" s="32" t="s">
        <v>6039</v>
      </c>
      <c r="C1532" s="31" t="s">
        <v>390</v>
      </c>
      <c r="D1532" s="31" t="s">
        <v>1754</v>
      </c>
      <c r="E1532" s="31" t="s">
        <v>6040</v>
      </c>
      <c r="F1532" s="31">
        <v>1139</v>
      </c>
      <c r="G1532" s="31">
        <v>86</v>
      </c>
      <c r="H1532" s="31">
        <v>10</v>
      </c>
      <c r="I1532" s="31">
        <v>30</v>
      </c>
      <c r="J1532" s="31" t="s">
        <v>6041</v>
      </c>
      <c r="K1532" s="31" t="s">
        <v>123</v>
      </c>
      <c r="L1532" s="31" t="s">
        <v>56</v>
      </c>
      <c r="M1532" s="31">
        <v>159</v>
      </c>
      <c r="N1532" s="31">
        <v>2023</v>
      </c>
      <c r="O1532" s="31">
        <v>76</v>
      </c>
      <c r="P1532" s="31"/>
      <c r="Q1532" s="31"/>
      <c r="R1532" s="33" t="s">
        <v>6042</v>
      </c>
      <c r="S1532" s="34" t="str">
        <f>HYPERLINK("http://www.cnpol.ru/covers/20639.jpg","фото на сайте")</f>
        <v>фото на сайте</v>
      </c>
    </row>
    <row r="1533" spans="1:19" ht="50.1" customHeight="1">
      <c r="A1533" s="31"/>
      <c r="B1533" s="32" t="s">
        <v>6043</v>
      </c>
      <c r="C1533" s="31" t="s">
        <v>119</v>
      </c>
      <c r="D1533" s="31" t="s">
        <v>6044</v>
      </c>
      <c r="E1533" s="31" t="s">
        <v>6045</v>
      </c>
      <c r="F1533" s="31" t="s">
        <v>31</v>
      </c>
      <c r="G1533" s="31">
        <v>503</v>
      </c>
      <c r="H1533" s="31">
        <v>10</v>
      </c>
      <c r="I1533" s="31">
        <v>20</v>
      </c>
      <c r="J1533" s="31" t="s">
        <v>6046</v>
      </c>
      <c r="K1533" s="31" t="s">
        <v>194</v>
      </c>
      <c r="L1533" s="31" t="s">
        <v>34</v>
      </c>
      <c r="M1533" s="31">
        <v>128</v>
      </c>
      <c r="N1533" s="31">
        <v>2017</v>
      </c>
      <c r="O1533" s="31">
        <v>158</v>
      </c>
      <c r="P1533" s="31"/>
      <c r="Q1533" s="31"/>
      <c r="R1533" s="33"/>
      <c r="S1533" s="34" t="str">
        <f>HYPERLINK("http://www.cnpol.ru/covers/17826.jpg","фото на сайте")</f>
        <v>фото на сайте</v>
      </c>
    </row>
    <row r="1534" spans="1:19" ht="50.1" customHeight="1">
      <c r="A1534" s="31"/>
      <c r="B1534" s="32" t="s">
        <v>6047</v>
      </c>
      <c r="C1534" s="31" t="s">
        <v>37</v>
      </c>
      <c r="D1534" s="31" t="s">
        <v>6048</v>
      </c>
      <c r="E1534" s="31" t="s">
        <v>6049</v>
      </c>
      <c r="F1534" s="31" t="s">
        <v>31</v>
      </c>
      <c r="G1534" s="31">
        <v>985</v>
      </c>
      <c r="H1534" s="31">
        <v>10</v>
      </c>
      <c r="I1534" s="31">
        <v>10</v>
      </c>
      <c r="J1534" s="31" t="s">
        <v>6050</v>
      </c>
      <c r="K1534" s="31" t="s">
        <v>33</v>
      </c>
      <c r="L1534" s="31" t="s">
        <v>34</v>
      </c>
      <c r="M1534" s="31">
        <v>413</v>
      </c>
      <c r="N1534" s="31">
        <v>2023</v>
      </c>
      <c r="O1534" s="31">
        <v>415</v>
      </c>
      <c r="P1534" s="31"/>
      <c r="Q1534" s="31"/>
      <c r="R1534" s="33" t="s">
        <v>6051</v>
      </c>
      <c r="S1534" s="34" t="str">
        <f>HYPERLINK("http://www.cnpol.ru/covers/20707.jpg","фото на сайте")</f>
        <v>фото на сайте</v>
      </c>
    </row>
    <row r="1535" spans="1:19" ht="50.1" customHeight="1">
      <c r="A1535" s="31"/>
      <c r="B1535" s="32" t="s">
        <v>6052</v>
      </c>
      <c r="C1535" s="31" t="s">
        <v>119</v>
      </c>
      <c r="D1535" s="31" t="s">
        <v>6053</v>
      </c>
      <c r="E1535" s="31" t="s">
        <v>6054</v>
      </c>
      <c r="F1535" s="31" t="s">
        <v>31</v>
      </c>
      <c r="G1535" s="31">
        <v>503</v>
      </c>
      <c r="H1535" s="31">
        <v>10</v>
      </c>
      <c r="I1535" s="31">
        <v>14</v>
      </c>
      <c r="J1535" s="31" t="s">
        <v>6055</v>
      </c>
      <c r="K1535" s="31" t="s">
        <v>194</v>
      </c>
      <c r="L1535" s="31" t="s">
        <v>34</v>
      </c>
      <c r="M1535" s="31">
        <v>192</v>
      </c>
      <c r="N1535" s="31">
        <v>2021</v>
      </c>
      <c r="O1535" s="31">
        <v>204</v>
      </c>
      <c r="P1535" s="31"/>
      <c r="Q1535" s="31"/>
      <c r="R1535" s="33"/>
      <c r="S1535" s="34" t="str">
        <f>HYPERLINK("http://www.cnpol.ru/covers/19586.jpg","фото на сайте")</f>
        <v>фото на сайте</v>
      </c>
    </row>
    <row r="1536" spans="1:19" ht="50.1" customHeight="1">
      <c r="A1536" s="31"/>
      <c r="B1536" s="32" t="s">
        <v>6056</v>
      </c>
      <c r="C1536" s="31" t="s">
        <v>546</v>
      </c>
      <c r="D1536" s="31" t="s">
        <v>2294</v>
      </c>
      <c r="E1536" s="31" t="s">
        <v>6057</v>
      </c>
      <c r="F1536" s="31">
        <v>124</v>
      </c>
      <c r="G1536" s="31">
        <v>93</v>
      </c>
      <c r="H1536" s="31">
        <v>10</v>
      </c>
      <c r="I1536" s="31">
        <v>30</v>
      </c>
      <c r="J1536" s="31" t="s">
        <v>6058</v>
      </c>
      <c r="K1536" s="31" t="s">
        <v>123</v>
      </c>
      <c r="L1536" s="31" t="s">
        <v>56</v>
      </c>
      <c r="M1536" s="31">
        <v>158</v>
      </c>
      <c r="N1536" s="31">
        <v>2015</v>
      </c>
      <c r="O1536" s="31">
        <v>76</v>
      </c>
      <c r="P1536" s="31"/>
      <c r="Q1536" s="31"/>
      <c r="R1536" s="33"/>
      <c r="S1536" s="34" t="str">
        <f>HYPERLINK("http://www.cnpol.ru/covers/16066.jpg","фото на сайте")</f>
        <v>фото на сайте</v>
      </c>
    </row>
    <row r="1537" spans="1:19" ht="50.1" customHeight="1">
      <c r="A1537" s="31"/>
      <c r="B1537" s="32" t="s">
        <v>6059</v>
      </c>
      <c r="C1537" s="31" t="s">
        <v>413</v>
      </c>
      <c r="D1537" s="31" t="s">
        <v>5994</v>
      </c>
      <c r="E1537" s="31" t="s">
        <v>6060</v>
      </c>
      <c r="F1537" s="31">
        <v>74</v>
      </c>
      <c r="G1537" s="31">
        <v>117</v>
      </c>
      <c r="H1537" s="31">
        <v>10</v>
      </c>
      <c r="I1537" s="31">
        <v>36</v>
      </c>
      <c r="J1537" s="31" t="s">
        <v>6061</v>
      </c>
      <c r="K1537" s="31" t="s">
        <v>123</v>
      </c>
      <c r="L1537" s="31" t="s">
        <v>56</v>
      </c>
      <c r="M1537" s="31">
        <v>190</v>
      </c>
      <c r="N1537" s="31">
        <v>2015</v>
      </c>
      <c r="O1537" s="31">
        <v>90</v>
      </c>
      <c r="P1537" s="31"/>
      <c r="Q1537" s="31"/>
      <c r="R1537" s="33"/>
      <c r="S1537" s="34" t="str">
        <f>HYPERLINK("http://www.cnpol.ru/covers/16267.jpg","фото на сайте")</f>
        <v>фото на сайте</v>
      </c>
    </row>
    <row r="1538" spans="1:19" ht="50.1" customHeight="1">
      <c r="A1538" s="31"/>
      <c r="B1538" s="32" t="s">
        <v>6062</v>
      </c>
      <c r="C1538" s="31" t="s">
        <v>576</v>
      </c>
      <c r="D1538" s="31" t="s">
        <v>577</v>
      </c>
      <c r="E1538" s="31" t="s">
        <v>6063</v>
      </c>
      <c r="F1538" s="31" t="s">
        <v>31</v>
      </c>
      <c r="G1538" s="31">
        <v>226</v>
      </c>
      <c r="H1538" s="31">
        <v>10</v>
      </c>
      <c r="I1538" s="31">
        <v>26</v>
      </c>
      <c r="J1538" s="31" t="s">
        <v>6064</v>
      </c>
      <c r="K1538" s="31" t="s">
        <v>123</v>
      </c>
      <c r="L1538" s="31" t="s">
        <v>56</v>
      </c>
      <c r="M1538" s="31">
        <v>256</v>
      </c>
      <c r="N1538" s="31">
        <v>2018</v>
      </c>
      <c r="O1538" s="31">
        <v>122</v>
      </c>
      <c r="P1538" s="31"/>
      <c r="Q1538" s="31"/>
      <c r="R1538" s="33"/>
      <c r="S1538" s="34" t="str">
        <f>HYPERLINK("http://www.cnpol.ru/covers/18166.jpg","фото на сайте")</f>
        <v>фото на сайте</v>
      </c>
    </row>
    <row r="1539" spans="1:19" ht="50.1" customHeight="1">
      <c r="A1539" s="31"/>
      <c r="B1539" s="32" t="s">
        <v>6065</v>
      </c>
      <c r="C1539" s="31" t="s">
        <v>418</v>
      </c>
      <c r="D1539" s="31" t="s">
        <v>4074</v>
      </c>
      <c r="E1539" s="31" t="s">
        <v>6066</v>
      </c>
      <c r="F1539" s="31">
        <v>27</v>
      </c>
      <c r="G1539" s="31">
        <v>153</v>
      </c>
      <c r="H1539" s="31">
        <v>10</v>
      </c>
      <c r="I1539" s="31">
        <v>32</v>
      </c>
      <c r="J1539" s="31" t="s">
        <v>6067</v>
      </c>
      <c r="K1539" s="31" t="s">
        <v>123</v>
      </c>
      <c r="L1539" s="31" t="s">
        <v>56</v>
      </c>
      <c r="M1539" s="31">
        <v>286</v>
      </c>
      <c r="N1539" s="31">
        <v>2013</v>
      </c>
      <c r="O1539" s="31">
        <v>134</v>
      </c>
      <c r="P1539" s="31"/>
      <c r="Q1539" s="31"/>
      <c r="R1539" s="33"/>
      <c r="S1539" s="34" t="str">
        <f>HYPERLINK("http://www.cnpol.ru/covers/14399.jpg","фото на сайте")</f>
        <v>фото на сайте</v>
      </c>
    </row>
    <row r="1540" spans="1:19" ht="50.1" customHeight="1">
      <c r="A1540" s="31"/>
      <c r="B1540" s="32" t="s">
        <v>6068</v>
      </c>
      <c r="C1540" s="31" t="s">
        <v>6069</v>
      </c>
      <c r="D1540" s="31" t="s">
        <v>4717</v>
      </c>
      <c r="E1540" s="31" t="s">
        <v>6070</v>
      </c>
      <c r="F1540" s="31" t="s">
        <v>31</v>
      </c>
      <c r="G1540" s="31">
        <v>272</v>
      </c>
      <c r="H1540" s="31">
        <v>10</v>
      </c>
      <c r="I1540" s="31">
        <v>8</v>
      </c>
      <c r="J1540" s="31" t="s">
        <v>6071</v>
      </c>
      <c r="K1540" s="31" t="s">
        <v>6072</v>
      </c>
      <c r="L1540" s="31" t="s">
        <v>34</v>
      </c>
      <c r="M1540" s="31">
        <v>507</v>
      </c>
      <c r="N1540" s="31">
        <v>2003</v>
      </c>
      <c r="O1540" s="31">
        <v>318</v>
      </c>
      <c r="P1540" s="31"/>
      <c r="Q1540" s="31"/>
      <c r="R1540" s="33"/>
      <c r="S1540" s="34" t="str">
        <f>HYPERLINK("http://www.cnpol.ru/covers/3762.jpg","фото на сайте")</f>
        <v>фото на сайте</v>
      </c>
    </row>
    <row r="1541" spans="1:19" ht="50.1" customHeight="1">
      <c r="A1541" s="31" t="s">
        <v>35</v>
      </c>
      <c r="B1541" s="32" t="s">
        <v>6073</v>
      </c>
      <c r="C1541" s="31" t="s">
        <v>6074</v>
      </c>
      <c r="D1541" s="31" t="s">
        <v>5169</v>
      </c>
      <c r="E1541" s="31" t="s">
        <v>6075</v>
      </c>
      <c r="F1541" s="31" t="s">
        <v>31</v>
      </c>
      <c r="G1541" s="31">
        <v>258</v>
      </c>
      <c r="H1541" s="31">
        <v>10</v>
      </c>
      <c r="I1541" s="31">
        <v>18</v>
      </c>
      <c r="J1541" s="31" t="s">
        <v>6076</v>
      </c>
      <c r="K1541" s="31" t="s">
        <v>130</v>
      </c>
      <c r="L1541" s="31" t="s">
        <v>56</v>
      </c>
      <c r="M1541" s="31">
        <v>159</v>
      </c>
      <c r="N1541" s="31">
        <v>2025</v>
      </c>
      <c r="O1541" s="31" t="s">
        <v>220</v>
      </c>
      <c r="P1541" s="31"/>
      <c r="Q1541" s="31"/>
      <c r="R1541" s="33" t="s">
        <v>6077</v>
      </c>
      <c r="S1541" s="34" t="str">
        <f>HYPERLINK("http://www.cnpol.ru/covers/21480.jpg","фото на сайте")</f>
        <v>фото на сайте</v>
      </c>
    </row>
    <row r="1542" spans="1:19" ht="50.1" customHeight="1">
      <c r="A1542" s="31"/>
      <c r="B1542" s="32" t="s">
        <v>6078</v>
      </c>
      <c r="C1542" s="31" t="s">
        <v>1594</v>
      </c>
      <c r="D1542" s="31" t="s">
        <v>6079</v>
      </c>
      <c r="E1542" s="31" t="s">
        <v>6080</v>
      </c>
      <c r="F1542" s="31" t="s">
        <v>31</v>
      </c>
      <c r="G1542" s="31">
        <v>169</v>
      </c>
      <c r="H1542" s="31">
        <v>10</v>
      </c>
      <c r="I1542" s="31">
        <v>10</v>
      </c>
      <c r="J1542" s="31" t="s">
        <v>6081</v>
      </c>
      <c r="K1542" s="31" t="s">
        <v>55</v>
      </c>
      <c r="L1542" s="31" t="s">
        <v>56</v>
      </c>
      <c r="M1542" s="31">
        <v>288</v>
      </c>
      <c r="N1542" s="31">
        <v>2021</v>
      </c>
      <c r="O1542" s="31">
        <v>122</v>
      </c>
      <c r="P1542" s="31"/>
      <c r="Q1542" s="31"/>
      <c r="R1542" s="33"/>
      <c r="S1542" s="34" t="str">
        <f>HYPERLINK("http://www.cnpol.ru/covers/19680.jpg","фото на сайте")</f>
        <v>фото на сайте</v>
      </c>
    </row>
    <row r="1543" spans="1:19" ht="50.1" customHeight="1">
      <c r="A1543" s="31" t="s">
        <v>43</v>
      </c>
      <c r="B1543" s="32" t="s">
        <v>6082</v>
      </c>
      <c r="C1543" s="31" t="s">
        <v>37</v>
      </c>
      <c r="D1543" s="31" t="s">
        <v>3524</v>
      </c>
      <c r="E1543" s="31" t="s">
        <v>6083</v>
      </c>
      <c r="F1543" s="31" t="s">
        <v>31</v>
      </c>
      <c r="G1543" s="35">
        <v>1046</v>
      </c>
      <c r="H1543" s="31">
        <v>10</v>
      </c>
      <c r="I1543" s="31">
        <v>5</v>
      </c>
      <c r="J1543" s="31" t="s">
        <v>6084</v>
      </c>
      <c r="K1543" s="31" t="s">
        <v>33</v>
      </c>
      <c r="L1543" s="31" t="s">
        <v>34</v>
      </c>
      <c r="M1543" s="31">
        <v>395</v>
      </c>
      <c r="N1543" s="31">
        <v>2023</v>
      </c>
      <c r="O1543" s="31">
        <v>355</v>
      </c>
      <c r="P1543" s="31"/>
      <c r="Q1543" s="31"/>
      <c r="R1543" s="33" t="s">
        <v>6085</v>
      </c>
      <c r="S1543" s="34" t="str">
        <f>HYPERLINK("http://www.cnpol.ru/covers/21703.jpg","фото на сайте")</f>
        <v>фото на сайте</v>
      </c>
    </row>
    <row r="1544" spans="1:19" ht="50.1" customHeight="1">
      <c r="A1544" s="31"/>
      <c r="B1544" s="32" t="s">
        <v>6086</v>
      </c>
      <c r="C1544" s="31" t="s">
        <v>546</v>
      </c>
      <c r="D1544" s="31" t="s">
        <v>3610</v>
      </c>
      <c r="E1544" s="31" t="s">
        <v>6087</v>
      </c>
      <c r="F1544" s="31">
        <v>216</v>
      </c>
      <c r="G1544" s="31">
        <v>93</v>
      </c>
      <c r="H1544" s="31">
        <v>10</v>
      </c>
      <c r="I1544" s="31">
        <v>30</v>
      </c>
      <c r="J1544" s="31" t="s">
        <v>6088</v>
      </c>
      <c r="K1544" s="31" t="s">
        <v>123</v>
      </c>
      <c r="L1544" s="31" t="s">
        <v>56</v>
      </c>
      <c r="M1544" s="31">
        <v>160</v>
      </c>
      <c r="N1544" s="31">
        <v>2017</v>
      </c>
      <c r="O1544" s="31">
        <v>76</v>
      </c>
      <c r="P1544" s="31"/>
      <c r="Q1544" s="31"/>
      <c r="R1544" s="33"/>
      <c r="S1544" s="34" t="str">
        <f>HYPERLINK("http://www.cnpol.ru/covers/17440.jpg","фото на сайте")</f>
        <v>фото на сайте</v>
      </c>
    </row>
    <row r="1545" spans="1:19" ht="50.1" customHeight="1">
      <c r="A1545" s="31"/>
      <c r="B1545" s="32" t="s">
        <v>6089</v>
      </c>
      <c r="C1545" s="31" t="s">
        <v>390</v>
      </c>
      <c r="D1545" s="31" t="s">
        <v>1427</v>
      </c>
      <c r="E1545" s="31" t="s">
        <v>6090</v>
      </c>
      <c r="F1545" s="31">
        <v>598</v>
      </c>
      <c r="G1545" s="31">
        <v>86</v>
      </c>
      <c r="H1545" s="31">
        <v>10</v>
      </c>
      <c r="I1545" s="31">
        <v>30</v>
      </c>
      <c r="J1545" s="31" t="s">
        <v>6091</v>
      </c>
      <c r="K1545" s="31" t="s">
        <v>123</v>
      </c>
      <c r="L1545" s="31" t="s">
        <v>56</v>
      </c>
      <c r="M1545" s="31">
        <v>160</v>
      </c>
      <c r="N1545" s="31">
        <v>2016</v>
      </c>
      <c r="O1545" s="31">
        <v>76</v>
      </c>
      <c r="P1545" s="31"/>
      <c r="Q1545" s="31"/>
      <c r="R1545" s="33"/>
      <c r="S1545" s="34" t="str">
        <f>HYPERLINK("http://www.cnpol.ru/covers/16617.jpg","фото на сайте")</f>
        <v>фото на сайте</v>
      </c>
    </row>
    <row r="1546" spans="1:19" ht="50.1" customHeight="1">
      <c r="A1546" s="31"/>
      <c r="B1546" s="32" t="s">
        <v>6092</v>
      </c>
      <c r="C1546" s="31" t="s">
        <v>546</v>
      </c>
      <c r="D1546" s="31" t="s">
        <v>391</v>
      </c>
      <c r="E1546" s="31" t="s">
        <v>6093</v>
      </c>
      <c r="F1546" s="31">
        <v>192</v>
      </c>
      <c r="G1546" s="31">
        <v>93</v>
      </c>
      <c r="H1546" s="31">
        <v>10</v>
      </c>
      <c r="I1546" s="31">
        <v>30</v>
      </c>
      <c r="J1546" s="31" t="s">
        <v>6094</v>
      </c>
      <c r="K1546" s="31" t="s">
        <v>123</v>
      </c>
      <c r="L1546" s="31" t="s">
        <v>56</v>
      </c>
      <c r="M1546" s="31">
        <v>160</v>
      </c>
      <c r="N1546" s="31">
        <v>2016</v>
      </c>
      <c r="O1546" s="31">
        <v>76</v>
      </c>
      <c r="P1546" s="31"/>
      <c r="Q1546" s="31"/>
      <c r="R1546" s="33"/>
      <c r="S1546" s="34" t="str">
        <f>HYPERLINK("http://www.cnpol.ru/covers/17085.jpg","фото на сайте")</f>
        <v>фото на сайте</v>
      </c>
    </row>
    <row r="1547" spans="1:19" ht="50.1" customHeight="1">
      <c r="A1547" s="31"/>
      <c r="B1547" s="32" t="s">
        <v>6095</v>
      </c>
      <c r="C1547" s="31" t="s">
        <v>3434</v>
      </c>
      <c r="D1547" s="31" t="s">
        <v>6096</v>
      </c>
      <c r="E1547" s="31" t="s">
        <v>6097</v>
      </c>
      <c r="F1547" s="31" t="s">
        <v>31</v>
      </c>
      <c r="G1547" s="31">
        <v>353</v>
      </c>
      <c r="H1547" s="31">
        <v>10</v>
      </c>
      <c r="I1547" s="31">
        <v>14</v>
      </c>
      <c r="J1547" s="31" t="s">
        <v>6098</v>
      </c>
      <c r="K1547" s="31" t="s">
        <v>33</v>
      </c>
      <c r="L1547" s="31" t="s">
        <v>34</v>
      </c>
      <c r="M1547" s="31">
        <v>315</v>
      </c>
      <c r="N1547" s="31">
        <v>2014</v>
      </c>
      <c r="O1547" s="31">
        <v>266</v>
      </c>
      <c r="P1547" s="31"/>
      <c r="Q1547" s="31"/>
      <c r="R1547" s="33"/>
      <c r="S1547" s="34" t="str">
        <f>HYPERLINK("http://www.cnpol.ru/covers/15207.jpg","фото на сайте")</f>
        <v>фото на сайте</v>
      </c>
    </row>
    <row r="1548" spans="1:19" ht="50.1" customHeight="1">
      <c r="A1548" s="31"/>
      <c r="B1548" s="32" t="s">
        <v>6099</v>
      </c>
      <c r="C1548" s="31" t="s">
        <v>546</v>
      </c>
      <c r="D1548" s="31" t="s">
        <v>6100</v>
      </c>
      <c r="E1548" s="31" t="s">
        <v>6101</v>
      </c>
      <c r="F1548" s="31">
        <v>400</v>
      </c>
      <c r="G1548" s="31">
        <v>93</v>
      </c>
      <c r="H1548" s="31">
        <v>10</v>
      </c>
      <c r="I1548" s="31">
        <v>30</v>
      </c>
      <c r="J1548" s="31" t="s">
        <v>6102</v>
      </c>
      <c r="K1548" s="31" t="s">
        <v>123</v>
      </c>
      <c r="L1548" s="31" t="s">
        <v>56</v>
      </c>
      <c r="M1548" s="31">
        <v>159</v>
      </c>
      <c r="N1548" s="31">
        <v>2022</v>
      </c>
      <c r="O1548" s="31">
        <v>76</v>
      </c>
      <c r="P1548" s="31"/>
      <c r="Q1548" s="31"/>
      <c r="R1548" s="33"/>
      <c r="S1548" s="34" t="str">
        <f>HYPERLINK("http://www.cnpol.ru/covers/20152.jpg","фото на сайте")</f>
        <v>фото на сайте</v>
      </c>
    </row>
    <row r="1549" spans="1:19" ht="50.1" customHeight="1">
      <c r="A1549" s="31"/>
      <c r="B1549" s="32" t="s">
        <v>6103</v>
      </c>
      <c r="C1549" s="31" t="s">
        <v>546</v>
      </c>
      <c r="D1549" s="31" t="s">
        <v>1599</v>
      </c>
      <c r="E1549" s="31" t="s">
        <v>6104</v>
      </c>
      <c r="F1549" s="31">
        <v>373</v>
      </c>
      <c r="G1549" s="31">
        <v>93</v>
      </c>
      <c r="H1549" s="31">
        <v>10</v>
      </c>
      <c r="I1549" s="31">
        <v>30</v>
      </c>
      <c r="J1549" s="31" t="s">
        <v>6105</v>
      </c>
      <c r="K1549" s="31" t="s">
        <v>123</v>
      </c>
      <c r="L1549" s="31" t="s">
        <v>56</v>
      </c>
      <c r="M1549" s="31">
        <v>160</v>
      </c>
      <c r="N1549" s="31">
        <v>2021</v>
      </c>
      <c r="O1549" s="31">
        <v>76</v>
      </c>
      <c r="P1549" s="31"/>
      <c r="Q1549" s="31"/>
      <c r="R1549" s="33"/>
      <c r="S1549" s="34" t="str">
        <f>HYPERLINK("http://www.cnpol.ru/covers/19616.jpg","фото на сайте")</f>
        <v>фото на сайте</v>
      </c>
    </row>
    <row r="1550" spans="1:19" ht="50.1" customHeight="1">
      <c r="A1550" s="31"/>
      <c r="B1550" s="32" t="s">
        <v>6106</v>
      </c>
      <c r="C1550" s="31" t="s">
        <v>543</v>
      </c>
      <c r="D1550" s="31" t="s">
        <v>539</v>
      </c>
      <c r="E1550" s="31" t="s">
        <v>6107</v>
      </c>
      <c r="F1550" s="31" t="s">
        <v>31</v>
      </c>
      <c r="G1550" s="31">
        <v>169</v>
      </c>
      <c r="H1550" s="31">
        <v>10</v>
      </c>
      <c r="I1550" s="31">
        <v>14</v>
      </c>
      <c r="J1550" s="31" t="s">
        <v>6108</v>
      </c>
      <c r="K1550" s="31" t="s">
        <v>123</v>
      </c>
      <c r="L1550" s="31" t="s">
        <v>56</v>
      </c>
      <c r="M1550" s="31">
        <v>416</v>
      </c>
      <c r="N1550" s="31">
        <v>2009</v>
      </c>
      <c r="O1550" s="31">
        <v>188</v>
      </c>
      <c r="P1550" s="31"/>
      <c r="Q1550" s="31"/>
      <c r="R1550" s="33"/>
      <c r="S1550" s="34" t="str">
        <f>HYPERLINK("http://www.cnpol.ru/covers/11559.jpg","фото на сайте")</f>
        <v>фото на сайте</v>
      </c>
    </row>
    <row r="1551" spans="1:19" ht="50.1" customHeight="1">
      <c r="A1551" s="31"/>
      <c r="B1551" s="32" t="s">
        <v>6109</v>
      </c>
      <c r="C1551" s="31" t="s">
        <v>543</v>
      </c>
      <c r="D1551" s="31" t="s">
        <v>539</v>
      </c>
      <c r="E1551" s="31" t="s">
        <v>6110</v>
      </c>
      <c r="F1551" s="31" t="s">
        <v>31</v>
      </c>
      <c r="G1551" s="31">
        <v>169</v>
      </c>
      <c r="H1551" s="31">
        <v>10</v>
      </c>
      <c r="I1551" s="31">
        <v>14</v>
      </c>
      <c r="J1551" s="31" t="s">
        <v>6111</v>
      </c>
      <c r="K1551" s="31" t="s">
        <v>123</v>
      </c>
      <c r="L1551" s="31" t="s">
        <v>56</v>
      </c>
      <c r="M1551" s="31">
        <v>416</v>
      </c>
      <c r="N1551" s="31">
        <v>2009</v>
      </c>
      <c r="O1551" s="31">
        <v>192</v>
      </c>
      <c r="P1551" s="31"/>
      <c r="Q1551" s="31"/>
      <c r="R1551" s="33"/>
      <c r="S1551" s="34" t="str">
        <f>HYPERLINK("http://www.cnpol.ru/covers/11560.jpg","фото на сайте")</f>
        <v>фото на сайте</v>
      </c>
    </row>
    <row r="1552" spans="1:19" ht="50.1" customHeight="1">
      <c r="A1552" s="31" t="s">
        <v>43</v>
      </c>
      <c r="B1552" s="32" t="s">
        <v>6112</v>
      </c>
      <c r="C1552" s="31" t="s">
        <v>37</v>
      </c>
      <c r="D1552" s="31" t="s">
        <v>6113</v>
      </c>
      <c r="E1552" s="31" t="s">
        <v>6114</v>
      </c>
      <c r="F1552" s="31" t="s">
        <v>31</v>
      </c>
      <c r="G1552" s="35">
        <v>1009</v>
      </c>
      <c r="H1552" s="31">
        <v>10</v>
      </c>
      <c r="I1552" s="31">
        <v>8</v>
      </c>
      <c r="J1552" s="31" t="s">
        <v>6115</v>
      </c>
      <c r="K1552" s="31" t="s">
        <v>33</v>
      </c>
      <c r="L1552" s="31" t="s">
        <v>34</v>
      </c>
      <c r="M1552" s="31">
        <v>383</v>
      </c>
      <c r="N1552" s="31">
        <v>2026</v>
      </c>
      <c r="O1552" s="31" t="s">
        <v>220</v>
      </c>
      <c r="P1552" s="31"/>
      <c r="Q1552" s="31"/>
      <c r="R1552" s="33" t="s">
        <v>6116</v>
      </c>
      <c r="S1552" s="34" t="str">
        <f>HYPERLINK("http://www.cnpol.ru/covers/21904.jpg","фото на сайте")</f>
        <v>фото на сайте</v>
      </c>
    </row>
    <row r="1553" spans="1:19" ht="50.1" customHeight="1">
      <c r="A1553" s="31"/>
      <c r="B1553" s="32" t="s">
        <v>6117</v>
      </c>
      <c r="C1553" s="31" t="s">
        <v>37</v>
      </c>
      <c r="D1553" s="31" t="s">
        <v>6118</v>
      </c>
      <c r="E1553" s="31" t="s">
        <v>6119</v>
      </c>
      <c r="F1553" s="31" t="s">
        <v>31</v>
      </c>
      <c r="G1553" s="31">
        <v>559</v>
      </c>
      <c r="H1553" s="31">
        <v>10</v>
      </c>
      <c r="I1553" s="31">
        <v>10</v>
      </c>
      <c r="J1553" s="31" t="s">
        <v>6120</v>
      </c>
      <c r="K1553" s="31" t="s">
        <v>33</v>
      </c>
      <c r="L1553" s="31" t="s">
        <v>34</v>
      </c>
      <c r="M1553" s="31">
        <v>415</v>
      </c>
      <c r="N1553" s="31">
        <v>2023</v>
      </c>
      <c r="O1553" s="31">
        <v>336</v>
      </c>
      <c r="P1553" s="31"/>
      <c r="Q1553" s="31"/>
      <c r="R1553" s="33" t="s">
        <v>6121</v>
      </c>
      <c r="S1553" s="34" t="str">
        <f>HYPERLINK("http://www.cnpol.ru/covers/20854.jpg","фото на сайте")</f>
        <v>фото на сайте</v>
      </c>
    </row>
    <row r="1554" spans="1:19" ht="50.1" customHeight="1">
      <c r="A1554" s="31"/>
      <c r="B1554" s="32" t="s">
        <v>6122</v>
      </c>
      <c r="C1554" s="31" t="s">
        <v>2120</v>
      </c>
      <c r="D1554" s="31" t="s">
        <v>1449</v>
      </c>
      <c r="E1554" s="31" t="s">
        <v>6123</v>
      </c>
      <c r="F1554" s="31" t="s">
        <v>31</v>
      </c>
      <c r="G1554" s="31">
        <v>81</v>
      </c>
      <c r="H1554" s="31">
        <v>10</v>
      </c>
      <c r="I1554" s="31">
        <v>100</v>
      </c>
      <c r="J1554" s="31" t="s">
        <v>6124</v>
      </c>
      <c r="K1554" s="31" t="s">
        <v>123</v>
      </c>
      <c r="L1554" s="31" t="s">
        <v>56</v>
      </c>
      <c r="M1554" s="31">
        <v>62</v>
      </c>
      <c r="N1554" s="31">
        <v>2005</v>
      </c>
      <c r="O1554" s="31">
        <v>32</v>
      </c>
      <c r="P1554" s="31"/>
      <c r="Q1554" s="31"/>
      <c r="R1554" s="33"/>
      <c r="S1554" s="34" t="str">
        <f>HYPERLINK("http://www.cnpol.ru/covers/5417.jpg","фото на сайте")</f>
        <v>фото на сайте</v>
      </c>
    </row>
    <row r="1555" spans="1:19" ht="50.1" customHeight="1">
      <c r="A1555" s="31"/>
      <c r="B1555" s="32" t="s">
        <v>6125</v>
      </c>
      <c r="C1555" s="31" t="s">
        <v>413</v>
      </c>
      <c r="D1555" s="31" t="s">
        <v>391</v>
      </c>
      <c r="E1555" s="31" t="s">
        <v>6126</v>
      </c>
      <c r="F1555" s="31">
        <v>185</v>
      </c>
      <c r="G1555" s="31">
        <v>117</v>
      </c>
      <c r="H1555" s="31">
        <v>10</v>
      </c>
      <c r="I1555" s="31">
        <v>24</v>
      </c>
      <c r="J1555" s="31" t="s">
        <v>6127</v>
      </c>
      <c r="K1555" s="31" t="s">
        <v>123</v>
      </c>
      <c r="L1555" s="31" t="s">
        <v>56</v>
      </c>
      <c r="M1555" s="31">
        <v>191</v>
      </c>
      <c r="N1555" s="31">
        <v>2021</v>
      </c>
      <c r="O1555" s="31">
        <v>76</v>
      </c>
      <c r="P1555" s="31"/>
      <c r="Q1555" s="31"/>
      <c r="R1555" s="33"/>
      <c r="S1555" s="34" t="str">
        <f>HYPERLINK("http://www.cnpol.ru/covers/20015.jpg","фото на сайте")</f>
        <v>фото на сайте</v>
      </c>
    </row>
    <row r="1556" spans="1:19" ht="50.1" customHeight="1">
      <c r="A1556" s="31"/>
      <c r="B1556" s="32" t="s">
        <v>6128</v>
      </c>
      <c r="C1556" s="31" t="s">
        <v>413</v>
      </c>
      <c r="D1556" s="31" t="s">
        <v>6129</v>
      </c>
      <c r="E1556" s="31" t="s">
        <v>6130</v>
      </c>
      <c r="F1556" s="31">
        <v>49</v>
      </c>
      <c r="G1556" s="31">
        <v>117</v>
      </c>
      <c r="H1556" s="31">
        <v>10</v>
      </c>
      <c r="I1556" s="31">
        <v>36</v>
      </c>
      <c r="J1556" s="31" t="s">
        <v>6131</v>
      </c>
      <c r="K1556" s="31" t="s">
        <v>123</v>
      </c>
      <c r="L1556" s="31" t="s">
        <v>56</v>
      </c>
      <c r="M1556" s="31">
        <v>190</v>
      </c>
      <c r="N1556" s="31">
        <v>2015</v>
      </c>
      <c r="O1556" s="31">
        <v>90</v>
      </c>
      <c r="P1556" s="31"/>
      <c r="Q1556" s="31"/>
      <c r="R1556" s="33"/>
      <c r="S1556" s="34" t="str">
        <f>HYPERLINK("http://www.cnpol.ru/covers/15906.jpg","фото на сайте")</f>
        <v>фото на сайте</v>
      </c>
    </row>
    <row r="1557" spans="1:19" ht="50.1" customHeight="1">
      <c r="A1557" s="31"/>
      <c r="B1557" s="32" t="s">
        <v>6132</v>
      </c>
      <c r="C1557" s="31" t="s">
        <v>4817</v>
      </c>
      <c r="D1557" s="31" t="s">
        <v>3210</v>
      </c>
      <c r="E1557" s="31" t="s">
        <v>6133</v>
      </c>
      <c r="F1557" s="31" t="s">
        <v>31</v>
      </c>
      <c r="G1557" s="31">
        <v>154</v>
      </c>
      <c r="H1557" s="31">
        <v>10</v>
      </c>
      <c r="I1557" s="31">
        <v>20</v>
      </c>
      <c r="J1557" s="31" t="s">
        <v>6134</v>
      </c>
      <c r="K1557" s="31" t="s">
        <v>55</v>
      </c>
      <c r="L1557" s="31" t="s">
        <v>56</v>
      </c>
      <c r="M1557" s="31">
        <v>302</v>
      </c>
      <c r="N1557" s="31">
        <v>2008</v>
      </c>
      <c r="O1557" s="31">
        <v>126</v>
      </c>
      <c r="P1557" s="31"/>
      <c r="Q1557" s="31"/>
      <c r="R1557" s="33"/>
      <c r="S1557" s="34" t="str">
        <f>HYPERLINK("http://www.cnpol.ru/covers/7829.jpg","фото на сайте")</f>
        <v>фото на сайте</v>
      </c>
    </row>
    <row r="1558" spans="1:19" ht="50.1" customHeight="1">
      <c r="A1558" s="31"/>
      <c r="B1558" s="32" t="s">
        <v>6135</v>
      </c>
      <c r="C1558" s="31" t="s">
        <v>413</v>
      </c>
      <c r="D1558" s="31" t="s">
        <v>814</v>
      </c>
      <c r="E1558" s="31" t="s">
        <v>6136</v>
      </c>
      <c r="F1558" s="31">
        <v>110</v>
      </c>
      <c r="G1558" s="31">
        <v>117</v>
      </c>
      <c r="H1558" s="31">
        <v>10</v>
      </c>
      <c r="I1558" s="31">
        <v>36</v>
      </c>
      <c r="J1558" s="31" t="s">
        <v>6137</v>
      </c>
      <c r="K1558" s="31" t="s">
        <v>300</v>
      </c>
      <c r="L1558" s="31" t="s">
        <v>56</v>
      </c>
      <c r="M1558" s="31">
        <v>192</v>
      </c>
      <c r="N1558" s="31">
        <v>2016</v>
      </c>
      <c r="O1558" s="31">
        <v>90</v>
      </c>
      <c r="P1558" s="31"/>
      <c r="Q1558" s="31"/>
      <c r="R1558" s="33"/>
      <c r="S1558" s="34" t="str">
        <f>HYPERLINK("http://www.cnpol.ru/covers/16814.jpg","фото на сайте")</f>
        <v>фото на сайте</v>
      </c>
    </row>
    <row r="1559" spans="1:19" ht="50.1" customHeight="1">
      <c r="A1559" s="31"/>
      <c r="B1559" s="32" t="s">
        <v>6138</v>
      </c>
      <c r="C1559" s="31" t="s">
        <v>6139</v>
      </c>
      <c r="D1559" s="31" t="s">
        <v>6140</v>
      </c>
      <c r="E1559" s="31" t="s">
        <v>6141</v>
      </c>
      <c r="F1559" s="31" t="s">
        <v>31</v>
      </c>
      <c r="G1559" s="31">
        <v>88</v>
      </c>
      <c r="H1559" s="31">
        <v>10</v>
      </c>
      <c r="I1559" s="31">
        <v>30</v>
      </c>
      <c r="J1559" s="31" t="s">
        <v>6142</v>
      </c>
      <c r="K1559" s="31" t="s">
        <v>123</v>
      </c>
      <c r="L1559" s="31" t="s">
        <v>56</v>
      </c>
      <c r="M1559" s="31">
        <v>158</v>
      </c>
      <c r="N1559" s="31">
        <v>2009</v>
      </c>
      <c r="O1559" s="31">
        <v>76</v>
      </c>
      <c r="P1559" s="31"/>
      <c r="Q1559" s="31"/>
      <c r="R1559" s="33"/>
      <c r="S1559" s="34" t="str">
        <f>HYPERLINK("http://www.cnpol.ru/covers/11395.jpg","фото на сайте")</f>
        <v>фото на сайте</v>
      </c>
    </row>
    <row r="1560" spans="1:19" ht="50.1" customHeight="1">
      <c r="A1560" s="31"/>
      <c r="B1560" s="32" t="s">
        <v>6143</v>
      </c>
      <c r="C1560" s="31" t="s">
        <v>390</v>
      </c>
      <c r="D1560" s="31" t="s">
        <v>1758</v>
      </c>
      <c r="E1560" s="31" t="s">
        <v>6144</v>
      </c>
      <c r="F1560" s="31">
        <v>1048</v>
      </c>
      <c r="G1560" s="31">
        <v>86</v>
      </c>
      <c r="H1560" s="31">
        <v>10</v>
      </c>
      <c r="I1560" s="31">
        <v>30</v>
      </c>
      <c r="J1560" s="31" t="s">
        <v>6145</v>
      </c>
      <c r="K1560" s="31" t="s">
        <v>123</v>
      </c>
      <c r="L1560" s="31" t="s">
        <v>56</v>
      </c>
      <c r="M1560" s="31">
        <v>160</v>
      </c>
      <c r="N1560" s="31">
        <v>2021</v>
      </c>
      <c r="O1560" s="31">
        <v>76</v>
      </c>
      <c r="P1560" s="31"/>
      <c r="Q1560" s="31"/>
      <c r="R1560" s="33"/>
      <c r="S1560" s="34" t="str">
        <f>HYPERLINK("http://www.cnpol.ru/covers/19794.jpg","фото на сайте")</f>
        <v>фото на сайте</v>
      </c>
    </row>
    <row r="1561" spans="1:19" ht="50.1" customHeight="1">
      <c r="A1561" s="31"/>
      <c r="B1561" s="32" t="s">
        <v>6146</v>
      </c>
      <c r="C1561" s="31" t="s">
        <v>546</v>
      </c>
      <c r="D1561" s="31" t="s">
        <v>1656</v>
      </c>
      <c r="E1561" s="31" t="s">
        <v>6147</v>
      </c>
      <c r="F1561" s="31">
        <v>224</v>
      </c>
      <c r="G1561" s="31">
        <v>93</v>
      </c>
      <c r="H1561" s="31">
        <v>10</v>
      </c>
      <c r="I1561" s="31">
        <v>30</v>
      </c>
      <c r="J1561" s="31" t="s">
        <v>6148</v>
      </c>
      <c r="K1561" s="31" t="s">
        <v>123</v>
      </c>
      <c r="L1561" s="31" t="s">
        <v>56</v>
      </c>
      <c r="M1561" s="31">
        <v>160</v>
      </c>
      <c r="N1561" s="31">
        <v>2017</v>
      </c>
      <c r="O1561" s="31">
        <v>76</v>
      </c>
      <c r="P1561" s="31"/>
      <c r="Q1561" s="31"/>
      <c r="R1561" s="33"/>
      <c r="S1561" s="34" t="str">
        <f>HYPERLINK("http://www.cnpol.ru/covers/17544.jpg","фото на сайте")</f>
        <v>фото на сайте</v>
      </c>
    </row>
    <row r="1562" spans="1:19" ht="50.1" customHeight="1">
      <c r="A1562" s="31"/>
      <c r="B1562" s="32" t="s">
        <v>6149</v>
      </c>
      <c r="C1562" s="31" t="s">
        <v>390</v>
      </c>
      <c r="D1562" s="31" t="s">
        <v>6150</v>
      </c>
      <c r="E1562" s="31" t="s">
        <v>6151</v>
      </c>
      <c r="F1562" s="31">
        <v>355</v>
      </c>
      <c r="G1562" s="31">
        <v>86</v>
      </c>
      <c r="H1562" s="31">
        <v>10</v>
      </c>
      <c r="I1562" s="31">
        <v>40</v>
      </c>
      <c r="J1562" s="31" t="s">
        <v>6152</v>
      </c>
      <c r="K1562" s="31" t="s">
        <v>123</v>
      </c>
      <c r="L1562" s="31" t="s">
        <v>56</v>
      </c>
      <c r="M1562" s="31">
        <v>158</v>
      </c>
      <c r="N1562" s="31">
        <v>2013</v>
      </c>
      <c r="O1562" s="31">
        <v>76</v>
      </c>
      <c r="P1562" s="31"/>
      <c r="Q1562" s="31"/>
      <c r="R1562" s="33"/>
      <c r="S1562" s="34" t="str">
        <f>HYPERLINK("http://www.cnpol.ru/covers/14601.jpg","фото на сайте")</f>
        <v>фото на сайте</v>
      </c>
    </row>
    <row r="1563" spans="1:19" ht="50.1" customHeight="1">
      <c r="A1563" s="31" t="s">
        <v>35</v>
      </c>
      <c r="B1563" s="32" t="s">
        <v>6153</v>
      </c>
      <c r="C1563" s="31" t="s">
        <v>45</v>
      </c>
      <c r="D1563" s="31" t="s">
        <v>5743</v>
      </c>
      <c r="E1563" s="31" t="s">
        <v>6154</v>
      </c>
      <c r="F1563" s="31" t="s">
        <v>31</v>
      </c>
      <c r="G1563" s="35">
        <v>1332</v>
      </c>
      <c r="H1563" s="31">
        <v>10</v>
      </c>
      <c r="I1563" s="31">
        <v>8</v>
      </c>
      <c r="J1563" s="31" t="s">
        <v>6155</v>
      </c>
      <c r="K1563" s="31" t="s">
        <v>33</v>
      </c>
      <c r="L1563" s="31" t="s">
        <v>34</v>
      </c>
      <c r="M1563" s="31">
        <v>575</v>
      </c>
      <c r="N1563" s="31">
        <v>2024</v>
      </c>
      <c r="O1563" s="31">
        <v>594</v>
      </c>
      <c r="P1563" s="31"/>
      <c r="Q1563" s="31"/>
      <c r="R1563" s="33" t="s">
        <v>6156</v>
      </c>
      <c r="S1563" s="34" t="str">
        <f>HYPERLINK("http://www.cnpol.ru/covers/21375.jpg","фото на сайте")</f>
        <v>фото на сайте</v>
      </c>
    </row>
    <row r="1564" spans="1:19" ht="50.1" customHeight="1">
      <c r="A1564" s="31"/>
      <c r="B1564" s="32" t="s">
        <v>6157</v>
      </c>
      <c r="C1564" s="31" t="s">
        <v>6158</v>
      </c>
      <c r="D1564" s="31" t="s">
        <v>2006</v>
      </c>
      <c r="E1564" s="31" t="s">
        <v>6159</v>
      </c>
      <c r="F1564" s="31" t="s">
        <v>31</v>
      </c>
      <c r="G1564" s="31">
        <v>209</v>
      </c>
      <c r="H1564" s="31">
        <v>10</v>
      </c>
      <c r="I1564" s="31">
        <v>28</v>
      </c>
      <c r="J1564" s="31" t="s">
        <v>6160</v>
      </c>
      <c r="K1564" s="31" t="s">
        <v>123</v>
      </c>
      <c r="L1564" s="31" t="s">
        <v>56</v>
      </c>
      <c r="M1564" s="31">
        <v>222</v>
      </c>
      <c r="N1564" s="31">
        <v>2002</v>
      </c>
      <c r="O1564" s="31">
        <v>128</v>
      </c>
      <c r="P1564" s="31"/>
      <c r="Q1564" s="31"/>
      <c r="R1564" s="33"/>
      <c r="S1564" s="34" t="str">
        <f>HYPERLINK("http://www.cnpol.ru/covers/3222.jpg","фото на сайте")</f>
        <v>фото на сайте</v>
      </c>
    </row>
    <row r="1565" spans="1:19" ht="50.1" customHeight="1">
      <c r="A1565" s="31"/>
      <c r="B1565" s="32" t="s">
        <v>6161</v>
      </c>
      <c r="C1565" s="31" t="s">
        <v>6158</v>
      </c>
      <c r="D1565" s="31" t="s">
        <v>2006</v>
      </c>
      <c r="E1565" s="31" t="s">
        <v>6162</v>
      </c>
      <c r="F1565" s="31" t="s">
        <v>31</v>
      </c>
      <c r="G1565" s="31">
        <v>209</v>
      </c>
      <c r="H1565" s="31">
        <v>10</v>
      </c>
      <c r="I1565" s="31">
        <v>28</v>
      </c>
      <c r="J1565" s="31" t="s">
        <v>6163</v>
      </c>
      <c r="K1565" s="31" t="s">
        <v>123</v>
      </c>
      <c r="L1565" s="31" t="s">
        <v>56</v>
      </c>
      <c r="M1565" s="31">
        <v>255</v>
      </c>
      <c r="N1565" s="31">
        <v>2002</v>
      </c>
      <c r="O1565" s="31">
        <v>144</v>
      </c>
      <c r="P1565" s="31"/>
      <c r="Q1565" s="31"/>
      <c r="R1565" s="33"/>
      <c r="S1565" s="34" t="str">
        <f>HYPERLINK("http://www.cnpol.ru/covers/3243.jpg","фото на сайте")</f>
        <v>фото на сайте</v>
      </c>
    </row>
    <row r="1566" spans="1:19" ht="50.1" customHeight="1">
      <c r="A1566" s="31"/>
      <c r="B1566" s="32" t="s">
        <v>6164</v>
      </c>
      <c r="C1566" s="31" t="s">
        <v>6158</v>
      </c>
      <c r="D1566" s="31" t="s">
        <v>2006</v>
      </c>
      <c r="E1566" s="31" t="s">
        <v>6165</v>
      </c>
      <c r="F1566" s="31" t="s">
        <v>31</v>
      </c>
      <c r="G1566" s="31">
        <v>88</v>
      </c>
      <c r="H1566" s="31">
        <v>10</v>
      </c>
      <c r="I1566" s="31">
        <v>32</v>
      </c>
      <c r="J1566" s="31" t="s">
        <v>6166</v>
      </c>
      <c r="K1566" s="31" t="s">
        <v>123</v>
      </c>
      <c r="L1566" s="31" t="s">
        <v>56</v>
      </c>
      <c r="M1566" s="31">
        <v>220</v>
      </c>
      <c r="N1566" s="31">
        <v>2004</v>
      </c>
      <c r="O1566" s="31">
        <v>126</v>
      </c>
      <c r="P1566" s="31"/>
      <c r="Q1566" s="31"/>
      <c r="R1566" s="33"/>
      <c r="S1566" s="34" t="str">
        <f>HYPERLINK("http://www.cnpol.ru/covers/4449.jpg","фото на сайте")</f>
        <v>фото на сайте</v>
      </c>
    </row>
    <row r="1567" spans="1:19" ht="50.1" customHeight="1">
      <c r="A1567" s="31"/>
      <c r="B1567" s="32" t="s">
        <v>6167</v>
      </c>
      <c r="C1567" s="31" t="s">
        <v>6158</v>
      </c>
      <c r="D1567" s="31" t="s">
        <v>2006</v>
      </c>
      <c r="E1567" s="31" t="s">
        <v>6168</v>
      </c>
      <c r="F1567" s="31" t="s">
        <v>31</v>
      </c>
      <c r="G1567" s="31">
        <v>169</v>
      </c>
      <c r="H1567" s="31">
        <v>10</v>
      </c>
      <c r="I1567" s="31">
        <v>40</v>
      </c>
      <c r="J1567" s="31" t="s">
        <v>6169</v>
      </c>
      <c r="K1567" s="31" t="s">
        <v>123</v>
      </c>
      <c r="L1567" s="31" t="s">
        <v>56</v>
      </c>
      <c r="M1567" s="31">
        <v>204</v>
      </c>
      <c r="N1567" s="31">
        <v>2004</v>
      </c>
      <c r="O1567" s="31">
        <v>120</v>
      </c>
      <c r="P1567" s="31"/>
      <c r="Q1567" s="31"/>
      <c r="R1567" s="33"/>
      <c r="S1567" s="34" t="str">
        <f>HYPERLINK("http://www.cnpol.ru/covers/4432.jpg","фото на сайте")</f>
        <v>фото на сайте</v>
      </c>
    </row>
    <row r="1568" spans="1:19" ht="50.1" customHeight="1">
      <c r="A1568" s="31"/>
      <c r="B1568" s="32" t="s">
        <v>6170</v>
      </c>
      <c r="C1568" s="31" t="s">
        <v>4205</v>
      </c>
      <c r="D1568" s="31" t="s">
        <v>6171</v>
      </c>
      <c r="E1568" s="31" t="s">
        <v>6172</v>
      </c>
      <c r="F1568" s="31" t="s">
        <v>31</v>
      </c>
      <c r="G1568" s="31">
        <v>649</v>
      </c>
      <c r="H1568" s="31">
        <v>10</v>
      </c>
      <c r="I1568" s="31">
        <v>22</v>
      </c>
      <c r="J1568" s="31" t="s">
        <v>6173</v>
      </c>
      <c r="K1568" s="31" t="s">
        <v>33</v>
      </c>
      <c r="L1568" s="31" t="s">
        <v>34</v>
      </c>
      <c r="M1568" s="31">
        <v>159</v>
      </c>
      <c r="N1568" s="31">
        <v>2022</v>
      </c>
      <c r="O1568" s="31">
        <v>226</v>
      </c>
      <c r="P1568" s="31"/>
      <c r="Q1568" s="31"/>
      <c r="R1568" s="33" t="s">
        <v>6174</v>
      </c>
      <c r="S1568" s="34" t="str">
        <f>HYPERLINK("http://www.cnpol.ru/covers/20408.jpg","фото на сайте")</f>
        <v>фото на сайте</v>
      </c>
    </row>
    <row r="1569" spans="1:19" ht="50.1" customHeight="1">
      <c r="A1569" s="31" t="s">
        <v>35</v>
      </c>
      <c r="B1569" s="32" t="s">
        <v>6175</v>
      </c>
      <c r="C1569" s="31" t="s">
        <v>45</v>
      </c>
      <c r="D1569" s="31" t="s">
        <v>6176</v>
      </c>
      <c r="E1569" s="31" t="s">
        <v>6177</v>
      </c>
      <c r="F1569" s="31" t="s">
        <v>31</v>
      </c>
      <c r="G1569" s="35">
        <v>2331</v>
      </c>
      <c r="H1569" s="31">
        <v>10</v>
      </c>
      <c r="I1569" s="31">
        <v>4</v>
      </c>
      <c r="J1569" s="31" t="s">
        <v>6178</v>
      </c>
      <c r="K1569" s="31" t="s">
        <v>147</v>
      </c>
      <c r="L1569" s="31" t="s">
        <v>34</v>
      </c>
      <c r="M1569" s="31">
        <v>798</v>
      </c>
      <c r="N1569" s="31">
        <v>2025</v>
      </c>
      <c r="O1569" s="31">
        <v>1380</v>
      </c>
      <c r="P1569" s="31"/>
      <c r="Q1569" s="31"/>
      <c r="R1569" s="33" t="s">
        <v>6179</v>
      </c>
      <c r="S1569" s="34" t="str">
        <f>HYPERLINK("http://www.cnpol.ru/covers/21692.jpg","фото на сайте")</f>
        <v>фото на сайте</v>
      </c>
    </row>
    <row r="1570" spans="1:19" ht="50.1" customHeight="1">
      <c r="A1570" s="31" t="s">
        <v>35</v>
      </c>
      <c r="B1570" s="32" t="s">
        <v>6180</v>
      </c>
      <c r="C1570" s="31" t="s">
        <v>45</v>
      </c>
      <c r="D1570" s="31" t="s">
        <v>5151</v>
      </c>
      <c r="E1570" s="31" t="s">
        <v>6181</v>
      </c>
      <c r="F1570" s="31" t="s">
        <v>31</v>
      </c>
      <c r="G1570" s="35">
        <v>1809</v>
      </c>
      <c r="H1570" s="31">
        <v>10</v>
      </c>
      <c r="I1570" s="31">
        <v>8</v>
      </c>
      <c r="J1570" s="31" t="s">
        <v>6182</v>
      </c>
      <c r="K1570" s="31" t="s">
        <v>147</v>
      </c>
      <c r="L1570" s="31" t="s">
        <v>34</v>
      </c>
      <c r="M1570" s="31">
        <v>496</v>
      </c>
      <c r="N1570" s="31">
        <v>2024</v>
      </c>
      <c r="O1570" s="31">
        <v>575</v>
      </c>
      <c r="P1570" s="31"/>
      <c r="Q1570" s="31"/>
      <c r="R1570" s="33" t="s">
        <v>6183</v>
      </c>
      <c r="S1570" s="34" t="str">
        <f>HYPERLINK("http://www.cnpol.ru/covers/21254.jpg","фото на сайте")</f>
        <v>фото на сайте</v>
      </c>
    </row>
    <row r="1571" spans="1:19" ht="50.1" customHeight="1">
      <c r="A1571" s="31"/>
      <c r="B1571" s="32" t="s">
        <v>6184</v>
      </c>
      <c r="C1571" s="31" t="s">
        <v>4205</v>
      </c>
      <c r="D1571" s="31" t="s">
        <v>5090</v>
      </c>
      <c r="E1571" s="31" t="s">
        <v>6185</v>
      </c>
      <c r="F1571" s="31" t="s">
        <v>31</v>
      </c>
      <c r="G1571" s="31">
        <v>539</v>
      </c>
      <c r="H1571" s="31">
        <v>10</v>
      </c>
      <c r="I1571" s="31">
        <v>14</v>
      </c>
      <c r="J1571" s="31" t="s">
        <v>6186</v>
      </c>
      <c r="K1571" s="31" t="s">
        <v>33</v>
      </c>
      <c r="L1571" s="31" t="s">
        <v>34</v>
      </c>
      <c r="M1571" s="31">
        <v>285</v>
      </c>
      <c r="N1571" s="31">
        <v>2015</v>
      </c>
      <c r="O1571" s="31">
        <v>258</v>
      </c>
      <c r="P1571" s="31"/>
      <c r="Q1571" s="31"/>
      <c r="R1571" s="33"/>
      <c r="S1571" s="34" t="str">
        <f>HYPERLINK("http://www.cnpol.ru/covers/16081.jpg","фото на сайте")</f>
        <v>фото на сайте</v>
      </c>
    </row>
    <row r="1572" spans="1:19" ht="50.1" customHeight="1">
      <c r="A1572" s="31"/>
      <c r="B1572" s="32" t="s">
        <v>6187</v>
      </c>
      <c r="C1572" s="31" t="s">
        <v>37</v>
      </c>
      <c r="D1572" s="31" t="s">
        <v>6188</v>
      </c>
      <c r="E1572" s="31" t="s">
        <v>6189</v>
      </c>
      <c r="F1572" s="31" t="s">
        <v>31</v>
      </c>
      <c r="G1572" s="31">
        <v>640</v>
      </c>
      <c r="H1572" s="31">
        <v>10</v>
      </c>
      <c r="I1572" s="31">
        <v>8</v>
      </c>
      <c r="J1572" s="31" t="s">
        <v>6190</v>
      </c>
      <c r="K1572" s="31" t="s">
        <v>33</v>
      </c>
      <c r="L1572" s="31" t="s">
        <v>34</v>
      </c>
      <c r="M1572" s="31">
        <v>543</v>
      </c>
      <c r="N1572" s="31">
        <v>2024</v>
      </c>
      <c r="O1572" s="31">
        <v>404</v>
      </c>
      <c r="P1572" s="31"/>
      <c r="Q1572" s="31"/>
      <c r="R1572" s="33" t="s">
        <v>6191</v>
      </c>
      <c r="S1572" s="34" t="str">
        <f>HYPERLINK("http://www.cnpol.ru/covers/20944.jpg","фото на сайте")</f>
        <v>фото на сайте</v>
      </c>
    </row>
    <row r="1573" spans="1:19" ht="50.1" customHeight="1">
      <c r="A1573" s="31"/>
      <c r="B1573" s="32" t="s">
        <v>6192</v>
      </c>
      <c r="C1573" s="31" t="s">
        <v>37</v>
      </c>
      <c r="D1573" s="31" t="s">
        <v>6193</v>
      </c>
      <c r="E1573" s="31" t="s">
        <v>6194</v>
      </c>
      <c r="F1573" s="31" t="s">
        <v>31</v>
      </c>
      <c r="G1573" s="35">
        <v>1009</v>
      </c>
      <c r="H1573" s="31">
        <v>10</v>
      </c>
      <c r="I1573" s="31">
        <v>10</v>
      </c>
      <c r="J1573" s="31" t="s">
        <v>6195</v>
      </c>
      <c r="K1573" s="31" t="s">
        <v>33</v>
      </c>
      <c r="L1573" s="31" t="s">
        <v>34</v>
      </c>
      <c r="M1573" s="31">
        <v>382</v>
      </c>
      <c r="N1573" s="31">
        <v>2024</v>
      </c>
      <c r="O1573" s="31">
        <v>418</v>
      </c>
      <c r="P1573" s="31"/>
      <c r="Q1573" s="31"/>
      <c r="R1573" s="33" t="s">
        <v>6196</v>
      </c>
      <c r="S1573" s="34" t="str">
        <f>HYPERLINK("http://www.cnpol.ru/covers/20974.jpg","фото на сайте")</f>
        <v>фото на сайте</v>
      </c>
    </row>
    <row r="1574" spans="1:19" ht="50.1" customHeight="1">
      <c r="A1574" s="31" t="s">
        <v>43</v>
      </c>
      <c r="B1574" s="32" t="s">
        <v>6197</v>
      </c>
      <c r="C1574" s="31" t="s">
        <v>37</v>
      </c>
      <c r="D1574" s="31" t="s">
        <v>6198</v>
      </c>
      <c r="E1574" s="31" t="s">
        <v>6199</v>
      </c>
      <c r="F1574" s="31" t="s">
        <v>31</v>
      </c>
      <c r="G1574" s="35">
        <v>1038</v>
      </c>
      <c r="H1574" s="31">
        <v>10</v>
      </c>
      <c r="I1574" s="31">
        <v>4</v>
      </c>
      <c r="J1574" s="31" t="s">
        <v>6200</v>
      </c>
      <c r="K1574" s="31" t="s">
        <v>41</v>
      </c>
      <c r="L1574" s="31" t="s">
        <v>34</v>
      </c>
      <c r="M1574" s="31">
        <v>751</v>
      </c>
      <c r="N1574" s="31">
        <v>2024</v>
      </c>
      <c r="O1574" s="31">
        <v>701</v>
      </c>
      <c r="P1574" s="31"/>
      <c r="Q1574" s="31"/>
      <c r="R1574" s="33" t="s">
        <v>6201</v>
      </c>
      <c r="S1574" s="34" t="str">
        <f>HYPERLINK("http://www.cnpol.ru/covers/21365.jpg","фото на сайте")</f>
        <v>фото на сайте</v>
      </c>
    </row>
    <row r="1575" spans="1:19" ht="50.1" customHeight="1">
      <c r="A1575" s="31"/>
      <c r="B1575" s="32" t="s">
        <v>6202</v>
      </c>
      <c r="C1575" s="31" t="s">
        <v>37</v>
      </c>
      <c r="D1575" s="31" t="s">
        <v>6203</v>
      </c>
      <c r="E1575" s="31" t="s">
        <v>6204</v>
      </c>
      <c r="F1575" s="31" t="s">
        <v>31</v>
      </c>
      <c r="G1575" s="31">
        <v>539</v>
      </c>
      <c r="H1575" s="31">
        <v>10</v>
      </c>
      <c r="I1575" s="31">
        <v>12</v>
      </c>
      <c r="J1575" s="31" t="s">
        <v>6205</v>
      </c>
      <c r="K1575" s="31" t="s">
        <v>33</v>
      </c>
      <c r="L1575" s="31" t="s">
        <v>34</v>
      </c>
      <c r="M1575" s="31">
        <v>384</v>
      </c>
      <c r="N1575" s="31">
        <v>2023</v>
      </c>
      <c r="O1575" s="31">
        <v>304</v>
      </c>
      <c r="P1575" s="31"/>
      <c r="Q1575" s="31"/>
      <c r="R1575" s="33" t="s">
        <v>6206</v>
      </c>
      <c r="S1575" s="34" t="str">
        <f>HYPERLINK("http://www.cnpol.ru/covers/20504.jpg","фото на сайте")</f>
        <v>фото на сайте</v>
      </c>
    </row>
    <row r="1576" spans="1:19" ht="50.1" customHeight="1">
      <c r="A1576" s="31" t="s">
        <v>43</v>
      </c>
      <c r="B1576" s="32" t="s">
        <v>6207</v>
      </c>
      <c r="C1576" s="31" t="s">
        <v>37</v>
      </c>
      <c r="D1576" s="31" t="s">
        <v>6208</v>
      </c>
      <c r="E1576" s="31" t="s">
        <v>6209</v>
      </c>
      <c r="F1576" s="31" t="s">
        <v>31</v>
      </c>
      <c r="G1576" s="31">
        <v>999</v>
      </c>
      <c r="H1576" s="31">
        <v>10</v>
      </c>
      <c r="I1576" s="31">
        <v>10</v>
      </c>
      <c r="J1576" s="31" t="s">
        <v>6210</v>
      </c>
      <c r="K1576" s="31" t="s">
        <v>33</v>
      </c>
      <c r="L1576" s="31" t="s">
        <v>34</v>
      </c>
      <c r="M1576" s="31">
        <v>350</v>
      </c>
      <c r="N1576" s="31">
        <v>2025</v>
      </c>
      <c r="O1576" s="31">
        <v>399</v>
      </c>
      <c r="P1576" s="31"/>
      <c r="Q1576" s="31"/>
      <c r="R1576" s="33" t="s">
        <v>6211</v>
      </c>
      <c r="S1576" s="34" t="str">
        <f>HYPERLINK("http://www.cnpol.ru/covers/21493.jpg","фото на сайте")</f>
        <v>фото на сайте</v>
      </c>
    </row>
    <row r="1577" spans="1:19" ht="50.1" customHeight="1">
      <c r="A1577" s="31"/>
      <c r="B1577" s="32" t="s">
        <v>6212</v>
      </c>
      <c r="C1577" s="31" t="s">
        <v>479</v>
      </c>
      <c r="D1577" s="31" t="s">
        <v>6213</v>
      </c>
      <c r="E1577" s="31" t="s">
        <v>6214</v>
      </c>
      <c r="F1577" s="31" t="s">
        <v>31</v>
      </c>
      <c r="G1577" s="31">
        <v>559</v>
      </c>
      <c r="H1577" s="31">
        <v>10</v>
      </c>
      <c r="I1577" s="31">
        <v>10</v>
      </c>
      <c r="J1577" s="31" t="s">
        <v>6215</v>
      </c>
      <c r="K1577" s="31" t="s">
        <v>33</v>
      </c>
      <c r="L1577" s="31" t="s">
        <v>34</v>
      </c>
      <c r="M1577" s="31">
        <v>416</v>
      </c>
      <c r="N1577" s="31">
        <v>2018</v>
      </c>
      <c r="O1577" s="31">
        <v>324</v>
      </c>
      <c r="P1577" s="31"/>
      <c r="Q1577" s="31"/>
      <c r="R1577" s="33"/>
      <c r="S1577" s="34" t="str">
        <f>HYPERLINK("http://www.cnpol.ru/covers/17949.jpg","фото на сайте")</f>
        <v>фото на сайте</v>
      </c>
    </row>
    <row r="1578" spans="1:19" ht="50.1" customHeight="1">
      <c r="A1578" s="31"/>
      <c r="B1578" s="32" t="s">
        <v>6216</v>
      </c>
      <c r="C1578" s="31" t="s">
        <v>37</v>
      </c>
      <c r="D1578" s="31" t="s">
        <v>6217</v>
      </c>
      <c r="E1578" s="31" t="s">
        <v>6218</v>
      </c>
      <c r="F1578" s="31" t="s">
        <v>31</v>
      </c>
      <c r="G1578" s="31">
        <v>815</v>
      </c>
      <c r="H1578" s="31">
        <v>10</v>
      </c>
      <c r="I1578" s="31">
        <v>10</v>
      </c>
      <c r="J1578" s="31" t="s">
        <v>6219</v>
      </c>
      <c r="K1578" s="31" t="s">
        <v>41</v>
      </c>
      <c r="L1578" s="31" t="s">
        <v>34</v>
      </c>
      <c r="M1578" s="31">
        <v>640</v>
      </c>
      <c r="N1578" s="31">
        <v>2023</v>
      </c>
      <c r="O1578" s="31">
        <v>679</v>
      </c>
      <c r="P1578" s="31"/>
      <c r="Q1578" s="31"/>
      <c r="R1578" s="33" t="s">
        <v>6220</v>
      </c>
      <c r="S1578" s="34" t="str">
        <f>HYPERLINK("http://www.cnpol.ru/covers/20728.jpg","фото на сайте")</f>
        <v>фото на сайте</v>
      </c>
    </row>
    <row r="1579" spans="1:19" ht="50.1" customHeight="1">
      <c r="A1579" s="31" t="s">
        <v>35</v>
      </c>
      <c r="B1579" s="32" t="s">
        <v>6221</v>
      </c>
      <c r="C1579" s="31" t="s">
        <v>37</v>
      </c>
      <c r="D1579" s="31" t="s">
        <v>6222</v>
      </c>
      <c r="E1579" s="31" t="s">
        <v>6223</v>
      </c>
      <c r="F1579" s="31" t="s">
        <v>31</v>
      </c>
      <c r="G1579" s="31">
        <v>893</v>
      </c>
      <c r="H1579" s="31">
        <v>10</v>
      </c>
      <c r="I1579" s="31">
        <v>10</v>
      </c>
      <c r="J1579" s="31" t="s">
        <v>6224</v>
      </c>
      <c r="K1579" s="31" t="s">
        <v>33</v>
      </c>
      <c r="L1579" s="31" t="s">
        <v>34</v>
      </c>
      <c r="M1579" s="31">
        <v>319</v>
      </c>
      <c r="N1579" s="31">
        <v>2026</v>
      </c>
      <c r="O1579" s="31" t="s">
        <v>220</v>
      </c>
      <c r="P1579" s="31"/>
      <c r="Q1579" s="31"/>
      <c r="R1579" s="33" t="s">
        <v>6225</v>
      </c>
      <c r="S1579" s="34" t="str">
        <f>HYPERLINK("http://www.cnpol.ru/covers/21890.jpg","фото на сайте")</f>
        <v>фото на сайте</v>
      </c>
    </row>
    <row r="1580" spans="1:19" ht="50.1" customHeight="1">
      <c r="A1580" s="31" t="s">
        <v>35</v>
      </c>
      <c r="B1580" s="32" t="s">
        <v>6226</v>
      </c>
      <c r="C1580" s="31" t="s">
        <v>143</v>
      </c>
      <c r="D1580" s="31" t="s">
        <v>3293</v>
      </c>
      <c r="E1580" s="31" t="s">
        <v>6227</v>
      </c>
      <c r="F1580" s="31" t="s">
        <v>31</v>
      </c>
      <c r="G1580" s="35">
        <v>1399</v>
      </c>
      <c r="H1580" s="31">
        <v>10</v>
      </c>
      <c r="I1580" s="31">
        <v>4</v>
      </c>
      <c r="J1580" s="31" t="s">
        <v>6228</v>
      </c>
      <c r="K1580" s="31" t="s">
        <v>33</v>
      </c>
      <c r="L1580" s="31" t="s">
        <v>34</v>
      </c>
      <c r="M1580" s="31">
        <v>510</v>
      </c>
      <c r="N1580" s="31">
        <v>2025</v>
      </c>
      <c r="O1580" s="31">
        <v>600</v>
      </c>
      <c r="P1580" s="31"/>
      <c r="Q1580" s="31"/>
      <c r="R1580" s="33" t="s">
        <v>6229</v>
      </c>
      <c r="S1580" s="34" t="str">
        <f>HYPERLINK("http://www.cnpol.ru/covers/21635.jpg","фото на сайте")</f>
        <v>фото на сайте</v>
      </c>
    </row>
    <row r="1581" spans="1:19" ht="50.1" customHeight="1">
      <c r="A1581" s="31"/>
      <c r="B1581" s="32" t="s">
        <v>6230</v>
      </c>
      <c r="C1581" s="31" t="s">
        <v>37</v>
      </c>
      <c r="D1581" s="31" t="s">
        <v>6231</v>
      </c>
      <c r="E1581" s="31" t="s">
        <v>6232</v>
      </c>
      <c r="F1581" s="31" t="s">
        <v>31</v>
      </c>
      <c r="G1581" s="31">
        <v>753</v>
      </c>
      <c r="H1581" s="31">
        <v>10</v>
      </c>
      <c r="I1581" s="31">
        <v>18</v>
      </c>
      <c r="J1581" s="31" t="s">
        <v>6233</v>
      </c>
      <c r="K1581" s="31" t="s">
        <v>33</v>
      </c>
      <c r="L1581" s="31" t="s">
        <v>34</v>
      </c>
      <c r="M1581" s="31">
        <v>233</v>
      </c>
      <c r="N1581" s="31">
        <v>2022</v>
      </c>
      <c r="O1581" s="31">
        <v>135</v>
      </c>
      <c r="P1581" s="31"/>
      <c r="Q1581" s="31"/>
      <c r="R1581" s="33" t="s">
        <v>6234</v>
      </c>
      <c r="S1581" s="34" t="str">
        <f>HYPERLINK("http://www.cnpol.ru/covers/20359.jpg","фото на сайте")</f>
        <v>фото на сайте</v>
      </c>
    </row>
    <row r="1582" spans="1:19" ht="50.1" customHeight="1">
      <c r="A1582" s="31" t="s">
        <v>35</v>
      </c>
      <c r="B1582" s="32" t="s">
        <v>6235</v>
      </c>
      <c r="C1582" s="31" t="s">
        <v>143</v>
      </c>
      <c r="D1582" s="31" t="s">
        <v>1966</v>
      </c>
      <c r="E1582" s="31" t="s">
        <v>6236</v>
      </c>
      <c r="F1582" s="31" t="s">
        <v>31</v>
      </c>
      <c r="G1582" s="35">
        <v>1055</v>
      </c>
      <c r="H1582" s="31">
        <v>10</v>
      </c>
      <c r="I1582" s="31">
        <v>5</v>
      </c>
      <c r="J1582" s="31" t="s">
        <v>6237</v>
      </c>
      <c r="K1582" s="31" t="s">
        <v>33</v>
      </c>
      <c r="L1582" s="31" t="s">
        <v>34</v>
      </c>
      <c r="M1582" s="31">
        <v>415</v>
      </c>
      <c r="N1582" s="31">
        <v>2025</v>
      </c>
      <c r="O1582" s="31">
        <v>458</v>
      </c>
      <c r="P1582" s="31"/>
      <c r="Q1582" s="31"/>
      <c r="R1582" s="33" t="s">
        <v>6238</v>
      </c>
      <c r="S1582" s="34" t="str">
        <f>HYPERLINK("http://www.cnpol.ru/covers/21758.jpg","фото на сайте")</f>
        <v>фото на сайте</v>
      </c>
    </row>
    <row r="1583" spans="1:19" ht="50.1" customHeight="1">
      <c r="A1583" s="31"/>
      <c r="B1583" s="32" t="s">
        <v>6239</v>
      </c>
      <c r="C1583" s="31" t="s">
        <v>37</v>
      </c>
      <c r="D1583" s="31" t="s">
        <v>6240</v>
      </c>
      <c r="E1583" s="31" t="s">
        <v>6241</v>
      </c>
      <c r="F1583" s="31" t="s">
        <v>31</v>
      </c>
      <c r="G1583" s="31">
        <v>730</v>
      </c>
      <c r="H1583" s="31">
        <v>10</v>
      </c>
      <c r="I1583" s="31">
        <v>14</v>
      </c>
      <c r="J1583" s="31" t="s">
        <v>6242</v>
      </c>
      <c r="K1583" s="31" t="s">
        <v>158</v>
      </c>
      <c r="L1583" s="31" t="s">
        <v>34</v>
      </c>
      <c r="M1583" s="31">
        <v>383</v>
      </c>
      <c r="N1583" s="31">
        <v>2013</v>
      </c>
      <c r="O1583" s="31">
        <v>366</v>
      </c>
      <c r="P1583" s="31"/>
      <c r="Q1583" s="31"/>
      <c r="R1583" s="33"/>
      <c r="S1583" s="34" t="str">
        <f>HYPERLINK("http://www.cnpol.ru/covers/14151.jpg","фото на сайте")</f>
        <v>фото на сайте</v>
      </c>
    </row>
    <row r="1584" spans="1:19" ht="50.1" customHeight="1">
      <c r="A1584" s="31"/>
      <c r="B1584" s="32" t="s">
        <v>6243</v>
      </c>
      <c r="C1584" s="31" t="s">
        <v>37</v>
      </c>
      <c r="D1584" s="31" t="s">
        <v>6240</v>
      </c>
      <c r="E1584" s="31" t="s">
        <v>6241</v>
      </c>
      <c r="F1584" s="31" t="s">
        <v>31</v>
      </c>
      <c r="G1584" s="31">
        <v>791</v>
      </c>
      <c r="H1584" s="31">
        <v>10</v>
      </c>
      <c r="I1584" s="31">
        <v>14</v>
      </c>
      <c r="J1584" s="31" t="s">
        <v>6244</v>
      </c>
      <c r="K1584" s="31" t="s">
        <v>33</v>
      </c>
      <c r="L1584" s="31" t="s">
        <v>34</v>
      </c>
      <c r="M1584" s="31">
        <v>400</v>
      </c>
      <c r="N1584" s="31">
        <v>2016</v>
      </c>
      <c r="O1584" s="31">
        <v>366</v>
      </c>
      <c r="P1584" s="31"/>
      <c r="Q1584" s="31"/>
      <c r="R1584" s="33"/>
      <c r="S1584" s="34" t="str">
        <f>HYPERLINK("http://www.cnpol.ru/covers/16806.jpg","фото на сайте")</f>
        <v>фото на сайте</v>
      </c>
    </row>
    <row r="1585" spans="1:19" ht="50.1" customHeight="1">
      <c r="A1585" s="31"/>
      <c r="B1585" s="32" t="s">
        <v>6245</v>
      </c>
      <c r="C1585" s="31" t="s">
        <v>6246</v>
      </c>
      <c r="D1585" s="31" t="s">
        <v>6247</v>
      </c>
      <c r="E1585" s="31" t="s">
        <v>6248</v>
      </c>
      <c r="F1585" s="31" t="s">
        <v>31</v>
      </c>
      <c r="G1585" s="35">
        <v>1320</v>
      </c>
      <c r="H1585" s="31">
        <v>10</v>
      </c>
      <c r="I1585" s="31">
        <v>10</v>
      </c>
      <c r="J1585" s="31" t="s">
        <v>6249</v>
      </c>
      <c r="K1585" s="31" t="s">
        <v>41</v>
      </c>
      <c r="L1585" s="31" t="s">
        <v>34</v>
      </c>
      <c r="M1585" s="31">
        <v>480</v>
      </c>
      <c r="N1585" s="31">
        <v>2022</v>
      </c>
      <c r="O1585" s="31">
        <v>348</v>
      </c>
      <c r="P1585" s="31"/>
      <c r="Q1585" s="31"/>
      <c r="R1585" s="33" t="s">
        <v>6250</v>
      </c>
      <c r="S1585" s="34" t="str">
        <f>HYPERLINK("http://www.cnpol.ru/covers/20335.jpg","фото на сайте")</f>
        <v>фото на сайте</v>
      </c>
    </row>
    <row r="1586" spans="1:19" ht="50.1" customHeight="1">
      <c r="A1586" s="31"/>
      <c r="B1586" s="32" t="s">
        <v>6251</v>
      </c>
      <c r="C1586" s="31" t="s">
        <v>6252</v>
      </c>
      <c r="D1586" s="31" t="s">
        <v>6253</v>
      </c>
      <c r="E1586" s="31" t="s">
        <v>6254</v>
      </c>
      <c r="F1586" s="31" t="s">
        <v>31</v>
      </c>
      <c r="G1586" s="35">
        <v>1730</v>
      </c>
      <c r="H1586" s="31">
        <v>10</v>
      </c>
      <c r="I1586" s="31">
        <v>6</v>
      </c>
      <c r="J1586" s="31" t="s">
        <v>6255</v>
      </c>
      <c r="K1586" s="31" t="s">
        <v>6256</v>
      </c>
      <c r="L1586" s="31" t="s">
        <v>34</v>
      </c>
      <c r="M1586" s="31">
        <v>240</v>
      </c>
      <c r="N1586" s="31">
        <v>2003</v>
      </c>
      <c r="O1586" s="31">
        <v>618</v>
      </c>
      <c r="P1586" s="31"/>
      <c r="Q1586" s="31"/>
      <c r="R1586" s="33"/>
      <c r="S1586" s="34" t="str">
        <f>HYPERLINK("http://www.cnpol.ru/covers/4587.jpg","фото на сайте")</f>
        <v>фото на сайте</v>
      </c>
    </row>
    <row r="1587" spans="1:19" ht="50.1" customHeight="1">
      <c r="A1587" s="31" t="s">
        <v>43</v>
      </c>
      <c r="B1587" s="32" t="s">
        <v>6257</v>
      </c>
      <c r="C1587" s="31" t="s">
        <v>1206</v>
      </c>
      <c r="D1587" s="31" t="s">
        <v>1207</v>
      </c>
      <c r="E1587" s="31" t="s">
        <v>6258</v>
      </c>
      <c r="F1587" s="31" t="s">
        <v>31</v>
      </c>
      <c r="G1587" s="31">
        <v>672</v>
      </c>
      <c r="H1587" s="31">
        <v>10</v>
      </c>
      <c r="I1587" s="31">
        <v>8</v>
      </c>
      <c r="J1587" s="31" t="s">
        <v>6259</v>
      </c>
      <c r="K1587" s="31" t="s">
        <v>739</v>
      </c>
      <c r="L1587" s="31" t="s">
        <v>34</v>
      </c>
      <c r="M1587" s="31">
        <v>396</v>
      </c>
      <c r="N1587" s="31">
        <v>2025</v>
      </c>
      <c r="O1587" s="31">
        <v>282</v>
      </c>
      <c r="P1587" s="31"/>
      <c r="Q1587" s="31"/>
      <c r="R1587" s="33" t="s">
        <v>6260</v>
      </c>
      <c r="S1587" s="34" t="str">
        <f>HYPERLINK("http://www.cnpol.ru/covers/21676.jpg","фото на сайте")</f>
        <v>фото на сайте</v>
      </c>
    </row>
    <row r="1588" spans="1:19" ht="50.1" customHeight="1">
      <c r="A1588" s="31"/>
      <c r="B1588" s="32" t="s">
        <v>6261</v>
      </c>
      <c r="C1588" s="31" t="s">
        <v>37</v>
      </c>
      <c r="D1588" s="31" t="s">
        <v>6262</v>
      </c>
      <c r="E1588" s="31" t="s">
        <v>6263</v>
      </c>
      <c r="F1588" s="31" t="s">
        <v>31</v>
      </c>
      <c r="G1588" s="35">
        <v>1229</v>
      </c>
      <c r="H1588" s="31">
        <v>10</v>
      </c>
      <c r="I1588" s="31">
        <v>8</v>
      </c>
      <c r="J1588" s="31" t="s">
        <v>6264</v>
      </c>
      <c r="K1588" s="31" t="s">
        <v>33</v>
      </c>
      <c r="L1588" s="31" t="s">
        <v>34</v>
      </c>
      <c r="M1588" s="31">
        <v>480</v>
      </c>
      <c r="N1588" s="31">
        <v>2022</v>
      </c>
      <c r="O1588" s="31">
        <v>524</v>
      </c>
      <c r="P1588" s="31"/>
      <c r="Q1588" s="31"/>
      <c r="R1588" s="33"/>
      <c r="S1588" s="34" t="str">
        <f>HYPERLINK("http://www.cnpol.ru/covers/20021.jpg","фото на сайте")</f>
        <v>фото на сайте</v>
      </c>
    </row>
    <row r="1589" spans="1:19" ht="50.1" customHeight="1">
      <c r="A1589" s="31"/>
      <c r="B1589" s="32" t="s">
        <v>6265</v>
      </c>
      <c r="C1589" s="31" t="s">
        <v>5199</v>
      </c>
      <c r="D1589" s="31" t="s">
        <v>6266</v>
      </c>
      <c r="E1589" s="31" t="s">
        <v>6267</v>
      </c>
      <c r="F1589" s="31" t="s">
        <v>31</v>
      </c>
      <c r="G1589" s="31">
        <v>539</v>
      </c>
      <c r="H1589" s="31">
        <v>10</v>
      </c>
      <c r="I1589" s="31">
        <v>16</v>
      </c>
      <c r="J1589" s="31" t="s">
        <v>6268</v>
      </c>
      <c r="K1589" s="31" t="s">
        <v>158</v>
      </c>
      <c r="L1589" s="31" t="s">
        <v>34</v>
      </c>
      <c r="M1589" s="31">
        <v>319</v>
      </c>
      <c r="N1589" s="31">
        <v>2022</v>
      </c>
      <c r="O1589" s="31">
        <v>303</v>
      </c>
      <c r="P1589" s="31"/>
      <c r="Q1589" s="31"/>
      <c r="R1589" s="33"/>
      <c r="S1589" s="34" t="str">
        <f>HYPERLINK("http://www.cnpol.ru/covers/20305.jpg","фото на сайте")</f>
        <v>фото на сайте</v>
      </c>
    </row>
    <row r="1590" spans="1:19" ht="50.1" customHeight="1">
      <c r="A1590" s="31"/>
      <c r="B1590" s="32" t="s">
        <v>6269</v>
      </c>
      <c r="C1590" s="31" t="s">
        <v>37</v>
      </c>
      <c r="D1590" s="31" t="s">
        <v>6270</v>
      </c>
      <c r="E1590" s="31" t="s">
        <v>6271</v>
      </c>
      <c r="F1590" s="31" t="s">
        <v>31</v>
      </c>
      <c r="G1590" s="31">
        <v>917</v>
      </c>
      <c r="H1590" s="31">
        <v>10</v>
      </c>
      <c r="I1590" s="31">
        <v>12</v>
      </c>
      <c r="J1590" s="31" t="s">
        <v>6272</v>
      </c>
      <c r="K1590" s="31" t="s">
        <v>33</v>
      </c>
      <c r="L1590" s="31" t="s">
        <v>34</v>
      </c>
      <c r="M1590" s="31">
        <v>317</v>
      </c>
      <c r="N1590" s="31">
        <v>2022</v>
      </c>
      <c r="O1590" s="31">
        <v>278</v>
      </c>
      <c r="P1590" s="31"/>
      <c r="Q1590" s="31"/>
      <c r="R1590" s="33" t="s">
        <v>6273</v>
      </c>
      <c r="S1590" s="34" t="str">
        <f>HYPERLINK("http://www.cnpol.ru/covers/20321.jpg","фото на сайте")</f>
        <v>фото на сайте</v>
      </c>
    </row>
    <row r="1591" spans="1:19" ht="50.1" customHeight="1">
      <c r="A1591" s="31" t="s">
        <v>43</v>
      </c>
      <c r="B1591" s="32" t="s">
        <v>6274</v>
      </c>
      <c r="C1591" s="31" t="s">
        <v>37</v>
      </c>
      <c r="D1591" s="31" t="s">
        <v>6275</v>
      </c>
      <c r="E1591" s="31" t="s">
        <v>6276</v>
      </c>
      <c r="F1591" s="31" t="s">
        <v>31</v>
      </c>
      <c r="G1591" s="31">
        <v>874</v>
      </c>
      <c r="H1591" s="31">
        <v>10</v>
      </c>
      <c r="I1591" s="31">
        <v>12</v>
      </c>
      <c r="J1591" s="31" t="s">
        <v>6277</v>
      </c>
      <c r="K1591" s="31" t="s">
        <v>33</v>
      </c>
      <c r="L1591" s="31" t="s">
        <v>34</v>
      </c>
      <c r="M1591" s="31">
        <v>319</v>
      </c>
      <c r="N1591" s="31">
        <v>2025</v>
      </c>
      <c r="O1591" s="31">
        <v>265</v>
      </c>
      <c r="P1591" s="31"/>
      <c r="Q1591" s="31"/>
      <c r="R1591" s="33" t="s">
        <v>6278</v>
      </c>
      <c r="S1591" s="34" t="str">
        <f>HYPERLINK("http://www.cnpol.ru/covers/21418.jpg","фото на сайте")</f>
        <v>фото на сайте</v>
      </c>
    </row>
    <row r="1592" spans="1:19" ht="50.1" customHeight="1">
      <c r="A1592" s="31" t="s">
        <v>35</v>
      </c>
      <c r="B1592" s="32" t="s">
        <v>6279</v>
      </c>
      <c r="C1592" s="31" t="s">
        <v>863</v>
      </c>
      <c r="D1592" s="31" t="s">
        <v>5948</v>
      </c>
      <c r="E1592" s="31" t="s">
        <v>6280</v>
      </c>
      <c r="F1592" s="31" t="s">
        <v>31</v>
      </c>
      <c r="G1592" s="31">
        <v>773</v>
      </c>
      <c r="H1592" s="31">
        <v>10</v>
      </c>
      <c r="I1592" s="31">
        <v>8</v>
      </c>
      <c r="J1592" s="31" t="s">
        <v>6281</v>
      </c>
      <c r="K1592" s="31" t="s">
        <v>41</v>
      </c>
      <c r="L1592" s="31" t="s">
        <v>34</v>
      </c>
      <c r="M1592" s="31">
        <v>670</v>
      </c>
      <c r="N1592" s="31">
        <v>2024</v>
      </c>
      <c r="O1592" s="31">
        <v>653</v>
      </c>
      <c r="P1592" s="31"/>
      <c r="Q1592" s="31"/>
      <c r="R1592" s="33" t="s">
        <v>6282</v>
      </c>
      <c r="S1592" s="34" t="str">
        <f>HYPERLINK("http://www.cnpol.ru/covers/20992.jpg","фото на сайте")</f>
        <v>фото на сайте</v>
      </c>
    </row>
    <row r="1593" spans="1:19" ht="50.1" customHeight="1">
      <c r="A1593" s="31" t="s">
        <v>35</v>
      </c>
      <c r="B1593" s="32" t="s">
        <v>6283</v>
      </c>
      <c r="C1593" s="31" t="s">
        <v>37</v>
      </c>
      <c r="D1593" s="31" t="s">
        <v>6284</v>
      </c>
      <c r="E1593" s="31" t="s">
        <v>6285</v>
      </c>
      <c r="F1593" s="31" t="s">
        <v>31</v>
      </c>
      <c r="G1593" s="31">
        <v>685</v>
      </c>
      <c r="H1593" s="31">
        <v>10</v>
      </c>
      <c r="I1593" s="31">
        <v>6</v>
      </c>
      <c r="J1593" s="31" t="s">
        <v>6286</v>
      </c>
      <c r="K1593" s="31" t="s">
        <v>33</v>
      </c>
      <c r="L1593" s="31" t="s">
        <v>34</v>
      </c>
      <c r="M1593" s="31">
        <v>607</v>
      </c>
      <c r="N1593" s="31">
        <v>2025</v>
      </c>
      <c r="O1593" s="31" t="s">
        <v>220</v>
      </c>
      <c r="P1593" s="31"/>
      <c r="Q1593" s="31"/>
      <c r="R1593" s="33" t="s">
        <v>6287</v>
      </c>
      <c r="S1593" s="34" t="str">
        <f>HYPERLINK("http://www.cnpol.ru/covers/21873.jpg","фото на сайте")</f>
        <v>фото на сайте</v>
      </c>
    </row>
    <row r="1594" spans="1:19" ht="50.1" customHeight="1">
      <c r="A1594" s="31"/>
      <c r="B1594" s="32" t="s">
        <v>6288</v>
      </c>
      <c r="C1594" s="31" t="s">
        <v>37</v>
      </c>
      <c r="D1594" s="31" t="s">
        <v>6289</v>
      </c>
      <c r="E1594" s="31" t="s">
        <v>6290</v>
      </c>
      <c r="F1594" s="31">
        <v>2</v>
      </c>
      <c r="G1594" s="31">
        <v>826</v>
      </c>
      <c r="H1594" s="31">
        <v>10</v>
      </c>
      <c r="I1594" s="31">
        <v>10</v>
      </c>
      <c r="J1594" s="31" t="s">
        <v>6291</v>
      </c>
      <c r="K1594" s="31" t="s">
        <v>41</v>
      </c>
      <c r="L1594" s="31" t="s">
        <v>34</v>
      </c>
      <c r="M1594" s="31">
        <v>560</v>
      </c>
      <c r="N1594" s="31">
        <v>2017</v>
      </c>
      <c r="O1594" s="31">
        <v>598</v>
      </c>
      <c r="P1594" s="31"/>
      <c r="Q1594" s="31"/>
      <c r="R1594" s="33"/>
      <c r="S1594" s="34" t="str">
        <f>HYPERLINK("http://www.cnpol.ru/covers/17446.jpg","фото на сайте")</f>
        <v>фото на сайте</v>
      </c>
    </row>
    <row r="1595" spans="1:19" ht="50.1" customHeight="1">
      <c r="A1595" s="31"/>
      <c r="B1595" s="32" t="s">
        <v>6292</v>
      </c>
      <c r="C1595" s="31" t="s">
        <v>37</v>
      </c>
      <c r="D1595" s="31" t="s">
        <v>6289</v>
      </c>
      <c r="E1595" s="31" t="s">
        <v>6293</v>
      </c>
      <c r="F1595" s="31">
        <v>1</v>
      </c>
      <c r="G1595" s="31">
        <v>826</v>
      </c>
      <c r="H1595" s="31">
        <v>10</v>
      </c>
      <c r="I1595" s="31">
        <v>10</v>
      </c>
      <c r="J1595" s="31" t="s">
        <v>6294</v>
      </c>
      <c r="K1595" s="31" t="s">
        <v>41</v>
      </c>
      <c r="L1595" s="31" t="s">
        <v>34</v>
      </c>
      <c r="M1595" s="31">
        <v>496</v>
      </c>
      <c r="N1595" s="31">
        <v>2017</v>
      </c>
      <c r="O1595" s="31">
        <v>542</v>
      </c>
      <c r="P1595" s="31"/>
      <c r="Q1595" s="31"/>
      <c r="R1595" s="33"/>
      <c r="S1595" s="34" t="str">
        <f>HYPERLINK("http://www.cnpol.ru/covers/17445.jpg","фото на сайте")</f>
        <v>фото на сайте</v>
      </c>
    </row>
    <row r="1596" spans="1:19" ht="50.1" customHeight="1">
      <c r="A1596" s="31"/>
      <c r="B1596" s="32" t="s">
        <v>6295</v>
      </c>
      <c r="C1596" s="31" t="s">
        <v>37</v>
      </c>
      <c r="D1596" s="31" t="s">
        <v>6289</v>
      </c>
      <c r="E1596" s="31" t="s">
        <v>6296</v>
      </c>
      <c r="F1596" s="31">
        <v>3</v>
      </c>
      <c r="G1596" s="31">
        <v>826</v>
      </c>
      <c r="H1596" s="31">
        <v>10</v>
      </c>
      <c r="I1596" s="31">
        <v>10</v>
      </c>
      <c r="J1596" s="31" t="s">
        <v>6297</v>
      </c>
      <c r="K1596" s="31" t="s">
        <v>41</v>
      </c>
      <c r="L1596" s="31" t="s">
        <v>34</v>
      </c>
      <c r="M1596" s="31">
        <v>560</v>
      </c>
      <c r="N1596" s="31">
        <v>2017</v>
      </c>
      <c r="O1596" s="31">
        <v>600</v>
      </c>
      <c r="P1596" s="31"/>
      <c r="Q1596" s="31"/>
      <c r="R1596" s="33"/>
      <c r="S1596" s="34" t="str">
        <f>HYPERLINK("http://www.cnpol.ru/covers/17447.jpg","фото на сайте")</f>
        <v>фото на сайте</v>
      </c>
    </row>
    <row r="1597" spans="1:19" ht="50.1" customHeight="1">
      <c r="A1597" s="31"/>
      <c r="B1597" s="32" t="s">
        <v>6298</v>
      </c>
      <c r="C1597" s="31" t="s">
        <v>5199</v>
      </c>
      <c r="D1597" s="31" t="s">
        <v>6299</v>
      </c>
      <c r="E1597" s="31" t="s">
        <v>6300</v>
      </c>
      <c r="F1597" s="31" t="s">
        <v>31</v>
      </c>
      <c r="G1597" s="31">
        <v>539</v>
      </c>
      <c r="H1597" s="31">
        <v>10</v>
      </c>
      <c r="I1597" s="31">
        <v>14</v>
      </c>
      <c r="J1597" s="31" t="s">
        <v>6301</v>
      </c>
      <c r="K1597" s="31" t="s">
        <v>158</v>
      </c>
      <c r="L1597" s="31" t="s">
        <v>34</v>
      </c>
      <c r="M1597" s="31">
        <v>320</v>
      </c>
      <c r="N1597" s="31">
        <v>2021</v>
      </c>
      <c r="O1597" s="31">
        <v>303</v>
      </c>
      <c r="P1597" s="31"/>
      <c r="Q1597" s="31"/>
      <c r="R1597" s="33"/>
      <c r="S1597" s="34" t="str">
        <f>HYPERLINK("http://www.cnpol.ru/covers/19807.jpg","фото на сайте")</f>
        <v>фото на сайте</v>
      </c>
    </row>
    <row r="1598" spans="1:19" ht="50.1" customHeight="1">
      <c r="A1598" s="31" t="s">
        <v>35</v>
      </c>
      <c r="B1598" s="32" t="s">
        <v>6302</v>
      </c>
      <c r="C1598" s="31" t="s">
        <v>37</v>
      </c>
      <c r="D1598" s="31" t="s">
        <v>6303</v>
      </c>
      <c r="E1598" s="31" t="s">
        <v>6304</v>
      </c>
      <c r="F1598" s="31" t="s">
        <v>31</v>
      </c>
      <c r="G1598" s="35">
        <v>1039</v>
      </c>
      <c r="H1598" s="31">
        <v>10</v>
      </c>
      <c r="I1598" s="31">
        <v>6</v>
      </c>
      <c r="J1598" s="31" t="s">
        <v>6305</v>
      </c>
      <c r="K1598" s="31" t="s">
        <v>33</v>
      </c>
      <c r="L1598" s="31" t="s">
        <v>34</v>
      </c>
      <c r="M1598" s="31">
        <v>447</v>
      </c>
      <c r="N1598" s="31">
        <v>2025</v>
      </c>
      <c r="O1598" s="31">
        <v>340</v>
      </c>
      <c r="P1598" s="31"/>
      <c r="Q1598" s="31"/>
      <c r="R1598" s="33" t="s">
        <v>6306</v>
      </c>
      <c r="S1598" s="34" t="str">
        <f>HYPERLINK("http://www.cnpol.ru/covers/21526.jpg","фото на сайте")</f>
        <v>фото на сайте</v>
      </c>
    </row>
    <row r="1599" spans="1:19" ht="50.1" customHeight="1">
      <c r="A1599" s="31"/>
      <c r="B1599" s="32" t="s">
        <v>6307</v>
      </c>
      <c r="C1599" s="31" t="s">
        <v>1301</v>
      </c>
      <c r="D1599" s="31" t="s">
        <v>6308</v>
      </c>
      <c r="E1599" s="31" t="s">
        <v>6309</v>
      </c>
      <c r="F1599" s="31" t="s">
        <v>31</v>
      </c>
      <c r="G1599" s="31">
        <v>733</v>
      </c>
      <c r="H1599" s="31">
        <v>10</v>
      </c>
      <c r="I1599" s="31">
        <v>8</v>
      </c>
      <c r="J1599" s="31" t="s">
        <v>6310</v>
      </c>
      <c r="K1599" s="31" t="s">
        <v>33</v>
      </c>
      <c r="L1599" s="31" t="s">
        <v>34</v>
      </c>
      <c r="M1599" s="31">
        <v>575</v>
      </c>
      <c r="N1599" s="31">
        <v>2023</v>
      </c>
      <c r="O1599" s="31">
        <v>420</v>
      </c>
      <c r="P1599" s="31"/>
      <c r="Q1599" s="31"/>
      <c r="R1599" s="33" t="s">
        <v>6311</v>
      </c>
      <c r="S1599" s="34" t="str">
        <f>HYPERLINK("http://www.cnpol.ru/covers/20656.jpg","фото на сайте")</f>
        <v>фото на сайте</v>
      </c>
    </row>
    <row r="1600" spans="1:19" ht="50.1" customHeight="1">
      <c r="A1600" s="31"/>
      <c r="B1600" s="32" t="s">
        <v>6312</v>
      </c>
      <c r="C1600" s="31" t="s">
        <v>37</v>
      </c>
      <c r="D1600" s="31" t="s">
        <v>6313</v>
      </c>
      <c r="E1600" s="31" t="s">
        <v>6314</v>
      </c>
      <c r="F1600" s="31" t="s">
        <v>31</v>
      </c>
      <c r="G1600" s="35">
        <v>1601</v>
      </c>
      <c r="H1600" s="31">
        <v>10</v>
      </c>
      <c r="I1600" s="31">
        <v>6</v>
      </c>
      <c r="J1600" s="31" t="s">
        <v>6315</v>
      </c>
      <c r="K1600" s="31" t="s">
        <v>41</v>
      </c>
      <c r="L1600" s="31" t="s">
        <v>34</v>
      </c>
      <c r="M1600" s="31">
        <v>704</v>
      </c>
      <c r="N1600" s="31">
        <v>2023</v>
      </c>
      <c r="O1600" s="31">
        <v>784</v>
      </c>
      <c r="P1600" s="31"/>
      <c r="Q1600" s="31"/>
      <c r="R1600" s="33" t="s">
        <v>6316</v>
      </c>
      <c r="S1600" s="34" t="str">
        <f>HYPERLINK("http://www.cnpol.ru/covers/20922.jpg","фото на сайте")</f>
        <v>фото на сайте</v>
      </c>
    </row>
    <row r="1601" spans="1:19" ht="50.1" customHeight="1">
      <c r="A1601" s="31"/>
      <c r="B1601" s="32" t="s">
        <v>6317</v>
      </c>
      <c r="C1601" s="31" t="s">
        <v>37</v>
      </c>
      <c r="D1601" s="31" t="s">
        <v>6313</v>
      </c>
      <c r="E1601" s="31" t="s">
        <v>6318</v>
      </c>
      <c r="F1601" s="31" t="s">
        <v>31</v>
      </c>
      <c r="G1601" s="35">
        <v>1601</v>
      </c>
      <c r="H1601" s="31">
        <v>10</v>
      </c>
      <c r="I1601" s="31">
        <v>6</v>
      </c>
      <c r="J1601" s="31" t="s">
        <v>6319</v>
      </c>
      <c r="K1601" s="31" t="s">
        <v>41</v>
      </c>
      <c r="L1601" s="31" t="s">
        <v>34</v>
      </c>
      <c r="M1601" s="31">
        <v>624</v>
      </c>
      <c r="N1601" s="31">
        <v>2023</v>
      </c>
      <c r="O1601" s="31">
        <v>713</v>
      </c>
      <c r="P1601" s="31"/>
      <c r="Q1601" s="31"/>
      <c r="R1601" s="33" t="s">
        <v>6320</v>
      </c>
      <c r="S1601" s="34" t="str">
        <f>HYPERLINK("http://www.cnpol.ru/covers/20921.jpg","фото на сайте")</f>
        <v>фото на сайте</v>
      </c>
    </row>
    <row r="1602" spans="1:19" ht="50.1" customHeight="1">
      <c r="A1602" s="31" t="s">
        <v>43</v>
      </c>
      <c r="B1602" s="32" t="s">
        <v>6321</v>
      </c>
      <c r="C1602" s="31" t="s">
        <v>143</v>
      </c>
      <c r="D1602" s="31" t="s">
        <v>6322</v>
      </c>
      <c r="E1602" s="31" t="s">
        <v>6323</v>
      </c>
      <c r="F1602" s="31" t="s">
        <v>31</v>
      </c>
      <c r="G1602" s="35">
        <v>1771</v>
      </c>
      <c r="H1602" s="31">
        <v>10</v>
      </c>
      <c r="I1602" s="31">
        <v>4</v>
      </c>
      <c r="J1602" s="31" t="s">
        <v>6324</v>
      </c>
      <c r="K1602" s="31" t="s">
        <v>41</v>
      </c>
      <c r="L1602" s="31" t="s">
        <v>34</v>
      </c>
      <c r="M1602" s="31">
        <v>767</v>
      </c>
      <c r="N1602" s="31">
        <v>2024</v>
      </c>
      <c r="O1602" s="31">
        <v>768</v>
      </c>
      <c r="P1602" s="31"/>
      <c r="Q1602" s="31"/>
      <c r="R1602" s="33" t="s">
        <v>6325</v>
      </c>
      <c r="S1602" s="34" t="str">
        <f>HYPERLINK("http://www.cnpol.ru/covers/21360.jpg","фото на сайте")</f>
        <v>фото на сайте</v>
      </c>
    </row>
    <row r="1603" spans="1:19" ht="50.1" customHeight="1">
      <c r="A1603" s="31"/>
      <c r="B1603" s="32" t="s">
        <v>6326</v>
      </c>
      <c r="C1603" s="31" t="s">
        <v>6246</v>
      </c>
      <c r="D1603" s="31" t="s">
        <v>6327</v>
      </c>
      <c r="E1603" s="31" t="s">
        <v>6328</v>
      </c>
      <c r="F1603" s="31" t="s">
        <v>31</v>
      </c>
      <c r="G1603" s="35">
        <v>1596</v>
      </c>
      <c r="H1603" s="31">
        <v>10</v>
      </c>
      <c r="I1603" s="31">
        <v>10</v>
      </c>
      <c r="J1603" s="31" t="s">
        <v>6329</v>
      </c>
      <c r="K1603" s="31" t="s">
        <v>33</v>
      </c>
      <c r="L1603" s="31" t="s">
        <v>34</v>
      </c>
      <c r="M1603" s="31">
        <v>319</v>
      </c>
      <c r="N1603" s="31">
        <v>2023</v>
      </c>
      <c r="O1603" s="31">
        <v>270</v>
      </c>
      <c r="P1603" s="31"/>
      <c r="Q1603" s="31"/>
      <c r="R1603" s="33" t="s">
        <v>6330</v>
      </c>
      <c r="S1603" s="34" t="str">
        <f>HYPERLINK("http://www.cnpol.ru/covers/20590.jpg","фото на сайте")</f>
        <v>фото на сайте</v>
      </c>
    </row>
    <row r="1604" spans="1:19" ht="50.1" customHeight="1">
      <c r="A1604" s="31" t="s">
        <v>35</v>
      </c>
      <c r="B1604" s="32" t="s">
        <v>6331</v>
      </c>
      <c r="C1604" s="31" t="s">
        <v>37</v>
      </c>
      <c r="D1604" s="31" t="s">
        <v>6332</v>
      </c>
      <c r="E1604" s="31" t="s">
        <v>6333</v>
      </c>
      <c r="F1604" s="31" t="s">
        <v>31</v>
      </c>
      <c r="G1604" s="35">
        <v>1376</v>
      </c>
      <c r="H1604" s="31">
        <v>10</v>
      </c>
      <c r="I1604" s="31">
        <v>8</v>
      </c>
      <c r="J1604" s="31" t="s">
        <v>6334</v>
      </c>
      <c r="K1604" s="31" t="s">
        <v>41</v>
      </c>
      <c r="L1604" s="31" t="s">
        <v>34</v>
      </c>
      <c r="M1604" s="31">
        <v>460</v>
      </c>
      <c r="N1604" s="31">
        <v>2024</v>
      </c>
      <c r="O1604" s="31">
        <v>572</v>
      </c>
      <c r="P1604" s="31"/>
      <c r="Q1604" s="31"/>
      <c r="R1604" s="33" t="s">
        <v>6335</v>
      </c>
      <c r="S1604" s="34" t="str">
        <f>HYPERLINK("http://www.cnpol.ru/covers/21374.jpg","фото на сайте")</f>
        <v>фото на сайте</v>
      </c>
    </row>
    <row r="1605" spans="1:19" ht="50.1" customHeight="1">
      <c r="A1605" s="31"/>
      <c r="B1605" s="32" t="s">
        <v>6336</v>
      </c>
      <c r="C1605" s="31" t="s">
        <v>37</v>
      </c>
      <c r="D1605" s="31" t="s">
        <v>6337</v>
      </c>
      <c r="E1605" s="31" t="s">
        <v>6338</v>
      </c>
      <c r="F1605" s="31" t="s">
        <v>31</v>
      </c>
      <c r="G1605" s="31">
        <v>468</v>
      </c>
      <c r="H1605" s="31">
        <v>10</v>
      </c>
      <c r="I1605" s="31">
        <v>12</v>
      </c>
      <c r="J1605" s="31" t="s">
        <v>6339</v>
      </c>
      <c r="K1605" s="31" t="s">
        <v>33</v>
      </c>
      <c r="L1605" s="31" t="s">
        <v>34</v>
      </c>
      <c r="M1605" s="31">
        <v>288</v>
      </c>
      <c r="N1605" s="31">
        <v>2020</v>
      </c>
      <c r="O1605" s="31">
        <v>306</v>
      </c>
      <c r="P1605" s="31"/>
      <c r="Q1605" s="31"/>
      <c r="R1605" s="33"/>
      <c r="S1605" s="34" t="str">
        <f>HYPERLINK("http://www.cnpol.ru/covers/19394.jpg","фото на сайте")</f>
        <v>фото на сайте</v>
      </c>
    </row>
    <row r="1606" spans="1:19" ht="50.1" customHeight="1">
      <c r="A1606" s="31"/>
      <c r="B1606" s="32" t="s">
        <v>6340</v>
      </c>
      <c r="C1606" s="31" t="s">
        <v>5199</v>
      </c>
      <c r="D1606" s="31" t="s">
        <v>6341</v>
      </c>
      <c r="E1606" s="31" t="s">
        <v>6342</v>
      </c>
      <c r="F1606" s="31" t="s">
        <v>31</v>
      </c>
      <c r="G1606" s="31">
        <v>539</v>
      </c>
      <c r="H1606" s="31">
        <v>10</v>
      </c>
      <c r="I1606" s="31">
        <v>16</v>
      </c>
      <c r="J1606" s="31" t="s">
        <v>6343</v>
      </c>
      <c r="K1606" s="31" t="s">
        <v>158</v>
      </c>
      <c r="L1606" s="31" t="s">
        <v>34</v>
      </c>
      <c r="M1606" s="31">
        <v>351</v>
      </c>
      <c r="N1606" s="31">
        <v>2021</v>
      </c>
      <c r="O1606" s="31">
        <v>278</v>
      </c>
      <c r="P1606" s="31"/>
      <c r="Q1606" s="31"/>
      <c r="R1606" s="33"/>
      <c r="S1606" s="34" t="str">
        <f>HYPERLINK("http://www.cnpol.ru/covers/19497.jpg","фото на сайте")</f>
        <v>фото на сайте</v>
      </c>
    </row>
    <row r="1607" spans="1:19" ht="50.1" customHeight="1">
      <c r="A1607" s="31" t="s">
        <v>35</v>
      </c>
      <c r="B1607" s="32" t="s">
        <v>6344</v>
      </c>
      <c r="C1607" s="31" t="s">
        <v>779</v>
      </c>
      <c r="D1607" s="31" t="s">
        <v>6345</v>
      </c>
      <c r="E1607" s="31" t="s">
        <v>6346</v>
      </c>
      <c r="F1607" s="31" t="s">
        <v>31</v>
      </c>
      <c r="G1607" s="31">
        <v>887</v>
      </c>
      <c r="H1607" s="31">
        <v>10</v>
      </c>
      <c r="I1607" s="31">
        <v>12</v>
      </c>
      <c r="J1607" s="31" t="s">
        <v>6347</v>
      </c>
      <c r="K1607" s="31" t="s">
        <v>33</v>
      </c>
      <c r="L1607" s="31" t="s">
        <v>34</v>
      </c>
      <c r="M1607" s="31">
        <v>216</v>
      </c>
      <c r="N1607" s="31">
        <v>2024</v>
      </c>
      <c r="O1607" s="31">
        <v>360</v>
      </c>
      <c r="P1607" s="31"/>
      <c r="Q1607" s="31"/>
      <c r="R1607" s="33" t="s">
        <v>6348</v>
      </c>
      <c r="S1607" s="34" t="str">
        <f>HYPERLINK("http://www.cnpol.ru/covers/21153.jpg","фото на сайте")</f>
        <v>фото на сайте</v>
      </c>
    </row>
    <row r="1608" spans="1:19" ht="50.1" customHeight="1">
      <c r="A1608" s="31" t="s">
        <v>35</v>
      </c>
      <c r="B1608" s="32" t="s">
        <v>6349</v>
      </c>
      <c r="C1608" s="31" t="s">
        <v>802</v>
      </c>
      <c r="D1608" s="31" t="s">
        <v>6350</v>
      </c>
      <c r="E1608" s="31" t="s">
        <v>6351</v>
      </c>
      <c r="F1608" s="31" t="s">
        <v>31</v>
      </c>
      <c r="G1608" s="35">
        <v>1015</v>
      </c>
      <c r="H1608" s="31">
        <v>10</v>
      </c>
      <c r="I1608" s="31">
        <v>10</v>
      </c>
      <c r="J1608" s="31" t="s">
        <v>6352</v>
      </c>
      <c r="K1608" s="31" t="s">
        <v>33</v>
      </c>
      <c r="L1608" s="31" t="s">
        <v>34</v>
      </c>
      <c r="M1608" s="31">
        <v>383</v>
      </c>
      <c r="N1608" s="31">
        <v>2024</v>
      </c>
      <c r="O1608" s="31">
        <v>401</v>
      </c>
      <c r="P1608" s="31"/>
      <c r="Q1608" s="31"/>
      <c r="R1608" s="33" t="s">
        <v>6353</v>
      </c>
      <c r="S1608" s="34" t="str">
        <f>HYPERLINK("http://www.cnpol.ru/covers/21366.jpg","фото на сайте")</f>
        <v>фото на сайте</v>
      </c>
    </row>
    <row r="1609" spans="1:19" ht="50.1" customHeight="1">
      <c r="A1609" s="31"/>
      <c r="B1609" s="32" t="s">
        <v>6354</v>
      </c>
      <c r="C1609" s="31" t="s">
        <v>5199</v>
      </c>
      <c r="D1609" s="31" t="s">
        <v>6355</v>
      </c>
      <c r="E1609" s="31" t="s">
        <v>6356</v>
      </c>
      <c r="F1609" s="31" t="s">
        <v>31</v>
      </c>
      <c r="G1609" s="31">
        <v>539</v>
      </c>
      <c r="H1609" s="31">
        <v>10</v>
      </c>
      <c r="I1609" s="31">
        <v>16</v>
      </c>
      <c r="J1609" s="31" t="s">
        <v>6357</v>
      </c>
      <c r="K1609" s="31" t="s">
        <v>33</v>
      </c>
      <c r="L1609" s="31" t="s">
        <v>34</v>
      </c>
      <c r="M1609" s="31">
        <v>320</v>
      </c>
      <c r="N1609" s="31">
        <v>2021</v>
      </c>
      <c r="O1609" s="31">
        <v>270</v>
      </c>
      <c r="P1609" s="31"/>
      <c r="Q1609" s="31"/>
      <c r="R1609" s="33"/>
      <c r="S1609" s="34" t="str">
        <f>HYPERLINK("http://www.cnpol.ru/covers/19687.jpg","фото на сайте")</f>
        <v>фото на сайте</v>
      </c>
    </row>
    <row r="1610" spans="1:19" ht="50.1" customHeight="1">
      <c r="A1610" s="31"/>
      <c r="B1610" s="32" t="s">
        <v>6358</v>
      </c>
      <c r="C1610" s="31" t="s">
        <v>37</v>
      </c>
      <c r="D1610" s="31" t="s">
        <v>3316</v>
      </c>
      <c r="E1610" s="31" t="s">
        <v>6359</v>
      </c>
      <c r="F1610" s="31" t="s">
        <v>31</v>
      </c>
      <c r="G1610" s="31">
        <v>575</v>
      </c>
      <c r="H1610" s="31">
        <v>10</v>
      </c>
      <c r="I1610" s="31">
        <v>10</v>
      </c>
      <c r="J1610" s="31" t="s">
        <v>6360</v>
      </c>
      <c r="K1610" s="31" t="s">
        <v>33</v>
      </c>
      <c r="L1610" s="31" t="s">
        <v>34</v>
      </c>
      <c r="M1610" s="31">
        <v>448</v>
      </c>
      <c r="N1610" s="31">
        <v>2022</v>
      </c>
      <c r="O1610" s="31">
        <v>348</v>
      </c>
      <c r="P1610" s="31"/>
      <c r="Q1610" s="31"/>
      <c r="R1610" s="33"/>
      <c r="S1610" s="34" t="str">
        <f>HYPERLINK("http://www.cnpol.ru/covers/20142.jpg","фото на сайте")</f>
        <v>фото на сайте</v>
      </c>
    </row>
    <row r="1611" spans="1:19" ht="50.1" customHeight="1">
      <c r="A1611" s="31"/>
      <c r="B1611" s="32" t="s">
        <v>6361</v>
      </c>
      <c r="C1611" s="31" t="s">
        <v>37</v>
      </c>
      <c r="D1611" s="31" t="s">
        <v>6362</v>
      </c>
      <c r="E1611" s="31" t="s">
        <v>6363</v>
      </c>
      <c r="F1611" s="31" t="s">
        <v>31</v>
      </c>
      <c r="G1611" s="31">
        <v>468</v>
      </c>
      <c r="H1611" s="31">
        <v>10</v>
      </c>
      <c r="I1611" s="31">
        <v>14</v>
      </c>
      <c r="J1611" s="31" t="s">
        <v>6364</v>
      </c>
      <c r="K1611" s="31" t="s">
        <v>33</v>
      </c>
      <c r="L1611" s="31" t="s">
        <v>34</v>
      </c>
      <c r="M1611" s="31">
        <v>288</v>
      </c>
      <c r="N1611" s="31">
        <v>2021</v>
      </c>
      <c r="O1611" s="31">
        <v>268</v>
      </c>
      <c r="P1611" s="31"/>
      <c r="Q1611" s="31"/>
      <c r="R1611" s="33"/>
      <c r="S1611" s="34" t="str">
        <f>HYPERLINK("http://www.cnpol.ru/covers/19471.jpg","фото на сайте")</f>
        <v>фото на сайте</v>
      </c>
    </row>
    <row r="1612" spans="1:19" ht="50.1" customHeight="1">
      <c r="A1612" s="31" t="s">
        <v>35</v>
      </c>
      <c r="B1612" s="32" t="s">
        <v>6365</v>
      </c>
      <c r="C1612" s="31" t="s">
        <v>37</v>
      </c>
      <c r="D1612" s="31" t="s">
        <v>6366</v>
      </c>
      <c r="E1612" s="31" t="s">
        <v>6367</v>
      </c>
      <c r="F1612" s="31" t="s">
        <v>31</v>
      </c>
      <c r="G1612" s="31">
        <v>851</v>
      </c>
      <c r="H1612" s="31">
        <v>10</v>
      </c>
      <c r="I1612" s="31">
        <v>14</v>
      </c>
      <c r="J1612" s="31" t="s">
        <v>6368</v>
      </c>
      <c r="K1612" s="31" t="s">
        <v>33</v>
      </c>
      <c r="L1612" s="31" t="s">
        <v>34</v>
      </c>
      <c r="M1612" s="31">
        <v>288</v>
      </c>
      <c r="N1612" s="31">
        <v>2024</v>
      </c>
      <c r="O1612" s="31">
        <v>336</v>
      </c>
      <c r="P1612" s="31"/>
      <c r="Q1612" s="31"/>
      <c r="R1612" s="33" t="s">
        <v>6369</v>
      </c>
      <c r="S1612" s="34" t="str">
        <f>HYPERLINK("http://www.cnpol.ru/covers/21011.jpg","фото на сайте")</f>
        <v>фото на сайте</v>
      </c>
    </row>
    <row r="1613" spans="1:19" ht="50.1" customHeight="1">
      <c r="A1613" s="31" t="s">
        <v>43</v>
      </c>
      <c r="B1613" s="32" t="s">
        <v>6370</v>
      </c>
      <c r="C1613" s="31" t="s">
        <v>1050</v>
      </c>
      <c r="D1613" s="31" t="s">
        <v>6371</v>
      </c>
      <c r="E1613" s="31" t="s">
        <v>6372</v>
      </c>
      <c r="F1613" s="31" t="s">
        <v>31</v>
      </c>
      <c r="G1613" s="31">
        <v>386</v>
      </c>
      <c r="H1613" s="31">
        <v>10</v>
      </c>
      <c r="I1613" s="31">
        <v>22</v>
      </c>
      <c r="J1613" s="31" t="s">
        <v>6373</v>
      </c>
      <c r="K1613" s="31" t="s">
        <v>33</v>
      </c>
      <c r="L1613" s="31" t="s">
        <v>210</v>
      </c>
      <c r="M1613" s="31">
        <v>221</v>
      </c>
      <c r="N1613" s="31">
        <v>2025</v>
      </c>
      <c r="O1613" s="31">
        <v>144</v>
      </c>
      <c r="P1613" s="31"/>
      <c r="Q1613" s="31"/>
      <c r="R1613" s="33" t="s">
        <v>6374</v>
      </c>
      <c r="S1613" s="34" t="str">
        <f>HYPERLINK("http://www.cnpol.ru/covers/21718.jpg","фото на сайте")</f>
        <v>фото на сайте</v>
      </c>
    </row>
    <row r="1614" spans="1:19" ht="50.1" customHeight="1">
      <c r="A1614" s="31" t="s">
        <v>35</v>
      </c>
      <c r="B1614" s="32" t="s">
        <v>6375</v>
      </c>
      <c r="C1614" s="31" t="s">
        <v>37</v>
      </c>
      <c r="D1614" s="31" t="s">
        <v>2035</v>
      </c>
      <c r="E1614" s="31" t="s">
        <v>6376</v>
      </c>
      <c r="F1614" s="31" t="s">
        <v>31</v>
      </c>
      <c r="G1614" s="31">
        <v>851</v>
      </c>
      <c r="H1614" s="31">
        <v>10</v>
      </c>
      <c r="I1614" s="31">
        <v>7</v>
      </c>
      <c r="J1614" s="31" t="s">
        <v>6377</v>
      </c>
      <c r="K1614" s="31" t="s">
        <v>33</v>
      </c>
      <c r="L1614" s="31" t="s">
        <v>34</v>
      </c>
      <c r="M1614" s="31">
        <v>287</v>
      </c>
      <c r="N1614" s="31">
        <v>2025</v>
      </c>
      <c r="O1614" s="31">
        <v>256</v>
      </c>
      <c r="P1614" s="31"/>
      <c r="Q1614" s="31"/>
      <c r="R1614" s="33" t="s">
        <v>6378</v>
      </c>
      <c r="S1614" s="34" t="str">
        <f>HYPERLINK("http://www.cnpol.ru/covers/21739.jpg","фото на сайте")</f>
        <v>фото на сайте</v>
      </c>
    </row>
    <row r="1615" spans="1:19" ht="50.1" customHeight="1">
      <c r="A1615" s="31" t="s">
        <v>35</v>
      </c>
      <c r="B1615" s="32" t="s">
        <v>6379</v>
      </c>
      <c r="C1615" s="31" t="s">
        <v>37</v>
      </c>
      <c r="D1615" s="31" t="s">
        <v>6380</v>
      </c>
      <c r="E1615" s="31" t="s">
        <v>6381</v>
      </c>
      <c r="F1615" s="31" t="s">
        <v>31</v>
      </c>
      <c r="G1615" s="35">
        <v>2320</v>
      </c>
      <c r="H1615" s="31">
        <v>10</v>
      </c>
      <c r="I1615" s="31">
        <v>3</v>
      </c>
      <c r="J1615" s="31" t="s">
        <v>6382</v>
      </c>
      <c r="K1615" s="31" t="s">
        <v>147</v>
      </c>
      <c r="L1615" s="31" t="s">
        <v>34</v>
      </c>
      <c r="M1615" s="31">
        <v>783</v>
      </c>
      <c r="N1615" s="31">
        <v>2025</v>
      </c>
      <c r="O1615" s="31">
        <v>1029</v>
      </c>
      <c r="P1615" s="31"/>
      <c r="Q1615" s="31"/>
      <c r="R1615" s="33" t="s">
        <v>6383</v>
      </c>
      <c r="S1615" s="34" t="str">
        <f>HYPERLINK("http://www.cnpol.ru/covers/21772.jpg","фото на сайте")</f>
        <v>фото на сайте</v>
      </c>
    </row>
    <row r="1616" spans="1:19" ht="50.1" customHeight="1">
      <c r="A1616" s="31"/>
      <c r="B1616" s="32" t="s">
        <v>6384</v>
      </c>
      <c r="C1616" s="31" t="s">
        <v>5199</v>
      </c>
      <c r="D1616" s="31" t="s">
        <v>6385</v>
      </c>
      <c r="E1616" s="31" t="s">
        <v>6386</v>
      </c>
      <c r="F1616" s="31" t="s">
        <v>31</v>
      </c>
      <c r="G1616" s="31">
        <v>539</v>
      </c>
      <c r="H1616" s="31">
        <v>10</v>
      </c>
      <c r="I1616" s="31">
        <v>12</v>
      </c>
      <c r="J1616" s="31" t="s">
        <v>6387</v>
      </c>
      <c r="K1616" s="31" t="s">
        <v>1159</v>
      </c>
      <c r="L1616" s="31" t="s">
        <v>34</v>
      </c>
      <c r="M1616" s="31">
        <v>319</v>
      </c>
      <c r="N1616" s="31">
        <v>2021</v>
      </c>
      <c r="O1616" s="31">
        <v>270</v>
      </c>
      <c r="P1616" s="31"/>
      <c r="Q1616" s="31"/>
      <c r="R1616" s="33"/>
      <c r="S1616" s="34" t="str">
        <f>HYPERLINK("http://www.cnpol.ru/covers/19955.jpg","фото на сайте")</f>
        <v>фото на сайте</v>
      </c>
    </row>
    <row r="1617" spans="1:19" ht="50.1" customHeight="1">
      <c r="A1617" s="31"/>
      <c r="B1617" s="32" t="s">
        <v>6388</v>
      </c>
      <c r="C1617" s="31" t="s">
        <v>779</v>
      </c>
      <c r="D1617" s="31" t="s">
        <v>6389</v>
      </c>
      <c r="E1617" s="31" t="s">
        <v>6390</v>
      </c>
      <c r="F1617" s="31" t="s">
        <v>31</v>
      </c>
      <c r="G1617" s="31">
        <v>887</v>
      </c>
      <c r="H1617" s="31">
        <v>10</v>
      </c>
      <c r="I1617" s="31">
        <v>12</v>
      </c>
      <c r="J1617" s="31" t="s">
        <v>6391</v>
      </c>
      <c r="K1617" s="31" t="s">
        <v>33</v>
      </c>
      <c r="L1617" s="31" t="s">
        <v>34</v>
      </c>
      <c r="M1617" s="31">
        <v>299</v>
      </c>
      <c r="N1617" s="31">
        <v>2023</v>
      </c>
      <c r="O1617" s="31">
        <v>358</v>
      </c>
      <c r="P1617" s="31"/>
      <c r="Q1617" s="31"/>
      <c r="R1617" s="33" t="s">
        <v>6392</v>
      </c>
      <c r="S1617" s="34" t="str">
        <f>HYPERLINK("http://www.cnpol.ru/covers/20745.jpg","фото на сайте")</f>
        <v>фото на сайте</v>
      </c>
    </row>
    <row r="1618" spans="1:19" ht="50.1" customHeight="1">
      <c r="A1618" s="31"/>
      <c r="B1618" s="32" t="s">
        <v>6393</v>
      </c>
      <c r="C1618" s="31" t="s">
        <v>5199</v>
      </c>
      <c r="D1618" s="31" t="s">
        <v>6394</v>
      </c>
      <c r="E1618" s="31" t="s">
        <v>6395</v>
      </c>
      <c r="F1618" s="31" t="s">
        <v>31</v>
      </c>
      <c r="G1618" s="31">
        <v>539</v>
      </c>
      <c r="H1618" s="31">
        <v>10</v>
      </c>
      <c r="I1618" s="31">
        <v>16</v>
      </c>
      <c r="J1618" s="31" t="s">
        <v>6396</v>
      </c>
      <c r="K1618" s="31" t="s">
        <v>158</v>
      </c>
      <c r="L1618" s="31" t="s">
        <v>34</v>
      </c>
      <c r="M1618" s="31">
        <v>320</v>
      </c>
      <c r="N1618" s="31">
        <v>2020</v>
      </c>
      <c r="O1618" s="31">
        <v>276</v>
      </c>
      <c r="P1618" s="31"/>
      <c r="Q1618" s="31"/>
      <c r="R1618" s="33"/>
      <c r="S1618" s="34" t="str">
        <f>HYPERLINK("http://www.cnpol.ru/covers/19160.jpg","фото на сайте")</f>
        <v>фото на сайте</v>
      </c>
    </row>
    <row r="1619" spans="1:19" ht="50.1" customHeight="1">
      <c r="A1619" s="31" t="s">
        <v>35</v>
      </c>
      <c r="B1619" s="32" t="s">
        <v>6397</v>
      </c>
      <c r="C1619" s="31" t="s">
        <v>863</v>
      </c>
      <c r="D1619" s="31" t="s">
        <v>6398</v>
      </c>
      <c r="E1619" s="31" t="s">
        <v>6399</v>
      </c>
      <c r="F1619" s="31" t="s">
        <v>31</v>
      </c>
      <c r="G1619" s="31">
        <v>888</v>
      </c>
      <c r="H1619" s="31">
        <v>10</v>
      </c>
      <c r="I1619" s="31">
        <v>6</v>
      </c>
      <c r="J1619" s="31" t="s">
        <v>6400</v>
      </c>
      <c r="K1619" s="31" t="s">
        <v>41</v>
      </c>
      <c r="L1619" s="31" t="s">
        <v>34</v>
      </c>
      <c r="M1619" s="31">
        <v>575</v>
      </c>
      <c r="N1619" s="31">
        <v>2025</v>
      </c>
      <c r="O1619" s="31">
        <v>638</v>
      </c>
      <c r="P1619" s="31"/>
      <c r="Q1619" s="31"/>
      <c r="R1619" s="33" t="s">
        <v>6401</v>
      </c>
      <c r="S1619" s="34" t="str">
        <f>HYPERLINK("http://www.cnpol.ru/covers/21461.jpg","фото на сайте")</f>
        <v>фото на сайте</v>
      </c>
    </row>
    <row r="1620" spans="1:19" ht="50.1" customHeight="1">
      <c r="A1620" s="31" t="s">
        <v>35</v>
      </c>
      <c r="B1620" s="32" t="s">
        <v>6402</v>
      </c>
      <c r="C1620" s="31" t="s">
        <v>45</v>
      </c>
      <c r="D1620" s="31" t="s">
        <v>5743</v>
      </c>
      <c r="E1620" s="31" t="s">
        <v>6403</v>
      </c>
      <c r="F1620" s="31" t="s">
        <v>31</v>
      </c>
      <c r="G1620" s="35">
        <v>1503</v>
      </c>
      <c r="H1620" s="31">
        <v>10</v>
      </c>
      <c r="I1620" s="31">
        <v>5</v>
      </c>
      <c r="J1620" s="31" t="s">
        <v>6404</v>
      </c>
      <c r="K1620" s="31" t="s">
        <v>33</v>
      </c>
      <c r="L1620" s="31" t="s">
        <v>34</v>
      </c>
      <c r="M1620" s="31">
        <v>639</v>
      </c>
      <c r="N1620" s="31">
        <v>2025</v>
      </c>
      <c r="O1620" s="31">
        <v>634</v>
      </c>
      <c r="P1620" s="31"/>
      <c r="Q1620" s="31"/>
      <c r="R1620" s="33" t="s">
        <v>6405</v>
      </c>
      <c r="S1620" s="34" t="str">
        <f>HYPERLINK("http://www.cnpol.ru/covers/21470.jpg","фото на сайте")</f>
        <v>фото на сайте</v>
      </c>
    </row>
    <row r="1621" spans="1:19" ht="50.1" customHeight="1">
      <c r="A1621" s="31" t="s">
        <v>35</v>
      </c>
      <c r="B1621" s="32" t="s">
        <v>6406</v>
      </c>
      <c r="C1621" s="31" t="s">
        <v>1301</v>
      </c>
      <c r="D1621" s="31" t="s">
        <v>6407</v>
      </c>
      <c r="E1621" s="31" t="s">
        <v>6408</v>
      </c>
      <c r="F1621" s="31" t="s">
        <v>31</v>
      </c>
      <c r="G1621" s="31">
        <v>855</v>
      </c>
      <c r="H1621" s="31">
        <v>10</v>
      </c>
      <c r="I1621" s="31">
        <v>14</v>
      </c>
      <c r="J1621" s="31" t="s">
        <v>6409</v>
      </c>
      <c r="K1621" s="31" t="s">
        <v>33</v>
      </c>
      <c r="L1621" s="31" t="s">
        <v>34</v>
      </c>
      <c r="M1621" s="31">
        <v>287</v>
      </c>
      <c r="N1621" s="31">
        <v>2025</v>
      </c>
      <c r="O1621" s="31">
        <v>370</v>
      </c>
      <c r="P1621" s="31"/>
      <c r="Q1621" s="31"/>
      <c r="R1621" s="33" t="s">
        <v>6410</v>
      </c>
      <c r="S1621" s="34" t="str">
        <f>HYPERLINK("http://www.cnpol.ru/covers/21499.jpg","фото на сайте")</f>
        <v>фото на сайте</v>
      </c>
    </row>
    <row r="1622" spans="1:19" ht="50.1" customHeight="1">
      <c r="A1622" s="31"/>
      <c r="B1622" s="32" t="s">
        <v>6411</v>
      </c>
      <c r="C1622" s="31" t="s">
        <v>5199</v>
      </c>
      <c r="D1622" s="31" t="s">
        <v>6412</v>
      </c>
      <c r="E1622" s="31" t="s">
        <v>6413</v>
      </c>
      <c r="F1622" s="31" t="s">
        <v>31</v>
      </c>
      <c r="G1622" s="31">
        <v>539</v>
      </c>
      <c r="H1622" s="31">
        <v>10</v>
      </c>
      <c r="I1622" s="31">
        <v>16</v>
      </c>
      <c r="J1622" s="31" t="s">
        <v>6414</v>
      </c>
      <c r="K1622" s="31" t="s">
        <v>158</v>
      </c>
      <c r="L1622" s="31" t="s">
        <v>34</v>
      </c>
      <c r="M1622" s="31">
        <v>352</v>
      </c>
      <c r="N1622" s="31">
        <v>2020</v>
      </c>
      <c r="O1622" s="31">
        <v>248</v>
      </c>
      <c r="P1622" s="31"/>
      <c r="Q1622" s="31"/>
      <c r="R1622" s="33"/>
      <c r="S1622" s="34" t="str">
        <f>HYPERLINK("http://www.cnpol.ru/covers/19430.jpg","фото на сайте")</f>
        <v>фото на сайте</v>
      </c>
    </row>
    <row r="1623" spans="1:19" ht="50.1" customHeight="1">
      <c r="A1623" s="31"/>
      <c r="B1623" s="32" t="s">
        <v>6415</v>
      </c>
      <c r="C1623" s="31" t="s">
        <v>5199</v>
      </c>
      <c r="D1623" s="31" t="s">
        <v>6416</v>
      </c>
      <c r="E1623" s="31" t="s">
        <v>6417</v>
      </c>
      <c r="F1623" s="31" t="s">
        <v>31</v>
      </c>
      <c r="G1623" s="31">
        <v>539</v>
      </c>
      <c r="H1623" s="31">
        <v>10</v>
      </c>
      <c r="I1623" s="31">
        <v>14</v>
      </c>
      <c r="J1623" s="31" t="s">
        <v>6418</v>
      </c>
      <c r="K1623" s="31" t="s">
        <v>158</v>
      </c>
      <c r="L1623" s="31" t="s">
        <v>34</v>
      </c>
      <c r="M1623" s="31">
        <v>384</v>
      </c>
      <c r="N1623" s="31">
        <v>2020</v>
      </c>
      <c r="O1623" s="31">
        <v>302</v>
      </c>
      <c r="P1623" s="31"/>
      <c r="Q1623" s="31"/>
      <c r="R1623" s="33"/>
      <c r="S1623" s="34" t="str">
        <f>HYPERLINK("http://www.cnpol.ru/covers/19258.jpg","фото на сайте")</f>
        <v>фото на сайте</v>
      </c>
    </row>
    <row r="1624" spans="1:19" ht="50.1" customHeight="1">
      <c r="A1624" s="31"/>
      <c r="B1624" s="32" t="s">
        <v>6419</v>
      </c>
      <c r="C1624" s="31" t="s">
        <v>37</v>
      </c>
      <c r="D1624" s="31" t="s">
        <v>6420</v>
      </c>
      <c r="E1624" s="31" t="s">
        <v>6421</v>
      </c>
      <c r="F1624" s="31">
        <v>1</v>
      </c>
      <c r="G1624" s="31">
        <v>917</v>
      </c>
      <c r="H1624" s="31">
        <v>10</v>
      </c>
      <c r="I1624" s="31">
        <v>8</v>
      </c>
      <c r="J1624" s="31" t="s">
        <v>6422</v>
      </c>
      <c r="K1624" s="31" t="s">
        <v>41</v>
      </c>
      <c r="L1624" s="31" t="s">
        <v>34</v>
      </c>
      <c r="M1624" s="31">
        <v>687</v>
      </c>
      <c r="N1624" s="31">
        <v>2024</v>
      </c>
      <c r="O1624" s="31">
        <v>708</v>
      </c>
      <c r="P1624" s="31"/>
      <c r="Q1624" s="31"/>
      <c r="R1624" s="33" t="s">
        <v>6423</v>
      </c>
      <c r="S1624" s="34" t="str">
        <f>HYPERLINK("http://www.cnpol.ru/covers/20979.jpg","фото на сайте")</f>
        <v>фото на сайте</v>
      </c>
    </row>
    <row r="1625" spans="1:19" ht="50.1" customHeight="1">
      <c r="A1625" s="31"/>
      <c r="B1625" s="32" t="s">
        <v>6424</v>
      </c>
      <c r="C1625" s="31" t="s">
        <v>37</v>
      </c>
      <c r="D1625" s="31" t="s">
        <v>6420</v>
      </c>
      <c r="E1625" s="31" t="s">
        <v>6425</v>
      </c>
      <c r="F1625" s="31">
        <v>2</v>
      </c>
      <c r="G1625" s="31">
        <v>733</v>
      </c>
      <c r="H1625" s="31">
        <v>10</v>
      </c>
      <c r="I1625" s="31">
        <v>10</v>
      </c>
      <c r="J1625" s="31" t="s">
        <v>6426</v>
      </c>
      <c r="K1625" s="31" t="s">
        <v>41</v>
      </c>
      <c r="L1625" s="31" t="s">
        <v>34</v>
      </c>
      <c r="M1625" s="31">
        <v>479</v>
      </c>
      <c r="N1625" s="31">
        <v>2024</v>
      </c>
      <c r="O1625" s="31">
        <v>523</v>
      </c>
      <c r="P1625" s="31"/>
      <c r="Q1625" s="31"/>
      <c r="R1625" s="33" t="s">
        <v>6427</v>
      </c>
      <c r="S1625" s="34" t="str">
        <f>HYPERLINK("http://www.cnpol.ru/covers/20980.jpg","фото на сайте")</f>
        <v>фото на сайте</v>
      </c>
    </row>
    <row r="1626" spans="1:19" ht="50.1" customHeight="1">
      <c r="A1626" s="31"/>
      <c r="B1626" s="32" t="s">
        <v>6428</v>
      </c>
      <c r="C1626" s="31" t="s">
        <v>5199</v>
      </c>
      <c r="D1626" s="31" t="s">
        <v>6429</v>
      </c>
      <c r="E1626" s="31" t="s">
        <v>6430</v>
      </c>
      <c r="F1626" s="31" t="s">
        <v>31</v>
      </c>
      <c r="G1626" s="31">
        <v>539</v>
      </c>
      <c r="H1626" s="31">
        <v>10</v>
      </c>
      <c r="I1626" s="31">
        <v>16</v>
      </c>
      <c r="J1626" s="31" t="s">
        <v>6431</v>
      </c>
      <c r="K1626" s="31" t="s">
        <v>158</v>
      </c>
      <c r="L1626" s="31" t="s">
        <v>34</v>
      </c>
      <c r="M1626" s="31">
        <v>319</v>
      </c>
      <c r="N1626" s="31">
        <v>2022</v>
      </c>
      <c r="O1626" s="31">
        <v>255</v>
      </c>
      <c r="P1626" s="31"/>
      <c r="Q1626" s="31"/>
      <c r="R1626" s="33"/>
      <c r="S1626" s="34" t="str">
        <f>HYPERLINK("http://www.cnpol.ru/covers/20113.jpg","фото на сайте")</f>
        <v>фото на сайте</v>
      </c>
    </row>
    <row r="1627" spans="1:19" ht="50.1" customHeight="1">
      <c r="A1627" s="31" t="s">
        <v>35</v>
      </c>
      <c r="B1627" s="32" t="s">
        <v>6432</v>
      </c>
      <c r="C1627" s="31" t="s">
        <v>37</v>
      </c>
      <c r="D1627" s="31" t="s">
        <v>6433</v>
      </c>
      <c r="E1627" s="31" t="s">
        <v>6434</v>
      </c>
      <c r="F1627" s="31" t="s">
        <v>31</v>
      </c>
      <c r="G1627" s="35">
        <v>1038</v>
      </c>
      <c r="H1627" s="31">
        <v>10</v>
      </c>
      <c r="I1627" s="31">
        <v>10</v>
      </c>
      <c r="J1627" s="31" t="s">
        <v>6435</v>
      </c>
      <c r="K1627" s="31" t="s">
        <v>33</v>
      </c>
      <c r="L1627" s="31" t="s">
        <v>34</v>
      </c>
      <c r="M1627" s="31">
        <v>413</v>
      </c>
      <c r="N1627" s="31">
        <v>2024</v>
      </c>
      <c r="O1627" s="31">
        <v>459</v>
      </c>
      <c r="P1627" s="31"/>
      <c r="Q1627" s="31"/>
      <c r="R1627" s="33" t="s">
        <v>6436</v>
      </c>
      <c r="S1627" s="34" t="str">
        <f>HYPERLINK("http://www.cnpol.ru/covers/21196.jpg","фото на сайте")</f>
        <v>фото на сайте</v>
      </c>
    </row>
    <row r="1628" spans="1:19" ht="50.1" customHeight="1">
      <c r="A1628" s="31" t="s">
        <v>43</v>
      </c>
      <c r="B1628" s="32" t="s">
        <v>6437</v>
      </c>
      <c r="C1628" s="31" t="s">
        <v>37</v>
      </c>
      <c r="D1628" s="31" t="s">
        <v>6438</v>
      </c>
      <c r="E1628" s="31" t="s">
        <v>6439</v>
      </c>
      <c r="F1628" s="31" t="s">
        <v>31</v>
      </c>
      <c r="G1628" s="35">
        <v>1076</v>
      </c>
      <c r="H1628" s="31">
        <v>10</v>
      </c>
      <c r="I1628" s="31">
        <v>10</v>
      </c>
      <c r="J1628" s="31" t="s">
        <v>6440</v>
      </c>
      <c r="K1628" s="31" t="s">
        <v>33</v>
      </c>
      <c r="L1628" s="31" t="s">
        <v>34</v>
      </c>
      <c r="M1628" s="31">
        <v>383</v>
      </c>
      <c r="N1628" s="31">
        <v>2024</v>
      </c>
      <c r="O1628" s="31">
        <v>350</v>
      </c>
      <c r="P1628" s="31"/>
      <c r="Q1628" s="31"/>
      <c r="R1628" s="33" t="s">
        <v>6441</v>
      </c>
      <c r="S1628" s="34" t="str">
        <f>HYPERLINK("http://www.cnpol.ru/covers/21303.jpg","фото на сайте")</f>
        <v>фото на сайте</v>
      </c>
    </row>
    <row r="1629" spans="1:19" ht="50.1" customHeight="1">
      <c r="A1629" s="31" t="s">
        <v>43</v>
      </c>
      <c r="B1629" s="32" t="s">
        <v>6442</v>
      </c>
      <c r="C1629" s="31" t="s">
        <v>143</v>
      </c>
      <c r="D1629" s="31" t="s">
        <v>6443</v>
      </c>
      <c r="E1629" s="31" t="s">
        <v>6444</v>
      </c>
      <c r="F1629" s="31" t="s">
        <v>31</v>
      </c>
      <c r="G1629" s="35">
        <v>1588</v>
      </c>
      <c r="H1629" s="31">
        <v>10</v>
      </c>
      <c r="I1629" s="31">
        <v>6</v>
      </c>
      <c r="J1629" s="31" t="s">
        <v>6445</v>
      </c>
      <c r="K1629" s="31" t="s">
        <v>41</v>
      </c>
      <c r="L1629" s="31" t="s">
        <v>34</v>
      </c>
      <c r="M1629" s="31">
        <v>655</v>
      </c>
      <c r="N1629" s="31">
        <v>2024</v>
      </c>
      <c r="O1629" s="31">
        <v>510</v>
      </c>
      <c r="P1629" s="31"/>
      <c r="Q1629" s="31"/>
      <c r="R1629" s="33" t="s">
        <v>6446</v>
      </c>
      <c r="S1629" s="34" t="str">
        <f>HYPERLINK("http://www.cnpol.ru/covers/21253.jpg","фото на сайте")</f>
        <v>фото на сайте</v>
      </c>
    </row>
    <row r="1630" spans="1:19" ht="50.1" customHeight="1">
      <c r="A1630" s="31"/>
      <c r="B1630" s="32" t="s">
        <v>6447</v>
      </c>
      <c r="C1630" s="31" t="s">
        <v>143</v>
      </c>
      <c r="D1630" s="31" t="s">
        <v>6443</v>
      </c>
      <c r="E1630" s="31" t="s">
        <v>6448</v>
      </c>
      <c r="F1630" s="31" t="s">
        <v>31</v>
      </c>
      <c r="G1630" s="35">
        <v>1381</v>
      </c>
      <c r="H1630" s="31">
        <v>10</v>
      </c>
      <c r="I1630" s="31">
        <v>6</v>
      </c>
      <c r="J1630" s="31" t="s">
        <v>6449</v>
      </c>
      <c r="K1630" s="31" t="s">
        <v>41</v>
      </c>
      <c r="L1630" s="31" t="s">
        <v>34</v>
      </c>
      <c r="M1630" s="31">
        <v>495</v>
      </c>
      <c r="N1630" s="31">
        <v>2022</v>
      </c>
      <c r="O1630" s="31">
        <v>550</v>
      </c>
      <c r="P1630" s="31"/>
      <c r="Q1630" s="31"/>
      <c r="R1630" s="33" t="s">
        <v>6450</v>
      </c>
      <c r="S1630" s="34" t="str">
        <f>HYPERLINK("http://www.cnpol.ru/covers/20452.jpg","фото на сайте")</f>
        <v>фото на сайте</v>
      </c>
    </row>
    <row r="1631" spans="1:19" ht="50.1" customHeight="1">
      <c r="A1631" s="31"/>
      <c r="B1631" s="32" t="s">
        <v>6451</v>
      </c>
      <c r="C1631" s="31" t="s">
        <v>143</v>
      </c>
      <c r="D1631" s="31" t="s">
        <v>6443</v>
      </c>
      <c r="E1631" s="31" t="s">
        <v>6452</v>
      </c>
      <c r="F1631" s="31" t="s">
        <v>31</v>
      </c>
      <c r="G1631" s="35">
        <v>1015</v>
      </c>
      <c r="H1631" s="31">
        <v>10</v>
      </c>
      <c r="I1631" s="31">
        <v>14</v>
      </c>
      <c r="J1631" s="31" t="s">
        <v>6453</v>
      </c>
      <c r="K1631" s="31" t="s">
        <v>41</v>
      </c>
      <c r="L1631" s="31" t="s">
        <v>34</v>
      </c>
      <c r="M1631" s="31">
        <v>319</v>
      </c>
      <c r="N1631" s="31">
        <v>2022</v>
      </c>
      <c r="O1631" s="31">
        <v>365</v>
      </c>
      <c r="P1631" s="31"/>
      <c r="Q1631" s="31"/>
      <c r="R1631" s="33" t="s">
        <v>6454</v>
      </c>
      <c r="S1631" s="34" t="str">
        <f>HYPERLINK("http://www.cnpol.ru/covers/20414.jpg","фото на сайте")</f>
        <v>фото на сайте</v>
      </c>
    </row>
    <row r="1632" spans="1:19" ht="50.1" customHeight="1">
      <c r="A1632" s="31"/>
      <c r="B1632" s="32" t="s">
        <v>6455</v>
      </c>
      <c r="C1632" s="31" t="s">
        <v>143</v>
      </c>
      <c r="D1632" s="31" t="s">
        <v>6443</v>
      </c>
      <c r="E1632" s="31" t="s">
        <v>6456</v>
      </c>
      <c r="F1632" s="31" t="s">
        <v>31</v>
      </c>
      <c r="G1632" s="35">
        <v>1503</v>
      </c>
      <c r="H1632" s="31">
        <v>10</v>
      </c>
      <c r="I1632" s="31">
        <v>8</v>
      </c>
      <c r="J1632" s="31" t="s">
        <v>6457</v>
      </c>
      <c r="K1632" s="31" t="s">
        <v>41</v>
      </c>
      <c r="L1632" s="31" t="s">
        <v>34</v>
      </c>
      <c r="M1632" s="31">
        <v>575</v>
      </c>
      <c r="N1632" s="31">
        <v>2023</v>
      </c>
      <c r="O1632" s="31">
        <v>681</v>
      </c>
      <c r="P1632" s="31"/>
      <c r="Q1632" s="31"/>
      <c r="R1632" s="33" t="s">
        <v>6458</v>
      </c>
      <c r="S1632" s="34" t="str">
        <f>HYPERLINK("http://www.cnpol.ru/covers/20795.jpg","фото на сайте")</f>
        <v>фото на сайте</v>
      </c>
    </row>
    <row r="1633" spans="1:19" ht="50.1" customHeight="1">
      <c r="A1633" s="31"/>
      <c r="B1633" s="32" t="s">
        <v>6459</v>
      </c>
      <c r="C1633" s="31" t="s">
        <v>143</v>
      </c>
      <c r="D1633" s="31" t="s">
        <v>6443</v>
      </c>
      <c r="E1633" s="31" t="s">
        <v>6460</v>
      </c>
      <c r="F1633" s="31" t="s">
        <v>31</v>
      </c>
      <c r="G1633" s="35">
        <v>1588</v>
      </c>
      <c r="H1633" s="31">
        <v>10</v>
      </c>
      <c r="I1633" s="31">
        <v>6</v>
      </c>
      <c r="J1633" s="31" t="s">
        <v>6461</v>
      </c>
      <c r="K1633" s="31" t="s">
        <v>41</v>
      </c>
      <c r="L1633" s="31" t="s">
        <v>34</v>
      </c>
      <c r="M1633" s="31">
        <v>655</v>
      </c>
      <c r="N1633" s="31">
        <v>2024</v>
      </c>
      <c r="O1633" s="31">
        <v>737</v>
      </c>
      <c r="P1633" s="31"/>
      <c r="Q1633" s="31"/>
      <c r="R1633" s="33" t="s">
        <v>6462</v>
      </c>
      <c r="S1633" s="34" t="str">
        <f>HYPERLINK("http://www.cnpol.ru/covers/20967.jpg","фото на сайте")</f>
        <v>фото на сайте</v>
      </c>
    </row>
    <row r="1634" spans="1:19" ht="50.1" customHeight="1">
      <c r="A1634" s="31" t="s">
        <v>43</v>
      </c>
      <c r="B1634" s="32" t="s">
        <v>6463</v>
      </c>
      <c r="C1634" s="31" t="s">
        <v>143</v>
      </c>
      <c r="D1634" s="31" t="s">
        <v>6443</v>
      </c>
      <c r="E1634" s="31" t="s">
        <v>6464</v>
      </c>
      <c r="F1634" s="31" t="s">
        <v>31</v>
      </c>
      <c r="G1634" s="35">
        <v>1015</v>
      </c>
      <c r="H1634" s="31">
        <v>10</v>
      </c>
      <c r="I1634" s="31">
        <v>12</v>
      </c>
      <c r="J1634" s="31" t="s">
        <v>6465</v>
      </c>
      <c r="K1634" s="31" t="s">
        <v>41</v>
      </c>
      <c r="L1634" s="31" t="s">
        <v>34</v>
      </c>
      <c r="M1634" s="31">
        <v>351</v>
      </c>
      <c r="N1634" s="31">
        <v>2024</v>
      </c>
      <c r="O1634" s="31">
        <v>454</v>
      </c>
      <c r="P1634" s="31"/>
      <c r="Q1634" s="31"/>
      <c r="R1634" s="33" t="s">
        <v>6466</v>
      </c>
      <c r="S1634" s="34" t="str">
        <f>HYPERLINK("http://www.cnpol.ru/covers/21025.jpg","фото на сайте")</f>
        <v>фото на сайте</v>
      </c>
    </row>
    <row r="1635" spans="1:19" ht="50.1" customHeight="1">
      <c r="A1635" s="31" t="s">
        <v>43</v>
      </c>
      <c r="B1635" s="32" t="s">
        <v>6467</v>
      </c>
      <c r="C1635" s="31" t="s">
        <v>143</v>
      </c>
      <c r="D1635" s="31" t="s">
        <v>6468</v>
      </c>
      <c r="E1635" s="31" t="s">
        <v>6469</v>
      </c>
      <c r="F1635" s="31" t="s">
        <v>31</v>
      </c>
      <c r="G1635" s="35">
        <v>1405</v>
      </c>
      <c r="H1635" s="31">
        <v>10</v>
      </c>
      <c r="I1635" s="31">
        <v>4</v>
      </c>
      <c r="J1635" s="31" t="s">
        <v>6470</v>
      </c>
      <c r="K1635" s="31" t="s">
        <v>33</v>
      </c>
      <c r="L1635" s="31" t="s">
        <v>34</v>
      </c>
      <c r="M1635" s="31">
        <v>671</v>
      </c>
      <c r="N1635" s="31">
        <v>2025</v>
      </c>
      <c r="O1635" s="31">
        <v>739</v>
      </c>
      <c r="P1635" s="31"/>
      <c r="Q1635" s="31"/>
      <c r="R1635" s="33" t="s">
        <v>6471</v>
      </c>
      <c r="S1635" s="34" t="str">
        <f>HYPERLINK("http://www.cnpol.ru/covers/21632.jpg","фото на сайте")</f>
        <v>фото на сайте</v>
      </c>
    </row>
    <row r="1636" spans="1:19" ht="50.1" customHeight="1">
      <c r="A1636" s="31" t="s">
        <v>43</v>
      </c>
      <c r="B1636" s="32" t="s">
        <v>6472</v>
      </c>
      <c r="C1636" s="31" t="s">
        <v>143</v>
      </c>
      <c r="D1636" s="31" t="s">
        <v>6443</v>
      </c>
      <c r="E1636" s="31" t="s">
        <v>6473</v>
      </c>
      <c r="F1636" s="31" t="s">
        <v>31</v>
      </c>
      <c r="G1636" s="35">
        <v>1015</v>
      </c>
      <c r="H1636" s="31">
        <v>10</v>
      </c>
      <c r="I1636" s="31">
        <v>10</v>
      </c>
      <c r="J1636" s="31" t="s">
        <v>6474</v>
      </c>
      <c r="K1636" s="31" t="s">
        <v>41</v>
      </c>
      <c r="L1636" s="31" t="s">
        <v>34</v>
      </c>
      <c r="M1636" s="31">
        <v>367</v>
      </c>
      <c r="N1636" s="31">
        <v>2024</v>
      </c>
      <c r="O1636" s="31">
        <v>460</v>
      </c>
      <c r="P1636" s="31"/>
      <c r="Q1636" s="31"/>
      <c r="R1636" s="33" t="s">
        <v>6475</v>
      </c>
      <c r="S1636" s="34" t="str">
        <f>HYPERLINK("http://www.cnpol.ru/covers/21066.jpg","фото на сайте")</f>
        <v>фото на сайте</v>
      </c>
    </row>
    <row r="1637" spans="1:19" ht="50.1" customHeight="1">
      <c r="A1637" s="31"/>
      <c r="B1637" s="32" t="s">
        <v>6476</v>
      </c>
      <c r="C1637" s="31" t="s">
        <v>6477</v>
      </c>
      <c r="D1637" s="31" t="s">
        <v>6478</v>
      </c>
      <c r="E1637" s="31" t="s">
        <v>6479</v>
      </c>
      <c r="F1637" s="31">
        <v>3</v>
      </c>
      <c r="G1637" s="31">
        <v>109</v>
      </c>
      <c r="H1637" s="31">
        <v>10</v>
      </c>
      <c r="I1637" s="31">
        <v>10</v>
      </c>
      <c r="J1637" s="31" t="s">
        <v>5729</v>
      </c>
      <c r="K1637" s="31" t="s">
        <v>260</v>
      </c>
      <c r="L1637" s="31" t="s">
        <v>34</v>
      </c>
      <c r="M1637" s="31" t="s">
        <v>431</v>
      </c>
      <c r="N1637" s="31" t="s">
        <v>431</v>
      </c>
      <c r="O1637" s="31" t="s">
        <v>220</v>
      </c>
      <c r="P1637" s="31"/>
      <c r="Q1637" s="31"/>
      <c r="R1637" s="33"/>
      <c r="S1637" s="34" t="str">
        <f>HYPERLINK("http://www.cnpol.ru/covers/8488.jpg","фото на сайте")</f>
        <v>фото на сайте</v>
      </c>
    </row>
    <row r="1638" spans="1:19" ht="50.1" customHeight="1">
      <c r="A1638" s="31"/>
      <c r="B1638" s="32" t="s">
        <v>6480</v>
      </c>
      <c r="C1638" s="31" t="s">
        <v>143</v>
      </c>
      <c r="D1638" s="31" t="s">
        <v>6481</v>
      </c>
      <c r="E1638" s="31" t="s">
        <v>6482</v>
      </c>
      <c r="F1638" s="31" t="s">
        <v>31</v>
      </c>
      <c r="G1638" s="31">
        <v>807</v>
      </c>
      <c r="H1638" s="31">
        <v>10</v>
      </c>
      <c r="I1638" s="31">
        <v>10</v>
      </c>
      <c r="J1638" s="31" t="s">
        <v>6483</v>
      </c>
      <c r="K1638" s="31" t="s">
        <v>33</v>
      </c>
      <c r="L1638" s="31" t="s">
        <v>34</v>
      </c>
      <c r="M1638" s="31">
        <v>479</v>
      </c>
      <c r="N1638" s="31">
        <v>2022</v>
      </c>
      <c r="O1638" s="31">
        <v>484</v>
      </c>
      <c r="P1638" s="31"/>
      <c r="Q1638" s="31"/>
      <c r="R1638" s="33"/>
      <c r="S1638" s="34" t="str">
        <f>HYPERLINK("http://www.cnpol.ru/covers/20171.jpg","фото на сайте")</f>
        <v>фото на сайте</v>
      </c>
    </row>
    <row r="1639" spans="1:19" ht="50.1" customHeight="1">
      <c r="A1639" s="31" t="s">
        <v>35</v>
      </c>
      <c r="B1639" s="32" t="s">
        <v>6484</v>
      </c>
      <c r="C1639" s="31" t="s">
        <v>143</v>
      </c>
      <c r="D1639" s="31" t="s">
        <v>6485</v>
      </c>
      <c r="E1639" s="31" t="s">
        <v>6486</v>
      </c>
      <c r="F1639" s="31">
        <v>2</v>
      </c>
      <c r="G1639" s="35">
        <v>1442</v>
      </c>
      <c r="H1639" s="31">
        <v>10</v>
      </c>
      <c r="I1639" s="31">
        <v>5</v>
      </c>
      <c r="J1639" s="31" t="s">
        <v>6487</v>
      </c>
      <c r="K1639" s="31" t="s">
        <v>33</v>
      </c>
      <c r="L1639" s="31" t="s">
        <v>34</v>
      </c>
      <c r="M1639" s="31">
        <v>639</v>
      </c>
      <c r="N1639" s="31">
        <v>2025</v>
      </c>
      <c r="O1639" s="31">
        <v>501</v>
      </c>
      <c r="P1639" s="31"/>
      <c r="Q1639" s="31"/>
      <c r="R1639" s="33" t="s">
        <v>6488</v>
      </c>
      <c r="S1639" s="34" t="str">
        <f>HYPERLINK("http://www.cnpol.ru/covers/21626.jpg","фото на сайте")</f>
        <v>фото на сайте</v>
      </c>
    </row>
    <row r="1640" spans="1:19" ht="50.1" customHeight="1">
      <c r="A1640" s="31" t="s">
        <v>35</v>
      </c>
      <c r="B1640" s="32" t="s">
        <v>6489</v>
      </c>
      <c r="C1640" s="31" t="s">
        <v>143</v>
      </c>
      <c r="D1640" s="31" t="s">
        <v>6485</v>
      </c>
      <c r="E1640" s="31" t="s">
        <v>6490</v>
      </c>
      <c r="F1640" s="31">
        <v>1</v>
      </c>
      <c r="G1640" s="35">
        <v>1455</v>
      </c>
      <c r="H1640" s="31">
        <v>10</v>
      </c>
      <c r="I1640" s="31">
        <v>4</v>
      </c>
      <c r="J1640" s="31" t="s">
        <v>6491</v>
      </c>
      <c r="K1640" s="31" t="s">
        <v>1159</v>
      </c>
      <c r="L1640" s="31" t="s">
        <v>34</v>
      </c>
      <c r="M1640" s="31">
        <v>575</v>
      </c>
      <c r="N1640" s="31">
        <v>2025</v>
      </c>
      <c r="O1640" s="31">
        <v>358</v>
      </c>
      <c r="P1640" s="31"/>
      <c r="Q1640" s="31"/>
      <c r="R1640" s="33" t="s">
        <v>6492</v>
      </c>
      <c r="S1640" s="34" t="str">
        <f>HYPERLINK("http://www.cnpol.ru/covers/21597.jpg","фото на сайте")</f>
        <v>фото на сайте</v>
      </c>
    </row>
    <row r="1641" spans="1:19" ht="50.1" customHeight="1">
      <c r="A1641" s="31" t="s">
        <v>35</v>
      </c>
      <c r="B1641" s="32" t="s">
        <v>6493</v>
      </c>
      <c r="C1641" s="31" t="s">
        <v>6246</v>
      </c>
      <c r="D1641" s="31" t="s">
        <v>6327</v>
      </c>
      <c r="E1641" s="31" t="s">
        <v>6494</v>
      </c>
      <c r="F1641" s="31" t="s">
        <v>31</v>
      </c>
      <c r="G1641" s="35">
        <v>1310</v>
      </c>
      <c r="H1641" s="31">
        <v>10</v>
      </c>
      <c r="I1641" s="31">
        <v>4</v>
      </c>
      <c r="J1641" s="31" t="s">
        <v>6495</v>
      </c>
      <c r="K1641" s="31" t="s">
        <v>41</v>
      </c>
      <c r="L1641" s="31" t="s">
        <v>34</v>
      </c>
      <c r="M1641" s="31">
        <v>523</v>
      </c>
      <c r="N1641" s="31">
        <v>2025</v>
      </c>
      <c r="O1641" s="31" t="s">
        <v>220</v>
      </c>
      <c r="P1641" s="31"/>
      <c r="Q1641" s="31"/>
      <c r="R1641" s="33" t="s">
        <v>6496</v>
      </c>
      <c r="S1641" s="34" t="str">
        <f>HYPERLINK("http://www.cnpol.ru/covers/21814.jpg","фото на сайте")</f>
        <v>фото на сайте</v>
      </c>
    </row>
    <row r="1642" spans="1:19" ht="50.1" customHeight="1">
      <c r="A1642" s="31"/>
      <c r="B1642" s="32" t="s">
        <v>6497</v>
      </c>
      <c r="C1642" s="31" t="s">
        <v>6498</v>
      </c>
      <c r="D1642" s="31" t="s">
        <v>4853</v>
      </c>
      <c r="E1642" s="31" t="s">
        <v>6499</v>
      </c>
      <c r="F1642" s="31">
        <v>2</v>
      </c>
      <c r="G1642" s="35">
        <v>2105</v>
      </c>
      <c r="H1642" s="31">
        <v>10</v>
      </c>
      <c r="I1642" s="31">
        <v>6</v>
      </c>
      <c r="J1642" s="31" t="s">
        <v>6500</v>
      </c>
      <c r="K1642" s="31" t="s">
        <v>41</v>
      </c>
      <c r="L1642" s="31" t="s">
        <v>34</v>
      </c>
      <c r="M1642" s="31">
        <v>959</v>
      </c>
      <c r="N1642" s="31">
        <v>2013</v>
      </c>
      <c r="O1642" s="31">
        <v>990</v>
      </c>
      <c r="P1642" s="31"/>
      <c r="Q1642" s="31"/>
      <c r="R1642" s="33"/>
      <c r="S1642" s="34" t="str">
        <f>HYPERLINK("http://www.cnpol.ru/covers/14661.jpg","фото на сайте")</f>
        <v>фото на сайте</v>
      </c>
    </row>
    <row r="1643" spans="1:19" ht="50.1" customHeight="1">
      <c r="A1643" s="31"/>
      <c r="B1643" s="32" t="s">
        <v>6501</v>
      </c>
      <c r="C1643" s="31" t="s">
        <v>37</v>
      </c>
      <c r="D1643" s="31" t="s">
        <v>1400</v>
      </c>
      <c r="E1643" s="31" t="s">
        <v>6502</v>
      </c>
      <c r="F1643" s="31" t="s">
        <v>31</v>
      </c>
      <c r="G1643" s="31">
        <v>461</v>
      </c>
      <c r="H1643" s="31">
        <v>10</v>
      </c>
      <c r="I1643" s="31">
        <v>16</v>
      </c>
      <c r="J1643" s="31" t="s">
        <v>6503</v>
      </c>
      <c r="K1643" s="31" t="s">
        <v>33</v>
      </c>
      <c r="L1643" s="31" t="s">
        <v>34</v>
      </c>
      <c r="M1643" s="31">
        <v>256</v>
      </c>
      <c r="N1643" s="31">
        <v>2019</v>
      </c>
      <c r="O1643" s="31">
        <v>236</v>
      </c>
      <c r="P1643" s="31"/>
      <c r="Q1643" s="31"/>
      <c r="R1643" s="33"/>
      <c r="S1643" s="34" t="str">
        <f>HYPERLINK("http://www.cnpol.ru/covers/18948.jpg","фото на сайте")</f>
        <v>фото на сайте</v>
      </c>
    </row>
    <row r="1644" spans="1:19" ht="50.1" customHeight="1">
      <c r="A1644" s="31" t="s">
        <v>43</v>
      </c>
      <c r="B1644" s="32" t="s">
        <v>6504</v>
      </c>
      <c r="C1644" s="31" t="s">
        <v>779</v>
      </c>
      <c r="D1644" s="31" t="s">
        <v>6505</v>
      </c>
      <c r="E1644" s="31" t="s">
        <v>6506</v>
      </c>
      <c r="F1644" s="31" t="s">
        <v>31</v>
      </c>
      <c r="G1644" s="31">
        <v>649</v>
      </c>
      <c r="H1644" s="31">
        <v>10</v>
      </c>
      <c r="I1644" s="31">
        <v>10</v>
      </c>
      <c r="J1644" s="31" t="s">
        <v>6507</v>
      </c>
      <c r="K1644" s="31" t="s">
        <v>33</v>
      </c>
      <c r="L1644" s="31" t="s">
        <v>34</v>
      </c>
      <c r="M1644" s="31">
        <v>159</v>
      </c>
      <c r="N1644" s="31">
        <v>2025</v>
      </c>
      <c r="O1644" s="31" t="s">
        <v>220</v>
      </c>
      <c r="P1644" s="31"/>
      <c r="Q1644" s="31"/>
      <c r="R1644" s="33" t="s">
        <v>6508</v>
      </c>
      <c r="S1644" s="34" t="str">
        <f>HYPERLINK("http://www.cnpol.ru/covers/21797.jpg","фото на сайте")</f>
        <v>фото на сайте</v>
      </c>
    </row>
    <row r="1645" spans="1:19" ht="50.1" customHeight="1">
      <c r="A1645" s="31"/>
      <c r="B1645" s="32" t="s">
        <v>6509</v>
      </c>
      <c r="C1645" s="31" t="s">
        <v>45</v>
      </c>
      <c r="D1645" s="31" t="s">
        <v>6510</v>
      </c>
      <c r="E1645" s="31" t="s">
        <v>6511</v>
      </c>
      <c r="F1645" s="31" t="s">
        <v>31</v>
      </c>
      <c r="G1645" s="35">
        <v>2560</v>
      </c>
      <c r="H1645" s="31">
        <v>10</v>
      </c>
      <c r="I1645" s="31">
        <v>2</v>
      </c>
      <c r="J1645" s="31" t="s">
        <v>6512</v>
      </c>
      <c r="K1645" s="31" t="s">
        <v>147</v>
      </c>
      <c r="L1645" s="31" t="s">
        <v>34</v>
      </c>
      <c r="M1645" s="31">
        <v>782</v>
      </c>
      <c r="N1645" s="31">
        <v>2023</v>
      </c>
      <c r="O1645" s="31">
        <v>1383</v>
      </c>
      <c r="P1645" s="31"/>
      <c r="Q1645" s="31"/>
      <c r="R1645" s="33" t="s">
        <v>6513</v>
      </c>
      <c r="S1645" s="34" t="str">
        <f>HYPERLINK("http://www.cnpol.ru/covers/20793.jpg","фото на сайте")</f>
        <v>фото на сайте</v>
      </c>
    </row>
    <row r="1646" spans="1:19" ht="50.1" customHeight="1">
      <c r="A1646" s="31"/>
      <c r="B1646" s="32" t="s">
        <v>6514</v>
      </c>
      <c r="C1646" s="31" t="s">
        <v>5199</v>
      </c>
      <c r="D1646" s="31" t="s">
        <v>6515</v>
      </c>
      <c r="E1646" s="31" t="s">
        <v>6516</v>
      </c>
      <c r="F1646" s="31" t="s">
        <v>31</v>
      </c>
      <c r="G1646" s="31">
        <v>539</v>
      </c>
      <c r="H1646" s="31">
        <v>10</v>
      </c>
      <c r="I1646" s="31">
        <v>16</v>
      </c>
      <c r="J1646" s="31" t="s">
        <v>6517</v>
      </c>
      <c r="K1646" s="31" t="s">
        <v>158</v>
      </c>
      <c r="L1646" s="31" t="s">
        <v>34</v>
      </c>
      <c r="M1646" s="31">
        <v>319</v>
      </c>
      <c r="N1646" s="31">
        <v>2022</v>
      </c>
      <c r="O1646" s="31">
        <v>303</v>
      </c>
      <c r="P1646" s="31"/>
      <c r="Q1646" s="31"/>
      <c r="R1646" s="33" t="s">
        <v>6518</v>
      </c>
      <c r="S1646" s="34" t="str">
        <f>HYPERLINK("http://www.cnpol.ru/covers/20427.jpg","фото на сайте")</f>
        <v>фото на сайте</v>
      </c>
    </row>
    <row r="1647" spans="1:19" ht="50.1" customHeight="1">
      <c r="A1647" s="31"/>
      <c r="B1647" s="32" t="s">
        <v>6519</v>
      </c>
      <c r="C1647" s="31" t="s">
        <v>143</v>
      </c>
      <c r="D1647" s="31" t="s">
        <v>6520</v>
      </c>
      <c r="E1647" s="31" t="s">
        <v>6521</v>
      </c>
      <c r="F1647" s="31" t="s">
        <v>31</v>
      </c>
      <c r="G1647" s="35">
        <v>1015</v>
      </c>
      <c r="H1647" s="31">
        <v>10</v>
      </c>
      <c r="I1647" s="31">
        <v>12</v>
      </c>
      <c r="J1647" s="31" t="s">
        <v>6522</v>
      </c>
      <c r="K1647" s="31" t="s">
        <v>33</v>
      </c>
      <c r="L1647" s="31" t="s">
        <v>34</v>
      </c>
      <c r="M1647" s="31">
        <v>383</v>
      </c>
      <c r="N1647" s="31">
        <v>2022</v>
      </c>
      <c r="O1647" s="31">
        <v>382</v>
      </c>
      <c r="P1647" s="31"/>
      <c r="Q1647" s="31"/>
      <c r="R1647" s="33"/>
      <c r="S1647" s="34" t="str">
        <f>HYPERLINK("http://www.cnpol.ru/covers/20104.jpg","фото на сайте")</f>
        <v>фото на сайте</v>
      </c>
    </row>
    <row r="1648" spans="1:19" ht="50.1" customHeight="1">
      <c r="A1648" s="31" t="s">
        <v>43</v>
      </c>
      <c r="B1648" s="32" t="s">
        <v>6523</v>
      </c>
      <c r="C1648" s="31" t="s">
        <v>37</v>
      </c>
      <c r="D1648" s="31" t="s">
        <v>6524</v>
      </c>
      <c r="E1648" s="31" t="s">
        <v>6525</v>
      </c>
      <c r="F1648" s="31" t="s">
        <v>31</v>
      </c>
      <c r="G1648" s="35">
        <v>1075</v>
      </c>
      <c r="H1648" s="31">
        <v>10</v>
      </c>
      <c r="I1648" s="31">
        <v>5</v>
      </c>
      <c r="J1648" s="31" t="s">
        <v>6526</v>
      </c>
      <c r="K1648" s="31" t="s">
        <v>41</v>
      </c>
      <c r="L1648" s="31" t="s">
        <v>34</v>
      </c>
      <c r="M1648" s="31">
        <v>415</v>
      </c>
      <c r="N1648" s="31">
        <v>2023</v>
      </c>
      <c r="O1648" s="31">
        <v>425</v>
      </c>
      <c r="P1648" s="31"/>
      <c r="Q1648" s="31"/>
      <c r="R1648" s="33" t="s">
        <v>6527</v>
      </c>
      <c r="S1648" s="34" t="str">
        <f>HYPERLINK("http://www.cnpol.ru/covers/21443.jpg","фото на сайте")</f>
        <v>фото на сайте</v>
      </c>
    </row>
    <row r="1649" spans="1:19" ht="50.1" customHeight="1">
      <c r="A1649" s="31" t="s">
        <v>43</v>
      </c>
      <c r="B1649" s="32" t="s">
        <v>6528</v>
      </c>
      <c r="C1649" s="31" t="s">
        <v>37</v>
      </c>
      <c r="D1649" s="31" t="s">
        <v>6529</v>
      </c>
      <c r="E1649" s="31" t="s">
        <v>6530</v>
      </c>
      <c r="F1649" s="31" t="s">
        <v>31</v>
      </c>
      <c r="G1649" s="35">
        <v>1327</v>
      </c>
      <c r="H1649" s="31">
        <v>10</v>
      </c>
      <c r="I1649" s="31">
        <v>5</v>
      </c>
      <c r="J1649" s="31" t="s">
        <v>6531</v>
      </c>
      <c r="K1649" s="31" t="s">
        <v>33</v>
      </c>
      <c r="L1649" s="31" t="s">
        <v>34</v>
      </c>
      <c r="M1649" s="31">
        <v>575</v>
      </c>
      <c r="N1649" s="31">
        <v>2025</v>
      </c>
      <c r="O1649" s="31">
        <v>520</v>
      </c>
      <c r="P1649" s="31"/>
      <c r="Q1649" s="31"/>
      <c r="R1649" s="33" t="s">
        <v>6532</v>
      </c>
      <c r="S1649" s="34" t="str">
        <f>HYPERLINK("http://www.cnpol.ru/covers/21645.jpg","фото на сайте")</f>
        <v>фото на сайте</v>
      </c>
    </row>
    <row r="1650" spans="1:19" ht="50.1" customHeight="1">
      <c r="A1650" s="31"/>
      <c r="B1650" s="32" t="s">
        <v>6533</v>
      </c>
      <c r="C1650" s="31" t="s">
        <v>5199</v>
      </c>
      <c r="D1650" s="31" t="s">
        <v>6534</v>
      </c>
      <c r="E1650" s="31" t="s">
        <v>6535</v>
      </c>
      <c r="F1650" s="31" t="s">
        <v>31</v>
      </c>
      <c r="G1650" s="31">
        <v>539</v>
      </c>
      <c r="H1650" s="31">
        <v>10</v>
      </c>
      <c r="I1650" s="31">
        <v>16</v>
      </c>
      <c r="J1650" s="31" t="s">
        <v>6536</v>
      </c>
      <c r="K1650" s="31" t="s">
        <v>33</v>
      </c>
      <c r="L1650" s="31" t="s">
        <v>34</v>
      </c>
      <c r="M1650" s="31">
        <v>350</v>
      </c>
      <c r="N1650" s="31">
        <v>2023</v>
      </c>
      <c r="O1650" s="31">
        <v>350</v>
      </c>
      <c r="P1650" s="31"/>
      <c r="Q1650" s="31"/>
      <c r="R1650" s="33" t="s">
        <v>6537</v>
      </c>
      <c r="S1650" s="34" t="str">
        <f>HYPERLINK("http://www.cnpol.ru/covers/20506.jpg","фото на сайте")</f>
        <v>фото на сайте</v>
      </c>
    </row>
    <row r="1651" spans="1:19" ht="50.1" customHeight="1">
      <c r="A1651" s="31"/>
      <c r="B1651" s="32" t="s">
        <v>6538</v>
      </c>
      <c r="C1651" s="31" t="s">
        <v>5199</v>
      </c>
      <c r="D1651" s="31" t="s">
        <v>6539</v>
      </c>
      <c r="E1651" s="31" t="s">
        <v>6540</v>
      </c>
      <c r="F1651" s="31" t="s">
        <v>31</v>
      </c>
      <c r="G1651" s="31">
        <v>539</v>
      </c>
      <c r="H1651" s="31">
        <v>10</v>
      </c>
      <c r="I1651" s="31">
        <v>12</v>
      </c>
      <c r="J1651" s="31" t="s">
        <v>6541</v>
      </c>
      <c r="K1651" s="31" t="s">
        <v>158</v>
      </c>
      <c r="L1651" s="31" t="s">
        <v>34</v>
      </c>
      <c r="M1651" s="31">
        <v>320</v>
      </c>
      <c r="N1651" s="31">
        <v>2021</v>
      </c>
      <c r="O1651" s="31">
        <v>236</v>
      </c>
      <c r="P1651" s="31"/>
      <c r="Q1651" s="31"/>
      <c r="R1651" s="33"/>
      <c r="S1651" s="34" t="str">
        <f>HYPERLINK("http://www.cnpol.ru/covers/19894.jpg","фото на сайте")</f>
        <v>фото на сайте</v>
      </c>
    </row>
    <row r="1652" spans="1:19" ht="50.1" customHeight="1">
      <c r="A1652" s="31" t="s">
        <v>35</v>
      </c>
      <c r="B1652" s="32" t="s">
        <v>6542</v>
      </c>
      <c r="C1652" s="31" t="s">
        <v>37</v>
      </c>
      <c r="D1652" s="31" t="s">
        <v>6543</v>
      </c>
      <c r="E1652" s="31" t="s">
        <v>6544</v>
      </c>
      <c r="F1652" s="31" t="s">
        <v>31</v>
      </c>
      <c r="G1652" s="31">
        <v>791</v>
      </c>
      <c r="H1652" s="31">
        <v>10</v>
      </c>
      <c r="I1652" s="31">
        <v>6</v>
      </c>
      <c r="J1652" s="31" t="s">
        <v>6545</v>
      </c>
      <c r="K1652" s="31" t="s">
        <v>33</v>
      </c>
      <c r="L1652" s="31" t="s">
        <v>34</v>
      </c>
      <c r="M1652" s="31">
        <v>671</v>
      </c>
      <c r="N1652" s="31">
        <v>2024</v>
      </c>
      <c r="O1652" s="31">
        <v>475</v>
      </c>
      <c r="P1652" s="31"/>
      <c r="Q1652" s="31"/>
      <c r="R1652" s="33" t="s">
        <v>6546</v>
      </c>
      <c r="S1652" s="34" t="str">
        <f>HYPERLINK("http://www.cnpol.ru/covers/21291.jpg","фото на сайте")</f>
        <v>фото на сайте</v>
      </c>
    </row>
    <row r="1653" spans="1:19" ht="50.1" customHeight="1">
      <c r="A1653" s="31" t="s">
        <v>35</v>
      </c>
      <c r="B1653" s="32" t="s">
        <v>6547</v>
      </c>
      <c r="C1653" s="31" t="s">
        <v>37</v>
      </c>
      <c r="D1653" s="31" t="s">
        <v>6548</v>
      </c>
      <c r="E1653" s="31" t="s">
        <v>6549</v>
      </c>
      <c r="F1653" s="31" t="s">
        <v>31</v>
      </c>
      <c r="G1653" s="31">
        <v>832</v>
      </c>
      <c r="H1653" s="31">
        <v>10</v>
      </c>
      <c r="I1653" s="31">
        <v>10</v>
      </c>
      <c r="J1653" s="31" t="s">
        <v>6550</v>
      </c>
      <c r="K1653" s="31" t="s">
        <v>33</v>
      </c>
      <c r="L1653" s="31" t="s">
        <v>34</v>
      </c>
      <c r="M1653" s="31">
        <v>255</v>
      </c>
      <c r="N1653" s="31">
        <v>2026</v>
      </c>
      <c r="O1653" s="31" t="s">
        <v>220</v>
      </c>
      <c r="P1653" s="31"/>
      <c r="Q1653" s="31"/>
      <c r="R1653" s="33" t="s">
        <v>6551</v>
      </c>
      <c r="S1653" s="34" t="str">
        <f>HYPERLINK("http://www.cnpol.ru/covers/21891.jpg","фото на сайте")</f>
        <v>фото на сайте</v>
      </c>
    </row>
    <row r="1654" spans="1:19" ht="50.1" customHeight="1">
      <c r="A1654" s="31" t="s">
        <v>35</v>
      </c>
      <c r="B1654" s="32" t="s">
        <v>6552</v>
      </c>
      <c r="C1654" s="31" t="s">
        <v>4205</v>
      </c>
      <c r="D1654" s="31" t="s">
        <v>6553</v>
      </c>
      <c r="E1654" s="31" t="s">
        <v>6554</v>
      </c>
      <c r="F1654" s="31" t="s">
        <v>31</v>
      </c>
      <c r="G1654" s="35">
        <v>1076</v>
      </c>
      <c r="H1654" s="31">
        <v>10</v>
      </c>
      <c r="I1654" s="31">
        <v>6</v>
      </c>
      <c r="J1654" s="31" t="s">
        <v>6555</v>
      </c>
      <c r="K1654" s="31" t="s">
        <v>33</v>
      </c>
      <c r="L1654" s="31" t="s">
        <v>34</v>
      </c>
      <c r="M1654" s="31">
        <v>415</v>
      </c>
      <c r="N1654" s="31">
        <v>2025</v>
      </c>
      <c r="O1654" s="31">
        <v>375</v>
      </c>
      <c r="P1654" s="31"/>
      <c r="Q1654" s="31"/>
      <c r="R1654" s="33" t="s">
        <v>6556</v>
      </c>
      <c r="S1654" s="34" t="str">
        <f>HYPERLINK("http://www.cnpol.ru/covers/21598.jpg","фото на сайте")</f>
        <v>фото на сайте</v>
      </c>
    </row>
    <row r="1655" spans="1:19" ht="50.1" customHeight="1">
      <c r="A1655" s="31"/>
      <c r="B1655" s="32" t="s">
        <v>6557</v>
      </c>
      <c r="C1655" s="31" t="s">
        <v>37</v>
      </c>
      <c r="D1655" s="31" t="s">
        <v>2040</v>
      </c>
      <c r="E1655" s="31" t="s">
        <v>6558</v>
      </c>
      <c r="F1655" s="31" t="s">
        <v>31</v>
      </c>
      <c r="G1655" s="31">
        <v>985</v>
      </c>
      <c r="H1655" s="31">
        <v>10</v>
      </c>
      <c r="I1655" s="31">
        <v>12</v>
      </c>
      <c r="J1655" s="31" t="s">
        <v>6559</v>
      </c>
      <c r="K1655" s="31" t="s">
        <v>33</v>
      </c>
      <c r="L1655" s="31" t="s">
        <v>34</v>
      </c>
      <c r="M1655" s="31">
        <v>351</v>
      </c>
      <c r="N1655" s="31">
        <v>2022</v>
      </c>
      <c r="O1655" s="31">
        <v>310</v>
      </c>
      <c r="P1655" s="31"/>
      <c r="Q1655" s="31"/>
      <c r="R1655" s="33" t="s">
        <v>6560</v>
      </c>
      <c r="S1655" s="34" t="str">
        <f>HYPERLINK("http://www.cnpol.ru/covers/20360.jpg","фото на сайте")</f>
        <v>фото на сайте</v>
      </c>
    </row>
    <row r="1656" spans="1:19" ht="50.1" customHeight="1">
      <c r="A1656" s="31" t="s">
        <v>43</v>
      </c>
      <c r="B1656" s="32" t="s">
        <v>6561</v>
      </c>
      <c r="C1656" s="31" t="s">
        <v>1206</v>
      </c>
      <c r="D1656" s="31" t="s">
        <v>1207</v>
      </c>
      <c r="E1656" s="31" t="s">
        <v>6562</v>
      </c>
      <c r="F1656" s="31" t="s">
        <v>31</v>
      </c>
      <c r="G1656" s="31">
        <v>672</v>
      </c>
      <c r="H1656" s="31">
        <v>10</v>
      </c>
      <c r="I1656" s="31">
        <v>12</v>
      </c>
      <c r="J1656" s="31" t="s">
        <v>6563</v>
      </c>
      <c r="K1656" s="31" t="s">
        <v>739</v>
      </c>
      <c r="L1656" s="31" t="s">
        <v>34</v>
      </c>
      <c r="M1656" s="31">
        <v>270</v>
      </c>
      <c r="N1656" s="31">
        <v>2025</v>
      </c>
      <c r="O1656" s="31">
        <v>145</v>
      </c>
      <c r="P1656" s="31"/>
      <c r="Q1656" s="31"/>
      <c r="R1656" s="33" t="s">
        <v>6564</v>
      </c>
      <c r="S1656" s="34" t="str">
        <f>HYPERLINK("http://www.cnpol.ru/covers/21596.jpg","фото на сайте")</f>
        <v>фото на сайте</v>
      </c>
    </row>
    <row r="1657" spans="1:19" ht="50.1" customHeight="1">
      <c r="A1657" s="31"/>
      <c r="B1657" s="32" t="s">
        <v>6565</v>
      </c>
      <c r="C1657" s="31" t="s">
        <v>479</v>
      </c>
      <c r="D1657" s="31" t="s">
        <v>6566</v>
      </c>
      <c r="E1657" s="31" t="s">
        <v>6567</v>
      </c>
      <c r="F1657" s="31" t="s">
        <v>31</v>
      </c>
      <c r="G1657" s="31">
        <v>746</v>
      </c>
      <c r="H1657" s="31">
        <v>10</v>
      </c>
      <c r="I1657" s="31">
        <v>6</v>
      </c>
      <c r="J1657" s="31" t="s">
        <v>6568</v>
      </c>
      <c r="K1657" s="31" t="s">
        <v>33</v>
      </c>
      <c r="L1657" s="31" t="s">
        <v>34</v>
      </c>
      <c r="M1657" s="31">
        <v>672</v>
      </c>
      <c r="N1657" s="31">
        <v>2017</v>
      </c>
      <c r="O1657" s="31">
        <v>466</v>
      </c>
      <c r="P1657" s="31"/>
      <c r="Q1657" s="31"/>
      <c r="R1657" s="33"/>
      <c r="S1657" s="34" t="str">
        <f>HYPERLINK("http://www.cnpol.ru/covers/17849.jpg","фото на сайте")</f>
        <v>фото на сайте</v>
      </c>
    </row>
    <row r="1658" spans="1:19" ht="50.1" customHeight="1">
      <c r="A1658" s="31"/>
      <c r="B1658" s="32" t="s">
        <v>6569</v>
      </c>
      <c r="C1658" s="31" t="s">
        <v>37</v>
      </c>
      <c r="D1658" s="31" t="s">
        <v>814</v>
      </c>
      <c r="E1658" s="31" t="s">
        <v>6570</v>
      </c>
      <c r="F1658" s="31" t="s">
        <v>31</v>
      </c>
      <c r="G1658" s="31">
        <v>461</v>
      </c>
      <c r="H1658" s="31">
        <v>10</v>
      </c>
      <c r="I1658" s="31">
        <v>14</v>
      </c>
      <c r="J1658" s="31" t="s">
        <v>6571</v>
      </c>
      <c r="K1658" s="31" t="s">
        <v>33</v>
      </c>
      <c r="L1658" s="31" t="s">
        <v>34</v>
      </c>
      <c r="M1658" s="31">
        <v>256</v>
      </c>
      <c r="N1658" s="31">
        <v>2017</v>
      </c>
      <c r="O1658" s="31">
        <v>214</v>
      </c>
      <c r="P1658" s="31"/>
      <c r="Q1658" s="31"/>
      <c r="R1658" s="33"/>
      <c r="S1658" s="34" t="str">
        <f>HYPERLINK("http://www.cnpol.ru/covers/17402.jpg","фото на сайте")</f>
        <v>фото на сайте</v>
      </c>
    </row>
    <row r="1659" spans="1:19" ht="50.1" customHeight="1">
      <c r="A1659" s="31"/>
      <c r="B1659" s="32" t="s">
        <v>6572</v>
      </c>
      <c r="C1659" s="31" t="s">
        <v>37</v>
      </c>
      <c r="D1659" s="31" t="s">
        <v>6573</v>
      </c>
      <c r="E1659" s="31" t="s">
        <v>6574</v>
      </c>
      <c r="F1659" s="31" t="s">
        <v>31</v>
      </c>
      <c r="G1659" s="35">
        <v>1284</v>
      </c>
      <c r="H1659" s="31">
        <v>10</v>
      </c>
      <c r="I1659" s="31">
        <v>8</v>
      </c>
      <c r="J1659" s="31" t="s">
        <v>6575</v>
      </c>
      <c r="K1659" s="31" t="s">
        <v>33</v>
      </c>
      <c r="L1659" s="31" t="s">
        <v>34</v>
      </c>
      <c r="M1659" s="31">
        <v>544</v>
      </c>
      <c r="N1659" s="31">
        <v>2021</v>
      </c>
      <c r="O1659" s="31">
        <v>400</v>
      </c>
      <c r="P1659" s="31"/>
      <c r="Q1659" s="31"/>
      <c r="R1659" s="33"/>
      <c r="S1659" s="34" t="str">
        <f>HYPERLINK("http://www.cnpol.ru/covers/19765.jpg","фото на сайте")</f>
        <v>фото на сайте</v>
      </c>
    </row>
    <row r="1660" spans="1:19" ht="50.1" customHeight="1">
      <c r="A1660" s="31" t="s">
        <v>35</v>
      </c>
      <c r="B1660" s="32" t="s">
        <v>6576</v>
      </c>
      <c r="C1660" s="31" t="s">
        <v>37</v>
      </c>
      <c r="D1660" s="31" t="s">
        <v>6577</v>
      </c>
      <c r="E1660" s="31" t="s">
        <v>6578</v>
      </c>
      <c r="F1660" s="31" t="s">
        <v>31</v>
      </c>
      <c r="G1660" s="35">
        <v>1466</v>
      </c>
      <c r="H1660" s="31">
        <v>10</v>
      </c>
      <c r="I1660" s="31">
        <v>6</v>
      </c>
      <c r="J1660" s="31" t="s">
        <v>6579</v>
      </c>
      <c r="K1660" s="31" t="s">
        <v>41</v>
      </c>
      <c r="L1660" s="31" t="s">
        <v>34</v>
      </c>
      <c r="M1660" s="31">
        <v>543</v>
      </c>
      <c r="N1660" s="31">
        <v>2024</v>
      </c>
      <c r="O1660" s="31">
        <v>697</v>
      </c>
      <c r="P1660" s="31"/>
      <c r="Q1660" s="31"/>
      <c r="R1660" s="33" t="s">
        <v>6580</v>
      </c>
      <c r="S1660" s="34" t="str">
        <f>HYPERLINK("http://www.cnpol.ru/covers/21082.jpg","фото на сайте")</f>
        <v>фото на сайте</v>
      </c>
    </row>
    <row r="1661" spans="1:19" ht="50.1" customHeight="1">
      <c r="A1661" s="31"/>
      <c r="B1661" s="32" t="s">
        <v>6581</v>
      </c>
      <c r="C1661" s="31" t="s">
        <v>37</v>
      </c>
      <c r="D1661" s="31" t="s">
        <v>5695</v>
      </c>
      <c r="E1661" s="31" t="s">
        <v>6582</v>
      </c>
      <c r="F1661" s="31" t="s">
        <v>31</v>
      </c>
      <c r="G1661" s="31">
        <v>539</v>
      </c>
      <c r="H1661" s="31">
        <v>10</v>
      </c>
      <c r="I1661" s="31">
        <v>10</v>
      </c>
      <c r="J1661" s="31" t="s">
        <v>6583</v>
      </c>
      <c r="K1661" s="31" t="s">
        <v>33</v>
      </c>
      <c r="L1661" s="31" t="s">
        <v>34</v>
      </c>
      <c r="M1661" s="31">
        <v>352</v>
      </c>
      <c r="N1661" s="31">
        <v>2019</v>
      </c>
      <c r="O1661" s="31">
        <v>288</v>
      </c>
      <c r="P1661" s="31"/>
      <c r="Q1661" s="31"/>
      <c r="R1661" s="33"/>
      <c r="S1661" s="34" t="str">
        <f>HYPERLINK("http://www.cnpol.ru/covers/18477.jpg","фото на сайте")</f>
        <v>фото на сайте</v>
      </c>
    </row>
    <row r="1662" spans="1:19" ht="50.1" customHeight="1">
      <c r="A1662" s="31"/>
      <c r="B1662" s="32" t="s">
        <v>6584</v>
      </c>
      <c r="C1662" s="31" t="s">
        <v>37</v>
      </c>
      <c r="D1662" s="31" t="s">
        <v>6585</v>
      </c>
      <c r="E1662" s="31" t="s">
        <v>6586</v>
      </c>
      <c r="F1662" s="31" t="s">
        <v>31</v>
      </c>
      <c r="G1662" s="31">
        <v>539</v>
      </c>
      <c r="H1662" s="31">
        <v>10</v>
      </c>
      <c r="I1662" s="31">
        <v>10</v>
      </c>
      <c r="J1662" s="31" t="s">
        <v>6587</v>
      </c>
      <c r="K1662" s="31" t="s">
        <v>33</v>
      </c>
      <c r="L1662" s="31" t="s">
        <v>34</v>
      </c>
      <c r="M1662" s="31">
        <v>320</v>
      </c>
      <c r="N1662" s="31">
        <v>2020</v>
      </c>
      <c r="O1662" s="31">
        <v>262</v>
      </c>
      <c r="P1662" s="31"/>
      <c r="Q1662" s="31"/>
      <c r="R1662" s="33"/>
      <c r="S1662" s="34" t="str">
        <f>HYPERLINK("http://www.cnpol.ru/covers/19264.jpg","фото на сайте")</f>
        <v>фото на сайте</v>
      </c>
    </row>
    <row r="1663" spans="1:19" ht="50.1" customHeight="1">
      <c r="A1663" s="31"/>
      <c r="B1663" s="32" t="s">
        <v>6588</v>
      </c>
      <c r="C1663" s="31" t="s">
        <v>6589</v>
      </c>
      <c r="D1663" s="31" t="s">
        <v>6590</v>
      </c>
      <c r="E1663" s="31" t="s">
        <v>6591</v>
      </c>
      <c r="F1663" s="31" t="s">
        <v>31</v>
      </c>
      <c r="G1663" s="31">
        <v>307</v>
      </c>
      <c r="H1663" s="31">
        <v>10</v>
      </c>
      <c r="I1663" s="31">
        <v>16</v>
      </c>
      <c r="J1663" s="31" t="s">
        <v>6592</v>
      </c>
      <c r="K1663" s="31" t="s">
        <v>41</v>
      </c>
      <c r="L1663" s="31" t="s">
        <v>34</v>
      </c>
      <c r="M1663" s="31">
        <v>320</v>
      </c>
      <c r="N1663" s="31">
        <v>2002</v>
      </c>
      <c r="O1663" s="31" t="s">
        <v>220</v>
      </c>
      <c r="P1663" s="31"/>
      <c r="Q1663" s="31"/>
      <c r="R1663" s="33"/>
      <c r="S1663" s="34" t="str">
        <f>HYPERLINK("http://www.cnpol.ru/covers/8624.jpg","фото на сайте")</f>
        <v>фото на сайте</v>
      </c>
    </row>
    <row r="1664" spans="1:19" ht="50.1" customHeight="1">
      <c r="A1664" s="31"/>
      <c r="B1664" s="32" t="s">
        <v>6593</v>
      </c>
      <c r="C1664" s="31" t="s">
        <v>390</v>
      </c>
      <c r="D1664" s="31" t="s">
        <v>594</v>
      </c>
      <c r="E1664" s="31" t="s">
        <v>6594</v>
      </c>
      <c r="F1664" s="31">
        <v>829</v>
      </c>
      <c r="G1664" s="31">
        <v>86</v>
      </c>
      <c r="H1664" s="31">
        <v>10</v>
      </c>
      <c r="I1664" s="31">
        <v>30</v>
      </c>
      <c r="J1664" s="31" t="s">
        <v>6595</v>
      </c>
      <c r="K1664" s="31" t="s">
        <v>123</v>
      </c>
      <c r="L1664" s="31" t="s">
        <v>56</v>
      </c>
      <c r="M1664" s="31">
        <v>160</v>
      </c>
      <c r="N1664" s="31">
        <v>2018</v>
      </c>
      <c r="O1664" s="31">
        <v>76</v>
      </c>
      <c r="P1664" s="31"/>
      <c r="Q1664" s="31"/>
      <c r="R1664" s="33"/>
      <c r="S1664" s="34" t="str">
        <f>HYPERLINK("http://www.cnpol.ru/covers/18264.jpg","фото на сайте")</f>
        <v>фото на сайте</v>
      </c>
    </row>
    <row r="1665" spans="1:19" ht="50.1" customHeight="1">
      <c r="A1665" s="31" t="s">
        <v>43</v>
      </c>
      <c r="B1665" s="32" t="s">
        <v>6596</v>
      </c>
      <c r="C1665" s="31" t="s">
        <v>746</v>
      </c>
      <c r="D1665" s="31" t="s">
        <v>6597</v>
      </c>
      <c r="E1665" s="31" t="s">
        <v>6598</v>
      </c>
      <c r="F1665" s="31" t="s">
        <v>31</v>
      </c>
      <c r="G1665" s="31">
        <v>464</v>
      </c>
      <c r="H1665" s="31">
        <v>10</v>
      </c>
      <c r="I1665" s="31">
        <v>20</v>
      </c>
      <c r="J1665" s="31" t="s">
        <v>6599</v>
      </c>
      <c r="K1665" s="31" t="s">
        <v>33</v>
      </c>
      <c r="L1665" s="31" t="s">
        <v>34</v>
      </c>
      <c r="M1665" s="31">
        <v>255</v>
      </c>
      <c r="N1665" s="31">
        <v>2025</v>
      </c>
      <c r="O1665" s="31">
        <v>235</v>
      </c>
      <c r="P1665" s="31"/>
      <c r="Q1665" s="31"/>
      <c r="R1665" s="33" t="s">
        <v>6600</v>
      </c>
      <c r="S1665" s="34" t="str">
        <f>HYPERLINK("http://www.cnpol.ru/covers/21503.jpg","фото на сайте")</f>
        <v>фото на сайте</v>
      </c>
    </row>
    <row r="1666" spans="1:19" ht="50.1" customHeight="1">
      <c r="A1666" s="31"/>
      <c r="B1666" s="32" t="s">
        <v>6601</v>
      </c>
      <c r="C1666" s="31" t="s">
        <v>400</v>
      </c>
      <c r="D1666" s="31" t="s">
        <v>2366</v>
      </c>
      <c r="E1666" s="31" t="s">
        <v>6602</v>
      </c>
      <c r="F1666" s="31" t="s">
        <v>31</v>
      </c>
      <c r="G1666" s="31">
        <v>503</v>
      </c>
      <c r="H1666" s="31">
        <v>10</v>
      </c>
      <c r="I1666" s="31">
        <v>10</v>
      </c>
      <c r="J1666" s="31" t="s">
        <v>6603</v>
      </c>
      <c r="K1666" s="31" t="s">
        <v>33</v>
      </c>
      <c r="L1666" s="31" t="s">
        <v>34</v>
      </c>
      <c r="M1666" s="31">
        <v>352</v>
      </c>
      <c r="N1666" s="31">
        <v>2016</v>
      </c>
      <c r="O1666" s="31">
        <v>268</v>
      </c>
      <c r="P1666" s="31"/>
      <c r="Q1666" s="31"/>
      <c r="R1666" s="33"/>
      <c r="S1666" s="34" t="str">
        <f>HYPERLINK("http://www.cnpol.ru/covers/17216.jpg","фото на сайте")</f>
        <v>фото на сайте</v>
      </c>
    </row>
    <row r="1667" spans="1:19" ht="50.1" customHeight="1">
      <c r="A1667" s="31"/>
      <c r="B1667" s="32" t="s">
        <v>6604</v>
      </c>
      <c r="C1667" s="31" t="s">
        <v>171</v>
      </c>
      <c r="D1667" s="31" t="s">
        <v>172</v>
      </c>
      <c r="E1667" s="31" t="s">
        <v>6605</v>
      </c>
      <c r="F1667" s="31" t="s">
        <v>31</v>
      </c>
      <c r="G1667" s="35">
        <v>1845</v>
      </c>
      <c r="H1667" s="31">
        <v>10</v>
      </c>
      <c r="I1667" s="31">
        <v>4</v>
      </c>
      <c r="J1667" s="31" t="s">
        <v>6606</v>
      </c>
      <c r="K1667" s="31" t="s">
        <v>41</v>
      </c>
      <c r="L1667" s="31" t="s">
        <v>34</v>
      </c>
      <c r="M1667" s="31">
        <v>703</v>
      </c>
      <c r="N1667" s="31">
        <v>2023</v>
      </c>
      <c r="O1667" s="31">
        <v>804</v>
      </c>
      <c r="P1667" s="31"/>
      <c r="Q1667" s="31"/>
      <c r="R1667" s="33" t="s">
        <v>6607</v>
      </c>
      <c r="S1667" s="34" t="str">
        <f>HYPERLINK("http://www.cnpol.ru/covers/20923.jpg","фото на сайте")</f>
        <v>фото на сайте</v>
      </c>
    </row>
    <row r="1668" spans="1:19" ht="50.1" customHeight="1">
      <c r="A1668" s="31"/>
      <c r="B1668" s="32" t="s">
        <v>6608</v>
      </c>
      <c r="C1668" s="31" t="s">
        <v>28</v>
      </c>
      <c r="D1668" s="31" t="s">
        <v>1921</v>
      </c>
      <c r="E1668" s="31" t="s">
        <v>6609</v>
      </c>
      <c r="F1668" s="31" t="s">
        <v>31</v>
      </c>
      <c r="G1668" s="31">
        <v>693</v>
      </c>
      <c r="H1668" s="31">
        <v>10</v>
      </c>
      <c r="I1668" s="31">
        <v>14</v>
      </c>
      <c r="J1668" s="31" t="s">
        <v>6610</v>
      </c>
      <c r="K1668" s="31" t="s">
        <v>33</v>
      </c>
      <c r="L1668" s="31" t="s">
        <v>34</v>
      </c>
      <c r="M1668" s="31">
        <v>384</v>
      </c>
      <c r="N1668" s="31">
        <v>2022</v>
      </c>
      <c r="O1668" s="31">
        <v>404</v>
      </c>
      <c r="P1668" s="31"/>
      <c r="Q1668" s="31"/>
      <c r="R1668" s="33"/>
      <c r="S1668" s="34" t="str">
        <f>HYPERLINK("http://www.cnpol.ru/covers/20111.jpg","фото на сайте")</f>
        <v>фото на сайте</v>
      </c>
    </row>
    <row r="1669" spans="1:19" ht="50.1" customHeight="1">
      <c r="A1669" s="31"/>
      <c r="B1669" s="32" t="s">
        <v>6611</v>
      </c>
      <c r="C1669" s="31" t="s">
        <v>528</v>
      </c>
      <c r="D1669" s="31" t="s">
        <v>529</v>
      </c>
      <c r="E1669" s="31" t="s">
        <v>6612</v>
      </c>
      <c r="F1669" s="31" t="s">
        <v>31</v>
      </c>
      <c r="G1669" s="31">
        <v>137</v>
      </c>
      <c r="H1669" s="31">
        <v>10</v>
      </c>
      <c r="I1669" s="31">
        <v>40</v>
      </c>
      <c r="J1669" s="31" t="s">
        <v>6613</v>
      </c>
      <c r="K1669" s="31" t="s">
        <v>55</v>
      </c>
      <c r="L1669" s="31" t="s">
        <v>56</v>
      </c>
      <c r="M1669" s="31">
        <v>160</v>
      </c>
      <c r="N1669" s="31">
        <v>2020</v>
      </c>
      <c r="O1669" s="31">
        <v>68</v>
      </c>
      <c r="P1669" s="31"/>
      <c r="Q1669" s="31"/>
      <c r="R1669" s="33"/>
      <c r="S1669" s="34" t="str">
        <f>HYPERLINK("http://www.cnpol.ru/covers/19060.jpg","фото на сайте")</f>
        <v>фото на сайте</v>
      </c>
    </row>
    <row r="1670" spans="1:19" ht="50.1" customHeight="1">
      <c r="A1670" s="31"/>
      <c r="B1670" s="32" t="s">
        <v>6614</v>
      </c>
      <c r="C1670" s="31" t="s">
        <v>6615</v>
      </c>
      <c r="D1670" s="31" t="s">
        <v>6616</v>
      </c>
      <c r="E1670" s="31" t="s">
        <v>6617</v>
      </c>
      <c r="F1670" s="31" t="s">
        <v>31</v>
      </c>
      <c r="G1670" s="31">
        <v>96</v>
      </c>
      <c r="H1670" s="31">
        <v>10</v>
      </c>
      <c r="I1670" s="31">
        <v>28</v>
      </c>
      <c r="J1670" s="31" t="s">
        <v>6618</v>
      </c>
      <c r="K1670" s="31" t="s">
        <v>130</v>
      </c>
      <c r="L1670" s="31" t="s">
        <v>56</v>
      </c>
      <c r="M1670" s="31">
        <v>123</v>
      </c>
      <c r="N1670" s="31">
        <v>2008</v>
      </c>
      <c r="O1670" s="31">
        <v>86</v>
      </c>
      <c r="P1670" s="31"/>
      <c r="Q1670" s="31"/>
      <c r="R1670" s="33"/>
      <c r="S1670" s="34" t="str">
        <f>HYPERLINK("http://www.cnpol.ru/covers/10808.jpg","фото на сайте")</f>
        <v>фото на сайте</v>
      </c>
    </row>
    <row r="1671" spans="1:19" ht="50.1" customHeight="1">
      <c r="A1671" s="31"/>
      <c r="B1671" s="32" t="s">
        <v>6619</v>
      </c>
      <c r="C1671" s="31" t="s">
        <v>6620</v>
      </c>
      <c r="D1671" s="31" t="s">
        <v>6621</v>
      </c>
      <c r="E1671" s="31" t="s">
        <v>6622</v>
      </c>
      <c r="F1671" s="31" t="s">
        <v>31</v>
      </c>
      <c r="G1671" s="31">
        <v>851</v>
      </c>
      <c r="H1671" s="31">
        <v>10</v>
      </c>
      <c r="I1671" s="31">
        <v>10</v>
      </c>
      <c r="J1671" s="31" t="s">
        <v>6623</v>
      </c>
      <c r="K1671" s="31" t="s">
        <v>33</v>
      </c>
      <c r="L1671" s="31" t="s">
        <v>34</v>
      </c>
      <c r="M1671" s="31">
        <v>283</v>
      </c>
      <c r="N1671" s="31">
        <v>2023</v>
      </c>
      <c r="O1671" s="31">
        <v>180</v>
      </c>
      <c r="P1671" s="31"/>
      <c r="Q1671" s="31"/>
      <c r="R1671" s="33" t="s">
        <v>6624</v>
      </c>
      <c r="S1671" s="34" t="str">
        <f>HYPERLINK("http://www.cnpol.ru/covers/20488.jpg","фото на сайте")</f>
        <v>фото на сайте</v>
      </c>
    </row>
    <row r="1672" spans="1:19" ht="50.1" customHeight="1">
      <c r="A1672" s="31" t="s">
        <v>43</v>
      </c>
      <c r="B1672" s="32" t="s">
        <v>6625</v>
      </c>
      <c r="C1672" s="31" t="s">
        <v>589</v>
      </c>
      <c r="D1672" s="31" t="s">
        <v>590</v>
      </c>
      <c r="E1672" s="31" t="s">
        <v>6626</v>
      </c>
      <c r="F1672" s="31" t="s">
        <v>31</v>
      </c>
      <c r="G1672" s="31">
        <v>575</v>
      </c>
      <c r="H1672" s="31">
        <v>10</v>
      </c>
      <c r="I1672" s="31">
        <v>10</v>
      </c>
      <c r="J1672" s="31" t="s">
        <v>6627</v>
      </c>
      <c r="K1672" s="31" t="s">
        <v>33</v>
      </c>
      <c r="L1672" s="31" t="s">
        <v>34</v>
      </c>
      <c r="M1672" s="31">
        <v>479</v>
      </c>
      <c r="N1672" s="31">
        <v>2024</v>
      </c>
      <c r="O1672" s="31">
        <v>366</v>
      </c>
      <c r="P1672" s="31"/>
      <c r="Q1672" s="31"/>
      <c r="R1672" s="33" t="s">
        <v>6628</v>
      </c>
      <c r="S1672" s="34" t="str">
        <f>HYPERLINK("http://www.cnpol.ru/covers/21167.jpg","фото на сайте")</f>
        <v>фото на сайте</v>
      </c>
    </row>
    <row r="1673" spans="1:19" ht="50.1" customHeight="1">
      <c r="A1673" s="31"/>
      <c r="B1673" s="32" t="s">
        <v>6629</v>
      </c>
      <c r="C1673" s="31" t="s">
        <v>6620</v>
      </c>
      <c r="D1673" s="31" t="s">
        <v>6621</v>
      </c>
      <c r="E1673" s="31" t="s">
        <v>6630</v>
      </c>
      <c r="F1673" s="31" t="s">
        <v>31</v>
      </c>
      <c r="G1673" s="31">
        <v>851</v>
      </c>
      <c r="H1673" s="31">
        <v>10</v>
      </c>
      <c r="I1673" s="31">
        <v>12</v>
      </c>
      <c r="J1673" s="31" t="s">
        <v>6631</v>
      </c>
      <c r="K1673" s="31" t="s">
        <v>33</v>
      </c>
      <c r="L1673" s="31" t="s">
        <v>34</v>
      </c>
      <c r="M1673" s="31">
        <v>252</v>
      </c>
      <c r="N1673" s="31">
        <v>2023</v>
      </c>
      <c r="O1673" s="31">
        <v>275</v>
      </c>
      <c r="P1673" s="31"/>
      <c r="Q1673" s="31"/>
      <c r="R1673" s="33" t="s">
        <v>6632</v>
      </c>
      <c r="S1673" s="34" t="str">
        <f>HYPERLINK("http://www.cnpol.ru/covers/20489.jpg","фото на сайте")</f>
        <v>фото на сайте</v>
      </c>
    </row>
    <row r="1674" spans="1:19" ht="50.1" customHeight="1">
      <c r="A1674" s="31"/>
      <c r="B1674" s="32" t="s">
        <v>6633</v>
      </c>
      <c r="C1674" s="31" t="s">
        <v>6620</v>
      </c>
      <c r="D1674" s="31" t="s">
        <v>6621</v>
      </c>
      <c r="E1674" s="31" t="s">
        <v>6634</v>
      </c>
      <c r="F1674" s="31" t="s">
        <v>31</v>
      </c>
      <c r="G1674" s="31">
        <v>912</v>
      </c>
      <c r="H1674" s="31">
        <v>10</v>
      </c>
      <c r="I1674" s="31">
        <v>14</v>
      </c>
      <c r="J1674" s="31" t="s">
        <v>6635</v>
      </c>
      <c r="K1674" s="31" t="s">
        <v>33</v>
      </c>
      <c r="L1674" s="31" t="s">
        <v>34</v>
      </c>
      <c r="M1674" s="31">
        <v>315</v>
      </c>
      <c r="N1674" s="31">
        <v>2022</v>
      </c>
      <c r="O1674" s="31">
        <v>275</v>
      </c>
      <c r="P1674" s="31"/>
      <c r="Q1674" s="31"/>
      <c r="R1674" s="33" t="s">
        <v>6636</v>
      </c>
      <c r="S1674" s="34" t="str">
        <f>HYPERLINK("http://www.cnpol.ru/covers/20411.jpg","фото на сайте")</f>
        <v>фото на сайте</v>
      </c>
    </row>
    <row r="1675" spans="1:19" ht="50.1" customHeight="1">
      <c r="A1675" s="31"/>
      <c r="B1675" s="32" t="s">
        <v>6637</v>
      </c>
      <c r="C1675" s="31" t="s">
        <v>6638</v>
      </c>
      <c r="D1675" s="31" t="s">
        <v>6639</v>
      </c>
      <c r="E1675" s="31" t="s">
        <v>6640</v>
      </c>
      <c r="F1675" s="31" t="s">
        <v>31</v>
      </c>
      <c r="G1675" s="31">
        <v>425</v>
      </c>
      <c r="H1675" s="31">
        <v>10</v>
      </c>
      <c r="I1675" s="31">
        <v>12</v>
      </c>
      <c r="J1675" s="31" t="s">
        <v>6641</v>
      </c>
      <c r="K1675" s="31" t="s">
        <v>33</v>
      </c>
      <c r="L1675" s="31" t="s">
        <v>34</v>
      </c>
      <c r="M1675" s="31">
        <v>288</v>
      </c>
      <c r="N1675" s="31">
        <v>2021</v>
      </c>
      <c r="O1675" s="31">
        <v>302</v>
      </c>
      <c r="P1675" s="31"/>
      <c r="Q1675" s="31"/>
      <c r="R1675" s="33"/>
      <c r="S1675" s="34" t="str">
        <f>HYPERLINK("http://www.cnpol.ru/covers/19461.jpg","фото на сайте")</f>
        <v>фото на сайте</v>
      </c>
    </row>
    <row r="1676" spans="1:19" ht="50.1" customHeight="1">
      <c r="A1676" s="31"/>
      <c r="B1676" s="32" t="s">
        <v>6642</v>
      </c>
      <c r="C1676" s="31" t="s">
        <v>1390</v>
      </c>
      <c r="D1676" s="31" t="s">
        <v>236</v>
      </c>
      <c r="E1676" s="31" t="s">
        <v>6643</v>
      </c>
      <c r="F1676" s="31" t="s">
        <v>31</v>
      </c>
      <c r="G1676" s="31">
        <v>209</v>
      </c>
      <c r="H1676" s="31">
        <v>10</v>
      </c>
      <c r="I1676" s="31">
        <v>18</v>
      </c>
      <c r="J1676" s="31" t="s">
        <v>6644</v>
      </c>
      <c r="K1676" s="31" t="s">
        <v>130</v>
      </c>
      <c r="L1676" s="31" t="s">
        <v>56</v>
      </c>
      <c r="M1676" s="31">
        <v>256</v>
      </c>
      <c r="N1676" s="31">
        <v>2020</v>
      </c>
      <c r="O1676" s="31">
        <v>156</v>
      </c>
      <c r="P1676" s="31"/>
      <c r="Q1676" s="31"/>
      <c r="R1676" s="33"/>
      <c r="S1676" s="34" t="str">
        <f>HYPERLINK("http://www.cnpol.ru/covers/19252.jpg","фото на сайте")</f>
        <v>фото на сайте</v>
      </c>
    </row>
    <row r="1677" spans="1:19" ht="50.1" customHeight="1">
      <c r="A1677" s="31" t="s">
        <v>35</v>
      </c>
      <c r="B1677" s="32" t="s">
        <v>6645</v>
      </c>
      <c r="C1677" s="31" t="s">
        <v>589</v>
      </c>
      <c r="D1677" s="31" t="s">
        <v>590</v>
      </c>
      <c r="E1677" s="31" t="s">
        <v>6646</v>
      </c>
      <c r="F1677" s="31" t="s">
        <v>31</v>
      </c>
      <c r="G1677" s="31">
        <v>280</v>
      </c>
      <c r="H1677" s="31">
        <v>10</v>
      </c>
      <c r="I1677" s="31">
        <v>8</v>
      </c>
      <c r="J1677" s="31" t="s">
        <v>6647</v>
      </c>
      <c r="K1677" s="31" t="s">
        <v>130</v>
      </c>
      <c r="L1677" s="31" t="s">
        <v>56</v>
      </c>
      <c r="M1677" s="31">
        <v>383</v>
      </c>
      <c r="N1677" s="31">
        <v>2024</v>
      </c>
      <c r="O1677" s="31">
        <v>380</v>
      </c>
      <c r="P1677" s="31"/>
      <c r="Q1677" s="31"/>
      <c r="R1677" s="33" t="s">
        <v>6648</v>
      </c>
      <c r="S1677" s="34" t="str">
        <f>HYPERLINK("http://www.cnpol.ru/covers/21417.jpg","фото на сайте")</f>
        <v>фото на сайте</v>
      </c>
    </row>
    <row r="1678" spans="1:19" ht="50.1" customHeight="1">
      <c r="A1678" s="31" t="s">
        <v>35</v>
      </c>
      <c r="B1678" s="32" t="s">
        <v>6649</v>
      </c>
      <c r="C1678" s="31" t="s">
        <v>6650</v>
      </c>
      <c r="D1678" s="31" t="s">
        <v>6651</v>
      </c>
      <c r="E1678" s="31" t="s">
        <v>6652</v>
      </c>
      <c r="F1678" s="31" t="s">
        <v>31</v>
      </c>
      <c r="G1678" s="31">
        <v>185</v>
      </c>
      <c r="H1678" s="31">
        <v>10</v>
      </c>
      <c r="I1678" s="31">
        <v>15</v>
      </c>
      <c r="J1678" s="31" t="s">
        <v>6653</v>
      </c>
      <c r="K1678" s="31" t="s">
        <v>130</v>
      </c>
      <c r="L1678" s="31" t="s">
        <v>56</v>
      </c>
      <c r="M1678" s="31">
        <v>191</v>
      </c>
      <c r="N1678" s="31">
        <v>2025</v>
      </c>
      <c r="O1678" s="31" t="s">
        <v>220</v>
      </c>
      <c r="P1678" s="31"/>
      <c r="Q1678" s="31"/>
      <c r="R1678" s="33" t="s">
        <v>6654</v>
      </c>
      <c r="S1678" s="34" t="str">
        <f>HYPERLINK("http://www.cnpol.ru/covers/21483.jpg","фото на сайте")</f>
        <v>фото на сайте</v>
      </c>
    </row>
    <row r="1679" spans="1:19" ht="50.1" customHeight="1">
      <c r="A1679" s="31"/>
      <c r="B1679" s="32" t="s">
        <v>6655</v>
      </c>
      <c r="C1679" s="31" t="s">
        <v>37</v>
      </c>
      <c r="D1679" s="31" t="s">
        <v>6656</v>
      </c>
      <c r="E1679" s="31" t="s">
        <v>6657</v>
      </c>
      <c r="F1679" s="31" t="s">
        <v>31</v>
      </c>
      <c r="G1679" s="35">
        <v>1796</v>
      </c>
      <c r="H1679" s="31">
        <v>10</v>
      </c>
      <c r="I1679" s="31">
        <v>4</v>
      </c>
      <c r="J1679" s="31" t="s">
        <v>6658</v>
      </c>
      <c r="K1679" s="31" t="s">
        <v>41</v>
      </c>
      <c r="L1679" s="31" t="s">
        <v>34</v>
      </c>
      <c r="M1679" s="31">
        <v>722</v>
      </c>
      <c r="N1679" s="31">
        <v>2023</v>
      </c>
      <c r="O1679" s="31">
        <v>720</v>
      </c>
      <c r="P1679" s="31"/>
      <c r="Q1679" s="31"/>
      <c r="R1679" s="33" t="s">
        <v>6659</v>
      </c>
      <c r="S1679" s="34" t="str">
        <f>HYPERLINK("http://www.cnpol.ru/covers/20512.jpg","фото на сайте")</f>
        <v>фото на сайте</v>
      </c>
    </row>
    <row r="1680" spans="1:19" ht="50.1" customHeight="1">
      <c r="A1680" s="31"/>
      <c r="B1680" s="32" t="s">
        <v>6660</v>
      </c>
      <c r="C1680" s="31" t="s">
        <v>37</v>
      </c>
      <c r="D1680" s="31" t="s">
        <v>6661</v>
      </c>
      <c r="E1680" s="31" t="s">
        <v>6662</v>
      </c>
      <c r="F1680" s="31" t="s">
        <v>31</v>
      </c>
      <c r="G1680" s="31">
        <v>522</v>
      </c>
      <c r="H1680" s="31">
        <v>10</v>
      </c>
      <c r="I1680" s="31">
        <v>14</v>
      </c>
      <c r="J1680" s="31" t="s">
        <v>6663</v>
      </c>
      <c r="K1680" s="31" t="s">
        <v>33</v>
      </c>
      <c r="L1680" s="31" t="s">
        <v>34</v>
      </c>
      <c r="M1680" s="31">
        <v>287</v>
      </c>
      <c r="N1680" s="31">
        <v>2021</v>
      </c>
      <c r="O1680" s="31">
        <v>252</v>
      </c>
      <c r="P1680" s="31"/>
      <c r="Q1680" s="31"/>
      <c r="R1680" s="33"/>
      <c r="S1680" s="34" t="str">
        <f>HYPERLINK("http://www.cnpol.ru/covers/19455.jpg","фото на сайте")</f>
        <v>фото на сайте</v>
      </c>
    </row>
    <row r="1681" spans="1:19" ht="50.1" customHeight="1">
      <c r="A1681" s="31"/>
      <c r="B1681" s="32" t="s">
        <v>6664</v>
      </c>
      <c r="C1681" s="31" t="s">
        <v>630</v>
      </c>
      <c r="D1681" s="31" t="s">
        <v>6665</v>
      </c>
      <c r="E1681" s="31" t="s">
        <v>6666</v>
      </c>
      <c r="F1681" s="31" t="s">
        <v>31</v>
      </c>
      <c r="G1681" s="31">
        <v>96</v>
      </c>
      <c r="H1681" s="31">
        <v>10</v>
      </c>
      <c r="I1681" s="31">
        <v>48</v>
      </c>
      <c r="J1681" s="31" t="s">
        <v>6667</v>
      </c>
      <c r="K1681" s="31" t="s">
        <v>130</v>
      </c>
      <c r="L1681" s="31" t="s">
        <v>56</v>
      </c>
      <c r="M1681" s="31">
        <v>127</v>
      </c>
      <c r="N1681" s="31">
        <v>2005</v>
      </c>
      <c r="O1681" s="31">
        <v>84</v>
      </c>
      <c r="P1681" s="31"/>
      <c r="Q1681" s="31"/>
      <c r="R1681" s="33"/>
      <c r="S1681" s="34" t="str">
        <f>HYPERLINK("http://www.cnpol.ru/covers/6162.jpg","фото на сайте")</f>
        <v>фото на сайте</v>
      </c>
    </row>
    <row r="1682" spans="1:19" ht="50.1" customHeight="1">
      <c r="A1682" s="31"/>
      <c r="B1682" s="32" t="s">
        <v>6668</v>
      </c>
      <c r="C1682" s="31" t="s">
        <v>6669</v>
      </c>
      <c r="D1682" s="31" t="s">
        <v>6616</v>
      </c>
      <c r="E1682" s="31" t="s">
        <v>6670</v>
      </c>
      <c r="F1682" s="31" t="s">
        <v>31</v>
      </c>
      <c r="G1682" s="31">
        <v>122</v>
      </c>
      <c r="H1682" s="31">
        <v>10</v>
      </c>
      <c r="I1682" s="31">
        <v>28</v>
      </c>
      <c r="J1682" s="31" t="s">
        <v>6671</v>
      </c>
      <c r="K1682" s="31" t="s">
        <v>1159</v>
      </c>
      <c r="L1682" s="31" t="s">
        <v>56</v>
      </c>
      <c r="M1682" s="31">
        <v>123</v>
      </c>
      <c r="N1682" s="31">
        <v>2008</v>
      </c>
      <c r="O1682" s="31">
        <v>84</v>
      </c>
      <c r="P1682" s="31"/>
      <c r="Q1682" s="31"/>
      <c r="R1682" s="33"/>
      <c r="S1682" s="34" t="str">
        <f>HYPERLINK("http://www.cnpol.ru/covers/10807.jpg","фото на сайте")</f>
        <v>фото на сайте</v>
      </c>
    </row>
    <row r="1683" spans="1:19" ht="50.1" customHeight="1">
      <c r="A1683" s="31"/>
      <c r="B1683" s="32" t="s">
        <v>6672</v>
      </c>
      <c r="C1683" s="31" t="s">
        <v>6673</v>
      </c>
      <c r="D1683" s="31" t="s">
        <v>6674</v>
      </c>
      <c r="E1683" s="31" t="s">
        <v>6675</v>
      </c>
      <c r="F1683" s="31" t="s">
        <v>31</v>
      </c>
      <c r="G1683" s="31">
        <v>226</v>
      </c>
      <c r="H1683" s="31">
        <v>10</v>
      </c>
      <c r="I1683" s="31">
        <v>15</v>
      </c>
      <c r="J1683" s="31" t="s">
        <v>6676</v>
      </c>
      <c r="K1683" s="31" t="s">
        <v>130</v>
      </c>
      <c r="L1683" s="31" t="s">
        <v>56</v>
      </c>
      <c r="M1683" s="31">
        <v>191</v>
      </c>
      <c r="N1683" s="31">
        <v>2024</v>
      </c>
      <c r="O1683" s="31">
        <v>115</v>
      </c>
      <c r="P1683" s="31"/>
      <c r="Q1683" s="31"/>
      <c r="R1683" s="33" t="s">
        <v>6677</v>
      </c>
      <c r="S1683" s="34" t="str">
        <f>HYPERLINK("http://www.cnpol.ru/covers/20945.jpg","фото на сайте")</f>
        <v>фото на сайте</v>
      </c>
    </row>
    <row r="1684" spans="1:19" ht="50.1" customHeight="1">
      <c r="A1684" s="31"/>
      <c r="B1684" s="32" t="s">
        <v>6678</v>
      </c>
      <c r="C1684" s="31" t="s">
        <v>6673</v>
      </c>
      <c r="D1684" s="31" t="s">
        <v>6674</v>
      </c>
      <c r="E1684" s="31" t="s">
        <v>6679</v>
      </c>
      <c r="F1684" s="31" t="s">
        <v>31</v>
      </c>
      <c r="G1684" s="31">
        <v>226</v>
      </c>
      <c r="H1684" s="31">
        <v>10</v>
      </c>
      <c r="I1684" s="31">
        <v>16</v>
      </c>
      <c r="J1684" s="31" t="s">
        <v>6680</v>
      </c>
      <c r="K1684" s="31" t="s">
        <v>130</v>
      </c>
      <c r="L1684" s="31" t="s">
        <v>56</v>
      </c>
      <c r="M1684" s="31">
        <v>320</v>
      </c>
      <c r="N1684" s="31">
        <v>2019</v>
      </c>
      <c r="O1684" s="31">
        <v>186</v>
      </c>
      <c r="P1684" s="31"/>
      <c r="Q1684" s="31"/>
      <c r="R1684" s="33"/>
      <c r="S1684" s="34" t="str">
        <f>HYPERLINK("http://www.cnpol.ru/covers/18490.jpg","фото на сайте")</f>
        <v>фото на сайте</v>
      </c>
    </row>
    <row r="1685" spans="1:19" ht="50.1" customHeight="1">
      <c r="A1685" s="31"/>
      <c r="B1685" s="32" t="s">
        <v>6681</v>
      </c>
      <c r="C1685" s="31" t="s">
        <v>6673</v>
      </c>
      <c r="D1685" s="31" t="s">
        <v>6674</v>
      </c>
      <c r="E1685" s="31" t="s">
        <v>6682</v>
      </c>
      <c r="F1685" s="31" t="s">
        <v>31</v>
      </c>
      <c r="G1685" s="31">
        <v>226</v>
      </c>
      <c r="H1685" s="31">
        <v>10</v>
      </c>
      <c r="I1685" s="31">
        <v>20</v>
      </c>
      <c r="J1685" s="31" t="s">
        <v>6683</v>
      </c>
      <c r="K1685" s="31" t="s">
        <v>130</v>
      </c>
      <c r="L1685" s="31" t="s">
        <v>56</v>
      </c>
      <c r="M1685" s="31">
        <v>160</v>
      </c>
      <c r="N1685" s="31">
        <v>2019</v>
      </c>
      <c r="O1685" s="31">
        <v>100</v>
      </c>
      <c r="P1685" s="31"/>
      <c r="Q1685" s="31"/>
      <c r="R1685" s="33"/>
      <c r="S1685" s="34" t="str">
        <f>HYPERLINK("http://www.cnpol.ru/covers/18581.jpg","фото на сайте")</f>
        <v>фото на сайте</v>
      </c>
    </row>
    <row r="1686" spans="1:19" ht="50.1" customHeight="1">
      <c r="A1686" s="31"/>
      <c r="B1686" s="32" t="s">
        <v>6684</v>
      </c>
      <c r="C1686" s="31" t="s">
        <v>6673</v>
      </c>
      <c r="D1686" s="31" t="s">
        <v>6674</v>
      </c>
      <c r="E1686" s="31" t="s">
        <v>6685</v>
      </c>
      <c r="F1686" s="31" t="s">
        <v>31</v>
      </c>
      <c r="G1686" s="31">
        <v>244</v>
      </c>
      <c r="H1686" s="31">
        <v>10</v>
      </c>
      <c r="I1686" s="31">
        <v>14</v>
      </c>
      <c r="J1686" s="31" t="s">
        <v>6686</v>
      </c>
      <c r="K1686" s="31" t="s">
        <v>130</v>
      </c>
      <c r="L1686" s="31" t="s">
        <v>56</v>
      </c>
      <c r="M1686" s="31">
        <v>288</v>
      </c>
      <c r="N1686" s="31">
        <v>2023</v>
      </c>
      <c r="O1686" s="31">
        <v>172</v>
      </c>
      <c r="P1686" s="31"/>
      <c r="Q1686" s="31"/>
      <c r="R1686" s="33" t="s">
        <v>6687</v>
      </c>
      <c r="S1686" s="34" t="str">
        <f>HYPERLINK("http://www.cnpol.ru/covers/20603.jpg","фото на сайте")</f>
        <v>фото на сайте</v>
      </c>
    </row>
    <row r="1687" spans="1:19" ht="50.1" customHeight="1">
      <c r="A1687" s="31"/>
      <c r="B1687" s="32" t="s">
        <v>6688</v>
      </c>
      <c r="C1687" s="31" t="s">
        <v>528</v>
      </c>
      <c r="D1687" s="31" t="s">
        <v>529</v>
      </c>
      <c r="E1687" s="31" t="s">
        <v>6689</v>
      </c>
      <c r="F1687" s="31" t="s">
        <v>31</v>
      </c>
      <c r="G1687" s="31">
        <v>137</v>
      </c>
      <c r="H1687" s="31">
        <v>10</v>
      </c>
      <c r="I1687" s="31">
        <v>40</v>
      </c>
      <c r="J1687" s="31" t="s">
        <v>6690</v>
      </c>
      <c r="K1687" s="31" t="s">
        <v>55</v>
      </c>
      <c r="L1687" s="31" t="s">
        <v>56</v>
      </c>
      <c r="M1687" s="31">
        <v>159</v>
      </c>
      <c r="N1687" s="31">
        <v>2016</v>
      </c>
      <c r="O1687" s="31">
        <v>68</v>
      </c>
      <c r="P1687" s="31"/>
      <c r="Q1687" s="31"/>
      <c r="R1687" s="33"/>
      <c r="S1687" s="34" t="str">
        <f>HYPERLINK("http://www.cnpol.ru/covers/16866.jpg","фото на сайте")</f>
        <v>фото на сайте</v>
      </c>
    </row>
    <row r="1688" spans="1:19" ht="50.1" customHeight="1">
      <c r="A1688" s="31"/>
      <c r="B1688" s="32" t="s">
        <v>6691</v>
      </c>
      <c r="C1688" s="31" t="s">
        <v>390</v>
      </c>
      <c r="D1688" s="31" t="s">
        <v>2106</v>
      </c>
      <c r="E1688" s="31" t="s">
        <v>6692</v>
      </c>
      <c r="F1688" s="31">
        <v>841</v>
      </c>
      <c r="G1688" s="31">
        <v>86</v>
      </c>
      <c r="H1688" s="31">
        <v>10</v>
      </c>
      <c r="I1688" s="31">
        <v>30</v>
      </c>
      <c r="J1688" s="31" t="s">
        <v>6693</v>
      </c>
      <c r="K1688" s="31" t="s">
        <v>123</v>
      </c>
      <c r="L1688" s="31" t="s">
        <v>56</v>
      </c>
      <c r="M1688" s="31">
        <v>160</v>
      </c>
      <c r="N1688" s="31">
        <v>2018</v>
      </c>
      <c r="O1688" s="31">
        <v>76</v>
      </c>
      <c r="P1688" s="31"/>
      <c r="Q1688" s="31"/>
      <c r="R1688" s="33"/>
      <c r="S1688" s="34" t="str">
        <f>HYPERLINK("http://www.cnpol.ru/covers/18333.jpg","фото на сайте")</f>
        <v>фото на сайте</v>
      </c>
    </row>
    <row r="1689" spans="1:19" ht="50.1" customHeight="1">
      <c r="A1689" s="31"/>
      <c r="B1689" s="32" t="s">
        <v>6694</v>
      </c>
      <c r="C1689" s="31" t="s">
        <v>390</v>
      </c>
      <c r="D1689" s="31" t="s">
        <v>1728</v>
      </c>
      <c r="E1689" s="31" t="s">
        <v>6695</v>
      </c>
      <c r="F1689" s="31">
        <v>914</v>
      </c>
      <c r="G1689" s="31">
        <v>86</v>
      </c>
      <c r="H1689" s="31">
        <v>10</v>
      </c>
      <c r="I1689" s="31">
        <v>30</v>
      </c>
      <c r="J1689" s="31" t="s">
        <v>6696</v>
      </c>
      <c r="K1689" s="31" t="s">
        <v>123</v>
      </c>
      <c r="L1689" s="31" t="s">
        <v>56</v>
      </c>
      <c r="M1689" s="31">
        <v>160</v>
      </c>
      <c r="N1689" s="31">
        <v>2019</v>
      </c>
      <c r="O1689" s="31">
        <v>76</v>
      </c>
      <c r="P1689" s="31"/>
      <c r="Q1689" s="31"/>
      <c r="R1689" s="33"/>
      <c r="S1689" s="34" t="str">
        <f>HYPERLINK("http://www.cnpol.ru/covers/18801.jpg","фото на сайте")</f>
        <v>фото на сайте</v>
      </c>
    </row>
    <row r="1690" spans="1:19" ht="50.1" customHeight="1">
      <c r="A1690" s="31"/>
      <c r="B1690" s="32" t="s">
        <v>6697</v>
      </c>
      <c r="C1690" s="31" t="s">
        <v>6698</v>
      </c>
      <c r="D1690" s="31" t="s">
        <v>6699</v>
      </c>
      <c r="E1690" s="31" t="s">
        <v>6700</v>
      </c>
      <c r="F1690" s="31" t="s">
        <v>31</v>
      </c>
      <c r="G1690" s="31">
        <v>675</v>
      </c>
      <c r="H1690" s="31">
        <v>10</v>
      </c>
      <c r="I1690" s="31">
        <v>6</v>
      </c>
      <c r="J1690" s="31" t="s">
        <v>6701</v>
      </c>
      <c r="K1690" s="31" t="s">
        <v>260</v>
      </c>
      <c r="L1690" s="31" t="s">
        <v>34</v>
      </c>
      <c r="M1690" s="31">
        <v>736</v>
      </c>
      <c r="N1690" s="31">
        <v>2004</v>
      </c>
      <c r="O1690" s="31">
        <v>734</v>
      </c>
      <c r="P1690" s="31"/>
      <c r="Q1690" s="31"/>
      <c r="R1690" s="33"/>
      <c r="S1690" s="34" t="str">
        <f>HYPERLINK("http://www.cnpol.ru/covers/4677.jpg","фото на сайте")</f>
        <v>фото на сайте</v>
      </c>
    </row>
    <row r="1691" spans="1:19" ht="50.1" customHeight="1">
      <c r="A1691" s="31" t="s">
        <v>35</v>
      </c>
      <c r="B1691" s="32" t="s">
        <v>6702</v>
      </c>
      <c r="C1691" s="31" t="s">
        <v>802</v>
      </c>
      <c r="D1691" s="31" t="s">
        <v>6703</v>
      </c>
      <c r="E1691" s="31" t="s">
        <v>6704</v>
      </c>
      <c r="F1691" s="31" t="s">
        <v>31</v>
      </c>
      <c r="G1691" s="35">
        <v>1547</v>
      </c>
      <c r="H1691" s="31">
        <v>10</v>
      </c>
      <c r="I1691" s="31">
        <v>4</v>
      </c>
      <c r="J1691" s="31" t="s">
        <v>6705</v>
      </c>
      <c r="K1691" s="31" t="s">
        <v>33</v>
      </c>
      <c r="L1691" s="31" t="s">
        <v>34</v>
      </c>
      <c r="M1691" s="31">
        <v>703</v>
      </c>
      <c r="N1691" s="31">
        <v>2025</v>
      </c>
      <c r="O1691" s="31">
        <v>700</v>
      </c>
      <c r="P1691" s="31"/>
      <c r="Q1691" s="31"/>
      <c r="R1691" s="33" t="s">
        <v>6706</v>
      </c>
      <c r="S1691" s="34" t="str">
        <f>HYPERLINK("http://www.cnpol.ru/covers/21631.jpg","фото на сайте")</f>
        <v>фото на сайте</v>
      </c>
    </row>
    <row r="1692" spans="1:19" ht="50.1" customHeight="1">
      <c r="A1692" s="31" t="s">
        <v>35</v>
      </c>
      <c r="B1692" s="32" t="s">
        <v>6707</v>
      </c>
      <c r="C1692" s="31" t="s">
        <v>37</v>
      </c>
      <c r="D1692" s="31" t="s">
        <v>6708</v>
      </c>
      <c r="E1692" s="31" t="s">
        <v>6709</v>
      </c>
      <c r="F1692" s="31" t="s">
        <v>31</v>
      </c>
      <c r="G1692" s="35">
        <v>4532</v>
      </c>
      <c r="H1692" s="31">
        <v>10</v>
      </c>
      <c r="I1692" s="31">
        <v>2</v>
      </c>
      <c r="J1692" s="31" t="s">
        <v>6710</v>
      </c>
      <c r="K1692" s="31" t="s">
        <v>319</v>
      </c>
      <c r="L1692" s="31" t="s">
        <v>34</v>
      </c>
      <c r="M1692" s="31">
        <v>1231</v>
      </c>
      <c r="N1692" s="31">
        <v>2024</v>
      </c>
      <c r="O1692" s="31">
        <v>2109</v>
      </c>
      <c r="P1692" s="31"/>
      <c r="Q1692" s="31"/>
      <c r="R1692" s="33" t="s">
        <v>6711</v>
      </c>
      <c r="S1692" s="34" t="str">
        <f>HYPERLINK("http://www.cnpol.ru/covers/21275.jpg","фото на сайте")</f>
        <v>фото на сайте</v>
      </c>
    </row>
    <row r="1693" spans="1:19" ht="50.1" customHeight="1">
      <c r="A1693" s="31"/>
      <c r="B1693" s="32" t="s">
        <v>6712</v>
      </c>
      <c r="C1693" s="31" t="s">
        <v>37</v>
      </c>
      <c r="D1693" s="31" t="s">
        <v>6713</v>
      </c>
      <c r="E1693" s="31" t="s">
        <v>6714</v>
      </c>
      <c r="F1693" s="31" t="s">
        <v>31</v>
      </c>
      <c r="G1693" s="31">
        <v>539</v>
      </c>
      <c r="H1693" s="31">
        <v>10</v>
      </c>
      <c r="I1693" s="31">
        <v>18</v>
      </c>
      <c r="J1693" s="31" t="s">
        <v>6715</v>
      </c>
      <c r="K1693" s="31" t="s">
        <v>33</v>
      </c>
      <c r="L1693" s="31" t="s">
        <v>34</v>
      </c>
      <c r="M1693" s="31">
        <v>320</v>
      </c>
      <c r="N1693" s="31">
        <v>2017</v>
      </c>
      <c r="O1693" s="31">
        <v>318</v>
      </c>
      <c r="P1693" s="31"/>
      <c r="Q1693" s="31"/>
      <c r="R1693" s="33"/>
      <c r="S1693" s="34" t="str">
        <f>HYPERLINK("http://www.cnpol.ru/covers/17384.jpg","фото на сайте")</f>
        <v>фото на сайте</v>
      </c>
    </row>
    <row r="1694" spans="1:19" ht="50.1" customHeight="1">
      <c r="A1694" s="31"/>
      <c r="B1694" s="32" t="s">
        <v>6716</v>
      </c>
      <c r="C1694" s="31" t="s">
        <v>171</v>
      </c>
      <c r="D1694" s="31" t="s">
        <v>172</v>
      </c>
      <c r="E1694" s="31" t="s">
        <v>6717</v>
      </c>
      <c r="F1694" s="31" t="s">
        <v>31</v>
      </c>
      <c r="G1694" s="35">
        <v>2236</v>
      </c>
      <c r="H1694" s="31">
        <v>10</v>
      </c>
      <c r="I1694" s="31">
        <v>3</v>
      </c>
      <c r="J1694" s="31" t="s">
        <v>6718</v>
      </c>
      <c r="K1694" s="31" t="s">
        <v>41</v>
      </c>
      <c r="L1694" s="31" t="s">
        <v>34</v>
      </c>
      <c r="M1694" s="31">
        <v>927</v>
      </c>
      <c r="N1694" s="31">
        <v>2023</v>
      </c>
      <c r="O1694" s="31">
        <v>1035</v>
      </c>
      <c r="P1694" s="31"/>
      <c r="Q1694" s="31"/>
      <c r="R1694" s="33" t="s">
        <v>6719</v>
      </c>
      <c r="S1694" s="34" t="str">
        <f>HYPERLINK("http://www.cnpol.ru/covers/20838.jpg","фото на сайте")</f>
        <v>фото на сайте</v>
      </c>
    </row>
    <row r="1695" spans="1:19" ht="50.1" customHeight="1">
      <c r="A1695" s="31"/>
      <c r="B1695" s="32" t="s">
        <v>6720</v>
      </c>
      <c r="C1695" s="31" t="s">
        <v>5849</v>
      </c>
      <c r="D1695" s="31" t="s">
        <v>386</v>
      </c>
      <c r="E1695" s="31" t="s">
        <v>6721</v>
      </c>
      <c r="F1695" s="31" t="s">
        <v>31</v>
      </c>
      <c r="G1695" s="31">
        <v>96</v>
      </c>
      <c r="H1695" s="31">
        <v>10</v>
      </c>
      <c r="I1695" s="31">
        <v>28</v>
      </c>
      <c r="J1695" s="31" t="s">
        <v>6722</v>
      </c>
      <c r="K1695" s="31" t="s">
        <v>55</v>
      </c>
      <c r="L1695" s="31" t="s">
        <v>56</v>
      </c>
      <c r="M1695" s="31">
        <v>270</v>
      </c>
      <c r="N1695" s="31">
        <v>2008</v>
      </c>
      <c r="O1695" s="31">
        <v>120</v>
      </c>
      <c r="P1695" s="31"/>
      <c r="Q1695" s="31"/>
      <c r="R1695" s="33"/>
      <c r="S1695" s="34" t="str">
        <f>HYPERLINK("http://www.cnpol.ru/covers/10221.jpg","фото на сайте")</f>
        <v>фото на сайте</v>
      </c>
    </row>
    <row r="1696" spans="1:19" ht="50.1" customHeight="1">
      <c r="A1696" s="31"/>
      <c r="B1696" s="32" t="s">
        <v>6723</v>
      </c>
      <c r="C1696" s="31" t="s">
        <v>385</v>
      </c>
      <c r="D1696" s="31" t="s">
        <v>386</v>
      </c>
      <c r="E1696" s="31" t="s">
        <v>6721</v>
      </c>
      <c r="F1696" s="31" t="s">
        <v>31</v>
      </c>
      <c r="G1696" s="31">
        <v>162</v>
      </c>
      <c r="H1696" s="31">
        <v>10</v>
      </c>
      <c r="I1696" s="31">
        <v>32</v>
      </c>
      <c r="J1696" s="31" t="s">
        <v>6724</v>
      </c>
      <c r="K1696" s="31" t="s">
        <v>55</v>
      </c>
      <c r="L1696" s="31" t="s">
        <v>56</v>
      </c>
      <c r="M1696" s="31">
        <v>272</v>
      </c>
      <c r="N1696" s="31">
        <v>2016</v>
      </c>
      <c r="O1696" s="31">
        <v>114</v>
      </c>
      <c r="P1696" s="31"/>
      <c r="Q1696" s="31"/>
      <c r="R1696" s="33"/>
      <c r="S1696" s="34" t="str">
        <f>HYPERLINK("http://www.cnpol.ru/covers/0143.jpg","фото на сайте")</f>
        <v>фото на сайте</v>
      </c>
    </row>
    <row r="1697" spans="1:19" ht="50.1" customHeight="1">
      <c r="A1697" s="31"/>
      <c r="B1697" s="32" t="s">
        <v>6725</v>
      </c>
      <c r="C1697" s="31" t="s">
        <v>1050</v>
      </c>
      <c r="D1697" s="31" t="s">
        <v>6726</v>
      </c>
      <c r="E1697" s="31" t="s">
        <v>6727</v>
      </c>
      <c r="F1697" s="31" t="s">
        <v>31</v>
      </c>
      <c r="G1697" s="31">
        <v>386</v>
      </c>
      <c r="H1697" s="31">
        <v>10</v>
      </c>
      <c r="I1697" s="31">
        <v>16</v>
      </c>
      <c r="J1697" s="31" t="s">
        <v>6728</v>
      </c>
      <c r="K1697" s="31" t="s">
        <v>33</v>
      </c>
      <c r="L1697" s="31" t="s">
        <v>210</v>
      </c>
      <c r="M1697" s="31">
        <v>317</v>
      </c>
      <c r="N1697" s="31">
        <v>2022</v>
      </c>
      <c r="O1697" s="31">
        <v>244</v>
      </c>
      <c r="P1697" s="31"/>
      <c r="Q1697" s="31"/>
      <c r="R1697" s="33" t="s">
        <v>6729</v>
      </c>
      <c r="S1697" s="34" t="str">
        <f>HYPERLINK("http://www.cnpol.ru/covers/20476.jpg","фото на сайте")</f>
        <v>фото на сайте</v>
      </c>
    </row>
    <row r="1698" spans="1:19" ht="50.1" customHeight="1">
      <c r="A1698" s="31" t="s">
        <v>35</v>
      </c>
      <c r="B1698" s="32" t="s">
        <v>6730</v>
      </c>
      <c r="C1698" s="31" t="s">
        <v>143</v>
      </c>
      <c r="D1698" s="31" t="s">
        <v>3321</v>
      </c>
      <c r="E1698" s="31" t="s">
        <v>6731</v>
      </c>
      <c r="F1698" s="31" t="s">
        <v>31</v>
      </c>
      <c r="G1698" s="35">
        <v>1076</v>
      </c>
      <c r="H1698" s="31">
        <v>10</v>
      </c>
      <c r="I1698" s="31">
        <v>5</v>
      </c>
      <c r="J1698" s="31" t="s">
        <v>6732</v>
      </c>
      <c r="K1698" s="31" t="s">
        <v>33</v>
      </c>
      <c r="L1698" s="31" t="s">
        <v>34</v>
      </c>
      <c r="M1698" s="31">
        <v>414</v>
      </c>
      <c r="N1698" s="31">
        <v>2025</v>
      </c>
      <c r="O1698" s="31">
        <v>450</v>
      </c>
      <c r="P1698" s="31"/>
      <c r="Q1698" s="31"/>
      <c r="R1698" s="33" t="s">
        <v>6733</v>
      </c>
      <c r="S1698" s="34" t="str">
        <f>HYPERLINK("http://www.cnpol.ru/covers/21569.jpg","фото на сайте")</f>
        <v>фото на сайте</v>
      </c>
    </row>
    <row r="1699" spans="1:19" ht="50.1" customHeight="1">
      <c r="A1699" s="31" t="s">
        <v>35</v>
      </c>
      <c r="B1699" s="32" t="s">
        <v>6734</v>
      </c>
      <c r="C1699" s="31" t="s">
        <v>37</v>
      </c>
      <c r="D1699" s="31" t="s">
        <v>6735</v>
      </c>
      <c r="E1699" s="31" t="s">
        <v>6736</v>
      </c>
      <c r="F1699" s="31" t="s">
        <v>31</v>
      </c>
      <c r="G1699" s="31">
        <v>771</v>
      </c>
      <c r="H1699" s="31">
        <v>10</v>
      </c>
      <c r="I1699" s="31">
        <v>6</v>
      </c>
      <c r="J1699" s="31" t="s">
        <v>6737</v>
      </c>
      <c r="K1699" s="31" t="s">
        <v>33</v>
      </c>
      <c r="L1699" s="31" t="s">
        <v>34</v>
      </c>
      <c r="M1699" s="31">
        <v>223</v>
      </c>
      <c r="N1699" s="31">
        <v>2025</v>
      </c>
      <c r="O1699" s="31">
        <v>326</v>
      </c>
      <c r="P1699" s="31"/>
      <c r="Q1699" s="31"/>
      <c r="R1699" s="33" t="s">
        <v>6738</v>
      </c>
      <c r="S1699" s="34" t="str">
        <f>HYPERLINK("http://www.cnpol.ru/covers/21454.jpg","фото на сайте")</f>
        <v>фото на сайте</v>
      </c>
    </row>
    <row r="1700" spans="1:19" ht="50.1" customHeight="1">
      <c r="A1700" s="31" t="s">
        <v>43</v>
      </c>
      <c r="B1700" s="32" t="s">
        <v>6739</v>
      </c>
      <c r="C1700" s="31" t="s">
        <v>143</v>
      </c>
      <c r="D1700" s="31" t="s">
        <v>6740</v>
      </c>
      <c r="E1700" s="31" t="s">
        <v>6741</v>
      </c>
      <c r="F1700" s="31" t="s">
        <v>31</v>
      </c>
      <c r="G1700" s="31">
        <v>539</v>
      </c>
      <c r="H1700" s="31">
        <v>10</v>
      </c>
      <c r="I1700" s="31">
        <v>16</v>
      </c>
      <c r="J1700" s="31" t="s">
        <v>6742</v>
      </c>
      <c r="K1700" s="31" t="s">
        <v>33</v>
      </c>
      <c r="L1700" s="31" t="s">
        <v>34</v>
      </c>
      <c r="M1700" s="31">
        <v>255</v>
      </c>
      <c r="N1700" s="31">
        <v>2024</v>
      </c>
      <c r="O1700" s="31">
        <v>236</v>
      </c>
      <c r="P1700" s="31"/>
      <c r="Q1700" s="31"/>
      <c r="R1700" s="33" t="s">
        <v>6743</v>
      </c>
      <c r="S1700" s="34" t="str">
        <f>HYPERLINK("http://www.cnpol.ru/covers/21165.jpg","фото на сайте")</f>
        <v>фото на сайте</v>
      </c>
    </row>
    <row r="1701" spans="1:19" ht="50.1" customHeight="1">
      <c r="A1701" s="31"/>
      <c r="B1701" s="32" t="s">
        <v>6744</v>
      </c>
      <c r="C1701" s="31" t="s">
        <v>1050</v>
      </c>
      <c r="D1701" s="31" t="s">
        <v>4214</v>
      </c>
      <c r="E1701" s="31" t="s">
        <v>6745</v>
      </c>
      <c r="F1701" s="31" t="s">
        <v>31</v>
      </c>
      <c r="G1701" s="31">
        <v>386</v>
      </c>
      <c r="H1701" s="31">
        <v>10</v>
      </c>
      <c r="I1701" s="31">
        <v>28</v>
      </c>
      <c r="J1701" s="31" t="s">
        <v>6746</v>
      </c>
      <c r="K1701" s="31" t="s">
        <v>33</v>
      </c>
      <c r="L1701" s="31" t="s">
        <v>210</v>
      </c>
      <c r="M1701" s="31">
        <v>189</v>
      </c>
      <c r="N1701" s="31">
        <v>2022</v>
      </c>
      <c r="O1701" s="31">
        <v>120</v>
      </c>
      <c r="P1701" s="31"/>
      <c r="Q1701" s="31"/>
      <c r="R1701" s="33"/>
      <c r="S1701" s="34" t="str">
        <f>HYPERLINK("http://www.cnpol.ru/covers/20042.jpg","фото на сайте")</f>
        <v>фото на сайте</v>
      </c>
    </row>
    <row r="1702" spans="1:19" ht="50.1" customHeight="1">
      <c r="A1702" s="31"/>
      <c r="B1702" s="32" t="s">
        <v>6747</v>
      </c>
      <c r="C1702" s="31" t="s">
        <v>479</v>
      </c>
      <c r="D1702" s="31" t="s">
        <v>6748</v>
      </c>
      <c r="E1702" s="31" t="s">
        <v>6749</v>
      </c>
      <c r="F1702" s="31" t="s">
        <v>31</v>
      </c>
      <c r="G1702" s="31">
        <v>675</v>
      </c>
      <c r="H1702" s="31">
        <v>10</v>
      </c>
      <c r="I1702" s="31">
        <v>14</v>
      </c>
      <c r="J1702" s="31" t="s">
        <v>6750</v>
      </c>
      <c r="K1702" s="31" t="s">
        <v>41</v>
      </c>
      <c r="L1702" s="31" t="s">
        <v>34</v>
      </c>
      <c r="M1702" s="31">
        <v>448</v>
      </c>
      <c r="N1702" s="31">
        <v>2018</v>
      </c>
      <c r="O1702" s="31">
        <v>398</v>
      </c>
      <c r="P1702" s="31"/>
      <c r="Q1702" s="31"/>
      <c r="R1702" s="33"/>
      <c r="S1702" s="34" t="str">
        <f>HYPERLINK("http://www.cnpol.ru/covers/18058.jpg","фото на сайте")</f>
        <v>фото на сайте</v>
      </c>
    </row>
    <row r="1703" spans="1:19" ht="50.1" customHeight="1">
      <c r="A1703" s="31"/>
      <c r="B1703" s="32" t="s">
        <v>6751</v>
      </c>
      <c r="C1703" s="31" t="s">
        <v>1102</v>
      </c>
      <c r="D1703" s="31" t="s">
        <v>3991</v>
      </c>
      <c r="E1703" s="31" t="s">
        <v>6752</v>
      </c>
      <c r="F1703" s="31" t="s">
        <v>31</v>
      </c>
      <c r="G1703" s="31">
        <v>640</v>
      </c>
      <c r="H1703" s="31">
        <v>10</v>
      </c>
      <c r="I1703" s="31">
        <v>10</v>
      </c>
      <c r="J1703" s="31" t="s">
        <v>6753</v>
      </c>
      <c r="K1703" s="31" t="s">
        <v>33</v>
      </c>
      <c r="L1703" s="31" t="s">
        <v>34</v>
      </c>
      <c r="M1703" s="31">
        <v>448</v>
      </c>
      <c r="N1703" s="31">
        <v>2016</v>
      </c>
      <c r="O1703" s="31">
        <v>344</v>
      </c>
      <c r="P1703" s="31"/>
      <c r="Q1703" s="31"/>
      <c r="R1703" s="33"/>
      <c r="S1703" s="34" t="str">
        <f>HYPERLINK("http://www.cnpol.ru/covers/16640.jpg","фото на сайте")</f>
        <v>фото на сайте</v>
      </c>
    </row>
    <row r="1704" spans="1:19" ht="50.1" customHeight="1">
      <c r="A1704" s="31"/>
      <c r="B1704" s="32" t="s">
        <v>6754</v>
      </c>
      <c r="C1704" s="31" t="s">
        <v>28</v>
      </c>
      <c r="D1704" s="31" t="s">
        <v>6755</v>
      </c>
      <c r="E1704" s="31" t="s">
        <v>6756</v>
      </c>
      <c r="F1704" s="31" t="s">
        <v>31</v>
      </c>
      <c r="G1704" s="31">
        <v>675</v>
      </c>
      <c r="H1704" s="31">
        <v>10</v>
      </c>
      <c r="I1704" s="31">
        <v>8</v>
      </c>
      <c r="J1704" s="31" t="s">
        <v>6757</v>
      </c>
      <c r="K1704" s="31" t="s">
        <v>33</v>
      </c>
      <c r="L1704" s="31" t="s">
        <v>34</v>
      </c>
      <c r="M1704" s="31">
        <v>576</v>
      </c>
      <c r="N1704" s="31">
        <v>2016</v>
      </c>
      <c r="O1704" s="31">
        <v>524</v>
      </c>
      <c r="P1704" s="31"/>
      <c r="Q1704" s="31"/>
      <c r="R1704" s="33"/>
      <c r="S1704" s="34" t="str">
        <f>HYPERLINK("http://www.cnpol.ru/covers/17136.jpg","фото на сайте")</f>
        <v>фото на сайте</v>
      </c>
    </row>
    <row r="1705" spans="1:19" ht="50.1" customHeight="1">
      <c r="A1705" s="31" t="s">
        <v>43</v>
      </c>
      <c r="B1705" s="32" t="s">
        <v>6758</v>
      </c>
      <c r="C1705" s="31" t="s">
        <v>37</v>
      </c>
      <c r="D1705" s="31" t="s">
        <v>2555</v>
      </c>
      <c r="E1705" s="31" t="s">
        <v>6759</v>
      </c>
      <c r="F1705" s="31" t="s">
        <v>31</v>
      </c>
      <c r="G1705" s="31">
        <v>461</v>
      </c>
      <c r="H1705" s="31">
        <v>10</v>
      </c>
      <c r="I1705" s="31">
        <v>16</v>
      </c>
      <c r="J1705" s="31" t="s">
        <v>6760</v>
      </c>
      <c r="K1705" s="31" t="s">
        <v>33</v>
      </c>
      <c r="L1705" s="31" t="s">
        <v>34</v>
      </c>
      <c r="M1705" s="31">
        <v>255</v>
      </c>
      <c r="N1705" s="31">
        <v>2024</v>
      </c>
      <c r="O1705" s="31">
        <v>302</v>
      </c>
      <c r="P1705" s="31"/>
      <c r="Q1705" s="31"/>
      <c r="R1705" s="33" t="s">
        <v>6761</v>
      </c>
      <c r="S1705" s="34" t="str">
        <f>HYPERLINK("http://www.cnpol.ru/covers/21337.jpg","фото на сайте")</f>
        <v>фото на сайте</v>
      </c>
    </row>
    <row r="1706" spans="1:19" ht="50.1" customHeight="1">
      <c r="A1706" s="31" t="s">
        <v>43</v>
      </c>
      <c r="B1706" s="32" t="s">
        <v>6762</v>
      </c>
      <c r="C1706" s="31" t="s">
        <v>37</v>
      </c>
      <c r="D1706" s="31" t="s">
        <v>6763</v>
      </c>
      <c r="E1706" s="31" t="s">
        <v>6764</v>
      </c>
      <c r="F1706" s="31" t="s">
        <v>31</v>
      </c>
      <c r="G1706" s="31">
        <v>575</v>
      </c>
      <c r="H1706" s="31">
        <v>10</v>
      </c>
      <c r="I1706" s="31">
        <v>10</v>
      </c>
      <c r="J1706" s="31" t="s">
        <v>6765</v>
      </c>
      <c r="K1706" s="31" t="s">
        <v>33</v>
      </c>
      <c r="L1706" s="31" t="s">
        <v>34</v>
      </c>
      <c r="M1706" s="31">
        <v>479</v>
      </c>
      <c r="N1706" s="31">
        <v>2024</v>
      </c>
      <c r="O1706" s="31">
        <v>357</v>
      </c>
      <c r="P1706" s="31"/>
      <c r="Q1706" s="31"/>
      <c r="R1706" s="33" t="s">
        <v>6766</v>
      </c>
      <c r="S1706" s="34" t="str">
        <f>HYPERLINK("http://www.cnpol.ru/covers/20994.jpg","фото на сайте")</f>
        <v>фото на сайте</v>
      </c>
    </row>
    <row r="1707" spans="1:19" ht="50.1" customHeight="1">
      <c r="A1707" s="31"/>
      <c r="B1707" s="32" t="s">
        <v>6767</v>
      </c>
      <c r="C1707" s="31" t="s">
        <v>6768</v>
      </c>
      <c r="D1707" s="31" t="s">
        <v>6769</v>
      </c>
      <c r="E1707" s="31" t="s">
        <v>6770</v>
      </c>
      <c r="F1707" s="31" t="s">
        <v>31</v>
      </c>
      <c r="G1707" s="31">
        <v>486</v>
      </c>
      <c r="H1707" s="31">
        <v>10</v>
      </c>
      <c r="I1707" s="31">
        <v>15</v>
      </c>
      <c r="J1707" s="31" t="s">
        <v>6771</v>
      </c>
      <c r="K1707" s="31" t="s">
        <v>319</v>
      </c>
      <c r="L1707" s="31" t="s">
        <v>34</v>
      </c>
      <c r="M1707" s="31">
        <v>48</v>
      </c>
      <c r="N1707" s="31">
        <v>2008</v>
      </c>
      <c r="O1707" s="31">
        <v>292</v>
      </c>
      <c r="P1707" s="31"/>
      <c r="Q1707" s="31"/>
      <c r="R1707" s="33"/>
      <c r="S1707" s="34" t="str">
        <f>HYPERLINK("http://www.cnpol.ru/covers/7981.jpg","фото на сайте")</f>
        <v>фото на сайте</v>
      </c>
    </row>
    <row r="1708" spans="1:19" ht="50.1" customHeight="1">
      <c r="A1708" s="31"/>
      <c r="B1708" s="32" t="s">
        <v>6772</v>
      </c>
      <c r="C1708" s="31" t="s">
        <v>37</v>
      </c>
      <c r="D1708" s="31" t="s">
        <v>2408</v>
      </c>
      <c r="E1708" s="31" t="s">
        <v>6773</v>
      </c>
      <c r="F1708" s="31" t="s">
        <v>31</v>
      </c>
      <c r="G1708" s="31">
        <v>611</v>
      </c>
      <c r="H1708" s="31">
        <v>10</v>
      </c>
      <c r="I1708" s="31">
        <v>12</v>
      </c>
      <c r="J1708" s="31" t="s">
        <v>6774</v>
      </c>
      <c r="K1708" s="31" t="s">
        <v>33</v>
      </c>
      <c r="L1708" s="31" t="s">
        <v>34</v>
      </c>
      <c r="M1708" s="31">
        <v>415</v>
      </c>
      <c r="N1708" s="31">
        <v>2015</v>
      </c>
      <c r="O1708" s="31">
        <v>350</v>
      </c>
      <c r="P1708" s="31"/>
      <c r="Q1708" s="31"/>
      <c r="R1708" s="33"/>
      <c r="S1708" s="34" t="str">
        <f>HYPERLINK("http://www.cnpol.ru/covers/16022.jpg","фото на сайте")</f>
        <v>фото на сайте</v>
      </c>
    </row>
    <row r="1709" spans="1:19" ht="50.1" customHeight="1">
      <c r="A1709" s="31"/>
      <c r="B1709" s="32" t="s">
        <v>6775</v>
      </c>
      <c r="C1709" s="31" t="s">
        <v>546</v>
      </c>
      <c r="D1709" s="31" t="s">
        <v>1581</v>
      </c>
      <c r="E1709" s="31" t="s">
        <v>6776</v>
      </c>
      <c r="F1709" s="31">
        <v>285</v>
      </c>
      <c r="G1709" s="31">
        <v>93</v>
      </c>
      <c r="H1709" s="31">
        <v>10</v>
      </c>
      <c r="I1709" s="31">
        <v>30</v>
      </c>
      <c r="J1709" s="31" t="s">
        <v>6777</v>
      </c>
      <c r="K1709" s="31" t="s">
        <v>123</v>
      </c>
      <c r="L1709" s="31" t="s">
        <v>56</v>
      </c>
      <c r="M1709" s="31">
        <v>160</v>
      </c>
      <c r="N1709" s="31">
        <v>2018</v>
      </c>
      <c r="O1709" s="31">
        <v>76</v>
      </c>
      <c r="P1709" s="31"/>
      <c r="Q1709" s="31"/>
      <c r="R1709" s="33"/>
      <c r="S1709" s="34" t="str">
        <f>HYPERLINK("http://www.cnpol.ru/covers/18383.jpg","фото на сайте")</f>
        <v>фото на сайте</v>
      </c>
    </row>
    <row r="1710" spans="1:19" ht="50.1" customHeight="1">
      <c r="A1710" s="31"/>
      <c r="B1710" s="32" t="s">
        <v>6778</v>
      </c>
      <c r="C1710" s="31" t="s">
        <v>1920</v>
      </c>
      <c r="D1710" s="31" t="s">
        <v>1921</v>
      </c>
      <c r="E1710" s="31" t="s">
        <v>6779</v>
      </c>
      <c r="F1710" s="31" t="s">
        <v>31</v>
      </c>
      <c r="G1710" s="31">
        <v>258</v>
      </c>
      <c r="H1710" s="31">
        <v>10</v>
      </c>
      <c r="I1710" s="31">
        <v>24</v>
      </c>
      <c r="J1710" s="31" t="s">
        <v>6780</v>
      </c>
      <c r="K1710" s="31" t="s">
        <v>130</v>
      </c>
      <c r="L1710" s="31" t="s">
        <v>56</v>
      </c>
      <c r="M1710" s="31">
        <v>224</v>
      </c>
      <c r="N1710" s="31">
        <v>2022</v>
      </c>
      <c r="O1710" s="31">
        <v>134</v>
      </c>
      <c r="P1710" s="31"/>
      <c r="Q1710" s="31"/>
      <c r="R1710" s="33"/>
      <c r="S1710" s="34" t="str">
        <f>HYPERLINK("http://www.cnpol.ru/covers/20164.jpg","фото на сайте")</f>
        <v>фото на сайте</v>
      </c>
    </row>
    <row r="1711" spans="1:19" ht="50.1" customHeight="1">
      <c r="A1711" s="31"/>
      <c r="B1711" s="32" t="s">
        <v>6781</v>
      </c>
      <c r="C1711" s="31" t="s">
        <v>5430</v>
      </c>
      <c r="D1711" s="31" t="s">
        <v>1921</v>
      </c>
      <c r="E1711" s="31" t="s">
        <v>6779</v>
      </c>
      <c r="F1711" s="31" t="s">
        <v>31</v>
      </c>
      <c r="G1711" s="31">
        <v>539</v>
      </c>
      <c r="H1711" s="31">
        <v>10</v>
      </c>
      <c r="I1711" s="31">
        <v>16</v>
      </c>
      <c r="J1711" s="31" t="s">
        <v>6782</v>
      </c>
      <c r="K1711" s="31" t="s">
        <v>33</v>
      </c>
      <c r="L1711" s="31" t="s">
        <v>34</v>
      </c>
      <c r="M1711" s="31">
        <v>224</v>
      </c>
      <c r="N1711" s="31">
        <v>2012</v>
      </c>
      <c r="O1711" s="31">
        <v>262</v>
      </c>
      <c r="P1711" s="31"/>
      <c r="Q1711" s="31"/>
      <c r="R1711" s="33"/>
      <c r="S1711" s="34" t="str">
        <f>HYPERLINK("http://www.cnpol.ru/covers/13899.jpg","фото на сайте")</f>
        <v>фото на сайте</v>
      </c>
    </row>
    <row r="1712" spans="1:19" ht="50.1" customHeight="1">
      <c r="A1712" s="31"/>
      <c r="B1712" s="32" t="s">
        <v>6783</v>
      </c>
      <c r="C1712" s="31" t="s">
        <v>390</v>
      </c>
      <c r="D1712" s="31" t="s">
        <v>1754</v>
      </c>
      <c r="E1712" s="31" t="s">
        <v>6784</v>
      </c>
      <c r="F1712" s="31">
        <v>262</v>
      </c>
      <c r="G1712" s="31">
        <v>86</v>
      </c>
      <c r="H1712" s="31">
        <v>10</v>
      </c>
      <c r="I1712" s="31">
        <v>30</v>
      </c>
      <c r="J1712" s="31" t="s">
        <v>6785</v>
      </c>
      <c r="K1712" s="31" t="s">
        <v>123</v>
      </c>
      <c r="L1712" s="31" t="s">
        <v>56</v>
      </c>
      <c r="M1712" s="31">
        <v>158</v>
      </c>
      <c r="N1712" s="31">
        <v>2012</v>
      </c>
      <c r="O1712" s="31">
        <v>78</v>
      </c>
      <c r="P1712" s="31"/>
      <c r="Q1712" s="31"/>
      <c r="R1712" s="33"/>
      <c r="S1712" s="34" t="str">
        <f>HYPERLINK("http://www.cnpol.ru/covers/13777.jpg","фото на сайте")</f>
        <v>фото на сайте</v>
      </c>
    </row>
    <row r="1713" spans="1:19" ht="50.1" customHeight="1">
      <c r="A1713" s="31"/>
      <c r="B1713" s="32" t="s">
        <v>6786</v>
      </c>
      <c r="C1713" s="31" t="s">
        <v>546</v>
      </c>
      <c r="D1713" s="31" t="s">
        <v>6787</v>
      </c>
      <c r="E1713" s="31" t="s">
        <v>6788</v>
      </c>
      <c r="F1713" s="31">
        <v>123</v>
      </c>
      <c r="G1713" s="31">
        <v>93</v>
      </c>
      <c r="H1713" s="31">
        <v>10</v>
      </c>
      <c r="I1713" s="31">
        <v>30</v>
      </c>
      <c r="J1713" s="31" t="s">
        <v>6789</v>
      </c>
      <c r="K1713" s="31" t="s">
        <v>123</v>
      </c>
      <c r="L1713" s="31" t="s">
        <v>56</v>
      </c>
      <c r="M1713" s="31">
        <v>158</v>
      </c>
      <c r="N1713" s="31">
        <v>2015</v>
      </c>
      <c r="O1713" s="31">
        <v>76</v>
      </c>
      <c r="P1713" s="31"/>
      <c r="Q1713" s="31"/>
      <c r="R1713" s="33"/>
      <c r="S1713" s="34" t="str">
        <f>HYPERLINK("http://www.cnpol.ru/covers/16053.jpg","фото на сайте")</f>
        <v>фото на сайте</v>
      </c>
    </row>
    <row r="1714" spans="1:19" ht="50.1" customHeight="1">
      <c r="A1714" s="31"/>
      <c r="B1714" s="32" t="s">
        <v>6790</v>
      </c>
      <c r="C1714" s="31" t="s">
        <v>251</v>
      </c>
      <c r="D1714" s="31" t="s">
        <v>3293</v>
      </c>
      <c r="E1714" s="31" t="s">
        <v>6791</v>
      </c>
      <c r="F1714" s="31" t="s">
        <v>31</v>
      </c>
      <c r="G1714" s="31">
        <v>925</v>
      </c>
      <c r="H1714" s="31">
        <v>10</v>
      </c>
      <c r="I1714" s="31">
        <v>8</v>
      </c>
      <c r="J1714" s="31" t="s">
        <v>6792</v>
      </c>
      <c r="K1714" s="31" t="s">
        <v>41</v>
      </c>
      <c r="L1714" s="31" t="s">
        <v>34</v>
      </c>
      <c r="M1714" s="31">
        <v>496</v>
      </c>
      <c r="N1714" s="31">
        <v>2018</v>
      </c>
      <c r="O1714" s="31">
        <v>594</v>
      </c>
      <c r="P1714" s="31"/>
      <c r="Q1714" s="31"/>
      <c r="R1714" s="33"/>
      <c r="S1714" s="34" t="str">
        <f>HYPERLINK("http://www.cnpol.ru/covers/18210.jpg","фото на сайте")</f>
        <v>фото на сайте</v>
      </c>
    </row>
    <row r="1715" spans="1:19" ht="50.1" customHeight="1">
      <c r="A1715" s="31"/>
      <c r="B1715" s="32" t="s">
        <v>6793</v>
      </c>
      <c r="C1715" s="31" t="s">
        <v>975</v>
      </c>
      <c r="D1715" s="31" t="s">
        <v>6794</v>
      </c>
      <c r="E1715" s="31" t="s">
        <v>6795</v>
      </c>
      <c r="F1715" s="31" t="s">
        <v>31</v>
      </c>
      <c r="G1715" s="31">
        <v>81</v>
      </c>
      <c r="H1715" s="31">
        <v>10</v>
      </c>
      <c r="I1715" s="31">
        <v>24</v>
      </c>
      <c r="J1715" s="31" t="s">
        <v>6796</v>
      </c>
      <c r="K1715" s="31" t="s">
        <v>55</v>
      </c>
      <c r="L1715" s="31" t="s">
        <v>56</v>
      </c>
      <c r="M1715" s="31">
        <v>351</v>
      </c>
      <c r="N1715" s="31">
        <v>2004</v>
      </c>
      <c r="O1715" s="31">
        <v>138</v>
      </c>
      <c r="P1715" s="31"/>
      <c r="Q1715" s="31"/>
      <c r="R1715" s="33"/>
      <c r="S1715" s="34" t="str">
        <f>HYPERLINK("http://www.cnpol.ru/covers/4926.jpg","фото на сайте")</f>
        <v>фото на сайте</v>
      </c>
    </row>
    <row r="1716" spans="1:19" ht="50.1" customHeight="1">
      <c r="A1716" s="31"/>
      <c r="B1716" s="32" t="s">
        <v>6797</v>
      </c>
      <c r="C1716" s="31" t="s">
        <v>975</v>
      </c>
      <c r="D1716" s="31" t="s">
        <v>6794</v>
      </c>
      <c r="E1716" s="31" t="s">
        <v>6795</v>
      </c>
      <c r="F1716" s="31" t="s">
        <v>31</v>
      </c>
      <c r="G1716" s="31">
        <v>154</v>
      </c>
      <c r="H1716" s="31">
        <v>10</v>
      </c>
      <c r="I1716" s="31">
        <v>24</v>
      </c>
      <c r="J1716" s="31" t="s">
        <v>6796</v>
      </c>
      <c r="K1716" s="31" t="s">
        <v>55</v>
      </c>
      <c r="L1716" s="31" t="s">
        <v>56</v>
      </c>
      <c r="M1716" s="31">
        <v>351</v>
      </c>
      <c r="N1716" s="31">
        <v>2008</v>
      </c>
      <c r="O1716" s="31">
        <v>146</v>
      </c>
      <c r="P1716" s="31"/>
      <c r="Q1716" s="31"/>
      <c r="R1716" s="33"/>
      <c r="S1716" s="34" t="str">
        <f>HYPERLINK("http://www.cnpol.ru/covers/7554.jpg","фото на сайте")</f>
        <v>фото на сайте</v>
      </c>
    </row>
    <row r="1717" spans="1:19" ht="50.1" customHeight="1">
      <c r="A1717" s="31"/>
      <c r="B1717" s="32" t="s">
        <v>6798</v>
      </c>
      <c r="C1717" s="31" t="s">
        <v>520</v>
      </c>
      <c r="D1717" s="31" t="s">
        <v>6799</v>
      </c>
      <c r="E1717" s="31" t="s">
        <v>6800</v>
      </c>
      <c r="F1717" s="31">
        <v>35</v>
      </c>
      <c r="G1717" s="31">
        <v>117</v>
      </c>
      <c r="H1717" s="31">
        <v>10</v>
      </c>
      <c r="I1717" s="31">
        <v>30</v>
      </c>
      <c r="J1717" s="31" t="s">
        <v>6801</v>
      </c>
      <c r="K1717" s="31" t="s">
        <v>123</v>
      </c>
      <c r="L1717" s="31" t="s">
        <v>56</v>
      </c>
      <c r="M1717" s="31">
        <v>192</v>
      </c>
      <c r="N1717" s="31">
        <v>2016</v>
      </c>
      <c r="O1717" s="31">
        <v>90</v>
      </c>
      <c r="P1717" s="31"/>
      <c r="Q1717" s="31"/>
      <c r="R1717" s="33"/>
      <c r="S1717" s="34" t="str">
        <f>HYPERLINK("http://www.cnpol.ru/covers/17043.jpg","фото на сайте")</f>
        <v>фото на сайте</v>
      </c>
    </row>
    <row r="1718" spans="1:19" ht="50.1" customHeight="1">
      <c r="A1718" s="31"/>
      <c r="B1718" s="32" t="s">
        <v>6802</v>
      </c>
      <c r="C1718" s="31" t="s">
        <v>797</v>
      </c>
      <c r="D1718" s="31" t="s">
        <v>6803</v>
      </c>
      <c r="E1718" s="31" t="s">
        <v>6804</v>
      </c>
      <c r="F1718" s="31" t="s">
        <v>31</v>
      </c>
      <c r="G1718" s="31">
        <v>105</v>
      </c>
      <c r="H1718" s="31">
        <v>10</v>
      </c>
      <c r="I1718" s="31">
        <v>30</v>
      </c>
      <c r="J1718" s="31" t="s">
        <v>6805</v>
      </c>
      <c r="K1718" s="31" t="s">
        <v>130</v>
      </c>
      <c r="L1718" s="31" t="s">
        <v>56</v>
      </c>
      <c r="M1718" s="31">
        <v>220</v>
      </c>
      <c r="N1718" s="31">
        <v>2003</v>
      </c>
      <c r="O1718" s="31">
        <v>134</v>
      </c>
      <c r="P1718" s="31"/>
      <c r="Q1718" s="31"/>
      <c r="R1718" s="33"/>
      <c r="S1718" s="34" t="str">
        <f>HYPERLINK("http://www.cnpol.ru/covers/4384.jpg","фото на сайте")</f>
        <v>фото на сайте</v>
      </c>
    </row>
    <row r="1719" spans="1:19" ht="50.1" customHeight="1">
      <c r="A1719" s="31"/>
      <c r="B1719" s="32" t="s">
        <v>6806</v>
      </c>
      <c r="C1719" s="31" t="s">
        <v>797</v>
      </c>
      <c r="D1719" s="31" t="s">
        <v>6807</v>
      </c>
      <c r="E1719" s="31" t="s">
        <v>6808</v>
      </c>
      <c r="F1719" s="31" t="s">
        <v>31</v>
      </c>
      <c r="G1719" s="31">
        <v>63</v>
      </c>
      <c r="H1719" s="31">
        <v>10</v>
      </c>
      <c r="I1719" s="31">
        <v>30</v>
      </c>
      <c r="J1719" s="31" t="s">
        <v>6809</v>
      </c>
      <c r="K1719" s="31" t="s">
        <v>130</v>
      </c>
      <c r="L1719" s="31" t="s">
        <v>56</v>
      </c>
      <c r="M1719" s="31">
        <v>204</v>
      </c>
      <c r="N1719" s="31">
        <v>2002</v>
      </c>
      <c r="O1719" s="31">
        <v>128</v>
      </c>
      <c r="P1719" s="31"/>
      <c r="Q1719" s="31"/>
      <c r="R1719" s="33"/>
      <c r="S1719" s="34" t="str">
        <f>HYPERLINK("http://www.cnpol.ru/covers/2943.jpg","фото на сайте")</f>
        <v>фото на сайте</v>
      </c>
    </row>
    <row r="1720" spans="1:19" ht="50.1" customHeight="1">
      <c r="A1720" s="31"/>
      <c r="B1720" s="32" t="s">
        <v>6810</v>
      </c>
      <c r="C1720" s="31" t="s">
        <v>390</v>
      </c>
      <c r="D1720" s="31" t="s">
        <v>5291</v>
      </c>
      <c r="E1720" s="31" t="s">
        <v>6811</v>
      </c>
      <c r="F1720" s="31">
        <v>710</v>
      </c>
      <c r="G1720" s="31">
        <v>86</v>
      </c>
      <c r="H1720" s="31">
        <v>10</v>
      </c>
      <c r="I1720" s="31">
        <v>30</v>
      </c>
      <c r="J1720" s="31" t="s">
        <v>6812</v>
      </c>
      <c r="K1720" s="31" t="s">
        <v>123</v>
      </c>
      <c r="L1720" s="31" t="s">
        <v>56</v>
      </c>
      <c r="M1720" s="31">
        <v>160</v>
      </c>
      <c r="N1720" s="31">
        <v>2017</v>
      </c>
      <c r="O1720" s="31">
        <v>76</v>
      </c>
      <c r="P1720" s="31"/>
      <c r="Q1720" s="31"/>
      <c r="R1720" s="33"/>
      <c r="S1720" s="34" t="str">
        <f>HYPERLINK("http://www.cnpol.ru/covers/17438.jpg","фото на сайте")</f>
        <v>фото на сайте</v>
      </c>
    </row>
    <row r="1721" spans="1:19" ht="50.1" customHeight="1">
      <c r="A1721" s="31"/>
      <c r="B1721" s="32" t="s">
        <v>6813</v>
      </c>
      <c r="C1721" s="31" t="s">
        <v>418</v>
      </c>
      <c r="D1721" s="31" t="s">
        <v>6814</v>
      </c>
      <c r="E1721" s="31" t="s">
        <v>6815</v>
      </c>
      <c r="F1721" s="31">
        <v>104</v>
      </c>
      <c r="G1721" s="31">
        <v>153</v>
      </c>
      <c r="H1721" s="31">
        <v>10</v>
      </c>
      <c r="I1721" s="31">
        <v>30</v>
      </c>
      <c r="J1721" s="31" t="s">
        <v>6816</v>
      </c>
      <c r="K1721" s="31" t="s">
        <v>123</v>
      </c>
      <c r="L1721" s="31" t="s">
        <v>56</v>
      </c>
      <c r="M1721" s="31">
        <v>256</v>
      </c>
      <c r="N1721" s="31">
        <v>2019</v>
      </c>
      <c r="O1721" s="31">
        <v>116</v>
      </c>
      <c r="P1721" s="31"/>
      <c r="Q1721" s="31"/>
      <c r="R1721" s="33"/>
      <c r="S1721" s="34" t="str">
        <f>HYPERLINK("http://www.cnpol.ru/covers/18932.jpg","фото на сайте")</f>
        <v>фото на сайте</v>
      </c>
    </row>
    <row r="1722" spans="1:19" ht="50.1" customHeight="1">
      <c r="A1722" s="31" t="s">
        <v>35</v>
      </c>
      <c r="B1722" s="32" t="s">
        <v>6817</v>
      </c>
      <c r="C1722" s="31" t="s">
        <v>6818</v>
      </c>
      <c r="D1722" s="31" t="s">
        <v>6819</v>
      </c>
      <c r="E1722" s="31" t="s">
        <v>6820</v>
      </c>
      <c r="F1722" s="31" t="s">
        <v>31</v>
      </c>
      <c r="G1722" s="31">
        <v>851</v>
      </c>
      <c r="H1722" s="31">
        <v>10</v>
      </c>
      <c r="I1722" s="31">
        <v>10</v>
      </c>
      <c r="J1722" s="31" t="s">
        <v>6821</v>
      </c>
      <c r="K1722" s="31" t="s">
        <v>33</v>
      </c>
      <c r="L1722" s="31" t="s">
        <v>34</v>
      </c>
      <c r="M1722" s="31">
        <v>287</v>
      </c>
      <c r="N1722" s="31">
        <v>2025</v>
      </c>
      <c r="O1722" s="31">
        <v>333</v>
      </c>
      <c r="P1722" s="31"/>
      <c r="Q1722" s="31"/>
      <c r="R1722" s="33" t="s">
        <v>6822</v>
      </c>
      <c r="S1722" s="34" t="str">
        <f>HYPERLINK("http://www.cnpol.ru/covers/21771.jpg","фото на сайте")</f>
        <v>фото на сайте</v>
      </c>
    </row>
    <row r="1723" spans="1:19" ht="50.1" customHeight="1">
      <c r="A1723" s="31"/>
      <c r="B1723" s="32" t="s">
        <v>6823</v>
      </c>
      <c r="C1723" s="31" t="s">
        <v>6824</v>
      </c>
      <c r="D1723" s="31" t="s">
        <v>6825</v>
      </c>
      <c r="E1723" s="31" t="s">
        <v>6826</v>
      </c>
      <c r="F1723" s="31" t="s">
        <v>31</v>
      </c>
      <c r="G1723" s="31">
        <v>154</v>
      </c>
      <c r="H1723" s="31">
        <v>10</v>
      </c>
      <c r="I1723" s="31">
        <v>50</v>
      </c>
      <c r="J1723" s="31" t="s">
        <v>6827</v>
      </c>
      <c r="K1723" s="31" t="s">
        <v>130</v>
      </c>
      <c r="L1723" s="31" t="s">
        <v>56</v>
      </c>
      <c r="M1723" s="31">
        <v>93</v>
      </c>
      <c r="N1723" s="31">
        <v>2010</v>
      </c>
      <c r="O1723" s="31">
        <v>64</v>
      </c>
      <c r="P1723" s="31"/>
      <c r="Q1723" s="31"/>
      <c r="R1723" s="33"/>
      <c r="S1723" s="34" t="str">
        <f>HYPERLINK("http://www.cnpol.ru/covers/11825.jpg","фото на сайте")</f>
        <v>фото на сайте</v>
      </c>
    </row>
    <row r="1724" spans="1:19" ht="50.1" customHeight="1">
      <c r="A1724" s="31"/>
      <c r="B1724" s="32" t="s">
        <v>6828</v>
      </c>
      <c r="C1724" s="31" t="s">
        <v>5419</v>
      </c>
      <c r="D1724" s="31" t="s">
        <v>5420</v>
      </c>
      <c r="E1724" s="31" t="s">
        <v>6829</v>
      </c>
      <c r="F1724" s="31" t="s">
        <v>31</v>
      </c>
      <c r="G1724" s="31">
        <v>290</v>
      </c>
      <c r="H1724" s="31">
        <v>10</v>
      </c>
      <c r="I1724" s="31">
        <v>16</v>
      </c>
      <c r="J1724" s="31" t="s">
        <v>6830</v>
      </c>
      <c r="K1724" s="31" t="s">
        <v>130</v>
      </c>
      <c r="L1724" s="31" t="s">
        <v>56</v>
      </c>
      <c r="M1724" s="31">
        <v>474</v>
      </c>
      <c r="N1724" s="31">
        <v>2015</v>
      </c>
      <c r="O1724" s="31">
        <v>232</v>
      </c>
      <c r="P1724" s="31"/>
      <c r="Q1724" s="31"/>
      <c r="R1724" s="33"/>
      <c r="S1724" s="34" t="str">
        <f>HYPERLINK("http://www.cnpol.ru/covers/15924.jpg","фото на сайте")</f>
        <v>фото на сайте</v>
      </c>
    </row>
    <row r="1725" spans="1:19" ht="50.1" customHeight="1">
      <c r="A1725" s="31"/>
      <c r="B1725" s="32" t="s">
        <v>6831</v>
      </c>
      <c r="C1725" s="31" t="s">
        <v>380</v>
      </c>
      <c r="D1725" s="31" t="s">
        <v>6832</v>
      </c>
      <c r="E1725" s="31" t="s">
        <v>6833</v>
      </c>
      <c r="F1725" s="31" t="s">
        <v>31</v>
      </c>
      <c r="G1725" s="31">
        <v>988</v>
      </c>
      <c r="H1725" s="31">
        <v>10</v>
      </c>
      <c r="I1725" s="31">
        <v>10</v>
      </c>
      <c r="J1725" s="31" t="s">
        <v>6834</v>
      </c>
      <c r="K1725" s="31" t="s">
        <v>41</v>
      </c>
      <c r="L1725" s="31" t="s">
        <v>304</v>
      </c>
      <c r="M1725" s="31">
        <v>463</v>
      </c>
      <c r="N1725" s="31">
        <v>2019</v>
      </c>
      <c r="O1725" s="31">
        <v>594</v>
      </c>
      <c r="P1725" s="31"/>
      <c r="Q1725" s="31"/>
      <c r="R1725" s="33"/>
      <c r="S1725" s="34" t="str">
        <f>HYPERLINK("http://www.cnpol.ru/covers/18671.jpg","фото на сайте")</f>
        <v>фото на сайте</v>
      </c>
    </row>
    <row r="1726" spans="1:19" ht="50.1" customHeight="1">
      <c r="A1726" s="31"/>
      <c r="B1726" s="32" t="s">
        <v>6835</v>
      </c>
      <c r="C1726" s="31" t="s">
        <v>3939</v>
      </c>
      <c r="D1726" s="31" t="s">
        <v>198</v>
      </c>
      <c r="E1726" s="31" t="s">
        <v>6836</v>
      </c>
      <c r="F1726" s="31" t="s">
        <v>31</v>
      </c>
      <c r="G1726" s="31">
        <v>154</v>
      </c>
      <c r="H1726" s="31">
        <v>10</v>
      </c>
      <c r="I1726" s="31">
        <v>30</v>
      </c>
      <c r="J1726" s="31" t="s">
        <v>6837</v>
      </c>
      <c r="K1726" s="31" t="s">
        <v>130</v>
      </c>
      <c r="L1726" s="31" t="s">
        <v>56</v>
      </c>
      <c r="M1726" s="31">
        <v>206</v>
      </c>
      <c r="N1726" s="31">
        <v>2009</v>
      </c>
      <c r="O1726" s="31">
        <v>132</v>
      </c>
      <c r="P1726" s="31"/>
      <c r="Q1726" s="31"/>
      <c r="R1726" s="33"/>
      <c r="S1726" s="34" t="str">
        <f>HYPERLINK("http://www.cnpol.ru/covers/11272.jpg","фото на сайте")</f>
        <v>фото на сайте</v>
      </c>
    </row>
    <row r="1727" spans="1:19" ht="50.1" customHeight="1">
      <c r="A1727" s="31"/>
      <c r="B1727" s="32" t="s">
        <v>6838</v>
      </c>
      <c r="C1727" s="31" t="s">
        <v>6839</v>
      </c>
      <c r="D1727" s="31" t="s">
        <v>6840</v>
      </c>
      <c r="E1727" s="31" t="s">
        <v>6841</v>
      </c>
      <c r="F1727" s="31" t="s">
        <v>31</v>
      </c>
      <c r="G1727" s="31">
        <v>73</v>
      </c>
      <c r="H1727" s="31">
        <v>10</v>
      </c>
      <c r="I1727" s="31">
        <v>48</v>
      </c>
      <c r="J1727" s="31" t="s">
        <v>6842</v>
      </c>
      <c r="K1727" s="31" t="s">
        <v>130</v>
      </c>
      <c r="L1727" s="31" t="s">
        <v>56</v>
      </c>
      <c r="M1727" s="31">
        <v>143</v>
      </c>
      <c r="N1727" s="31">
        <v>2003</v>
      </c>
      <c r="O1727" s="31">
        <v>96</v>
      </c>
      <c r="P1727" s="31"/>
      <c r="Q1727" s="31"/>
      <c r="R1727" s="33"/>
      <c r="S1727" s="34" t="str">
        <f>HYPERLINK("http://www.cnpol.ru/covers/4195.jpg","фото на сайте")</f>
        <v>фото на сайте</v>
      </c>
    </row>
    <row r="1728" spans="1:19" ht="50.1" customHeight="1">
      <c r="A1728" s="31"/>
      <c r="B1728" s="32" t="s">
        <v>6843</v>
      </c>
      <c r="C1728" s="31" t="s">
        <v>6818</v>
      </c>
      <c r="D1728" s="31" t="s">
        <v>6844</v>
      </c>
      <c r="E1728" s="31" t="s">
        <v>6845</v>
      </c>
      <c r="F1728" s="31" t="s">
        <v>31</v>
      </c>
      <c r="G1728" s="31">
        <v>254</v>
      </c>
      <c r="H1728" s="31">
        <v>10</v>
      </c>
      <c r="I1728" s="31">
        <v>16</v>
      </c>
      <c r="J1728" s="31" t="s">
        <v>6846</v>
      </c>
      <c r="K1728" s="31" t="s">
        <v>33</v>
      </c>
      <c r="L1728" s="31" t="s">
        <v>34</v>
      </c>
      <c r="M1728" s="31">
        <v>240</v>
      </c>
      <c r="N1728" s="31">
        <v>2004</v>
      </c>
      <c r="O1728" s="31">
        <v>246</v>
      </c>
      <c r="P1728" s="31"/>
      <c r="Q1728" s="31"/>
      <c r="R1728" s="33"/>
      <c r="S1728" s="34" t="str">
        <f>HYPERLINK("http://www.cnpol.ru/covers/5159.jpg","фото на сайте")</f>
        <v>фото на сайте</v>
      </c>
    </row>
    <row r="1729" spans="1:19" ht="50.1" customHeight="1">
      <c r="A1729" s="31"/>
      <c r="B1729" s="32" t="s">
        <v>6847</v>
      </c>
      <c r="C1729" s="31" t="s">
        <v>678</v>
      </c>
      <c r="D1729" s="31" t="s">
        <v>6848</v>
      </c>
      <c r="E1729" s="31" t="s">
        <v>6849</v>
      </c>
      <c r="F1729" s="31" t="s">
        <v>31</v>
      </c>
      <c r="G1729" s="31">
        <v>272</v>
      </c>
      <c r="H1729" s="31">
        <v>10</v>
      </c>
      <c r="I1729" s="31">
        <v>18</v>
      </c>
      <c r="J1729" s="31" t="s">
        <v>6850</v>
      </c>
      <c r="K1729" s="31" t="s">
        <v>359</v>
      </c>
      <c r="L1729" s="31" t="s">
        <v>34</v>
      </c>
      <c r="M1729" s="31">
        <v>220</v>
      </c>
      <c r="N1729" s="31">
        <v>2005</v>
      </c>
      <c r="O1729" s="31">
        <v>202</v>
      </c>
      <c r="P1729" s="31"/>
      <c r="Q1729" s="31"/>
      <c r="R1729" s="33"/>
      <c r="S1729" s="34" t="str">
        <f>HYPERLINK("http://www.cnpol.ru/covers/6179.jpg","фото на сайте")</f>
        <v>фото на сайте</v>
      </c>
    </row>
    <row r="1730" spans="1:19" ht="50.1" customHeight="1">
      <c r="A1730" s="31"/>
      <c r="B1730" s="32" t="s">
        <v>6851</v>
      </c>
      <c r="C1730" s="31" t="s">
        <v>138</v>
      </c>
      <c r="D1730" s="31" t="s">
        <v>1528</v>
      </c>
      <c r="E1730" s="31" t="s">
        <v>6852</v>
      </c>
      <c r="F1730" s="31" t="s">
        <v>31</v>
      </c>
      <c r="G1730" s="31">
        <v>169</v>
      </c>
      <c r="H1730" s="31">
        <v>10</v>
      </c>
      <c r="I1730" s="31">
        <v>40</v>
      </c>
      <c r="J1730" s="31" t="s">
        <v>6853</v>
      </c>
      <c r="K1730" s="31" t="s">
        <v>123</v>
      </c>
      <c r="L1730" s="31" t="s">
        <v>56</v>
      </c>
      <c r="M1730" s="31">
        <v>192</v>
      </c>
      <c r="N1730" s="31">
        <v>2016</v>
      </c>
      <c r="O1730" s="31">
        <v>92</v>
      </c>
      <c r="P1730" s="31"/>
      <c r="Q1730" s="31"/>
      <c r="R1730" s="33"/>
      <c r="S1730" s="34" t="str">
        <f>HYPERLINK("http://www.cnpol.ru/covers/16936.jpg","фото на сайте")</f>
        <v>фото на сайте</v>
      </c>
    </row>
    <row r="1731" spans="1:19" ht="50.1" customHeight="1">
      <c r="A1731" s="31"/>
      <c r="B1731" s="32" t="s">
        <v>6854</v>
      </c>
      <c r="C1731" s="31" t="s">
        <v>138</v>
      </c>
      <c r="D1731" s="31" t="s">
        <v>6855</v>
      </c>
      <c r="E1731" s="31" t="s">
        <v>6856</v>
      </c>
      <c r="F1731" s="31" t="s">
        <v>31</v>
      </c>
      <c r="G1731" s="31">
        <v>575</v>
      </c>
      <c r="H1731" s="31">
        <v>10</v>
      </c>
      <c r="I1731" s="31">
        <v>16</v>
      </c>
      <c r="J1731" s="31" t="s">
        <v>6857</v>
      </c>
      <c r="K1731" s="31" t="s">
        <v>33</v>
      </c>
      <c r="L1731" s="31" t="s">
        <v>34</v>
      </c>
      <c r="M1731" s="31">
        <v>383</v>
      </c>
      <c r="N1731" s="31">
        <v>2013</v>
      </c>
      <c r="O1731" s="31">
        <v>412</v>
      </c>
      <c r="P1731" s="31"/>
      <c r="Q1731" s="31"/>
      <c r="R1731" s="33"/>
      <c r="S1731" s="34" t="str">
        <f>HYPERLINK("http://www.cnpol.ru/covers/14682.jpg","фото на сайте")</f>
        <v>фото на сайте</v>
      </c>
    </row>
    <row r="1732" spans="1:19" ht="50.1" customHeight="1">
      <c r="A1732" s="31"/>
      <c r="B1732" s="32" t="s">
        <v>6858</v>
      </c>
      <c r="C1732" s="31" t="s">
        <v>37</v>
      </c>
      <c r="D1732" s="31" t="s">
        <v>5869</v>
      </c>
      <c r="E1732" s="31" t="s">
        <v>6859</v>
      </c>
      <c r="F1732" s="31" t="s">
        <v>31</v>
      </c>
      <c r="G1732" s="31">
        <v>575</v>
      </c>
      <c r="H1732" s="31">
        <v>10</v>
      </c>
      <c r="I1732" s="31">
        <v>12</v>
      </c>
      <c r="J1732" s="31" t="s">
        <v>6860</v>
      </c>
      <c r="K1732" s="31" t="s">
        <v>33</v>
      </c>
      <c r="L1732" s="31" t="s">
        <v>34</v>
      </c>
      <c r="M1732" s="31">
        <v>351</v>
      </c>
      <c r="N1732" s="31">
        <v>2015</v>
      </c>
      <c r="O1732" s="31">
        <v>288</v>
      </c>
      <c r="P1732" s="31"/>
      <c r="Q1732" s="31"/>
      <c r="R1732" s="33"/>
      <c r="S1732" s="34" t="str">
        <f>HYPERLINK("http://www.cnpol.ru/covers/16137.jpg","фото на сайте")</f>
        <v>фото на сайте</v>
      </c>
    </row>
    <row r="1733" spans="1:19" ht="50.1" customHeight="1">
      <c r="A1733" s="31"/>
      <c r="B1733" s="32" t="s">
        <v>6861</v>
      </c>
      <c r="C1733" s="31" t="s">
        <v>658</v>
      </c>
      <c r="D1733" s="31" t="s">
        <v>3978</v>
      </c>
      <c r="E1733" s="31" t="s">
        <v>6862</v>
      </c>
      <c r="F1733" s="31" t="s">
        <v>31</v>
      </c>
      <c r="G1733" s="31">
        <v>746</v>
      </c>
      <c r="H1733" s="31">
        <v>10</v>
      </c>
      <c r="I1733" s="31">
        <v>10</v>
      </c>
      <c r="J1733" s="31" t="s">
        <v>6863</v>
      </c>
      <c r="K1733" s="31" t="s">
        <v>2495</v>
      </c>
      <c r="L1733" s="31" t="s">
        <v>34</v>
      </c>
      <c r="M1733" s="31">
        <v>320</v>
      </c>
      <c r="N1733" s="31">
        <v>2016</v>
      </c>
      <c r="O1733" s="31">
        <v>372</v>
      </c>
      <c r="P1733" s="31"/>
      <c r="Q1733" s="31"/>
      <c r="R1733" s="33"/>
      <c r="S1733" s="34" t="str">
        <f>HYPERLINK("http://www.cnpol.ru/covers/16731.jpg","фото на сайте")</f>
        <v>фото на сайте</v>
      </c>
    </row>
    <row r="1734" spans="1:19" ht="50.1" customHeight="1">
      <c r="A1734" s="31" t="s">
        <v>35</v>
      </c>
      <c r="B1734" s="32" t="s">
        <v>6864</v>
      </c>
      <c r="C1734" s="31" t="s">
        <v>37</v>
      </c>
      <c r="D1734" s="31" t="s">
        <v>6865</v>
      </c>
      <c r="E1734" s="31" t="s">
        <v>6866</v>
      </c>
      <c r="F1734" s="31" t="s">
        <v>31</v>
      </c>
      <c r="G1734" s="31">
        <v>917</v>
      </c>
      <c r="H1734" s="31">
        <v>10</v>
      </c>
      <c r="I1734" s="31">
        <v>5</v>
      </c>
      <c r="J1734" s="31" t="s">
        <v>6867</v>
      </c>
      <c r="K1734" s="31" t="s">
        <v>33</v>
      </c>
      <c r="L1734" s="31" t="s">
        <v>34</v>
      </c>
      <c r="M1734" s="31">
        <v>318</v>
      </c>
      <c r="N1734" s="31">
        <v>2025</v>
      </c>
      <c r="O1734" s="31">
        <v>373</v>
      </c>
      <c r="P1734" s="31"/>
      <c r="Q1734" s="31"/>
      <c r="R1734" s="33" t="s">
        <v>6868</v>
      </c>
      <c r="S1734" s="34" t="str">
        <f>HYPERLINK("http://www.cnpol.ru/covers/21747.jpg","фото на сайте")</f>
        <v>фото на сайте</v>
      </c>
    </row>
    <row r="1735" spans="1:19" ht="50.1" customHeight="1">
      <c r="A1735" s="31"/>
      <c r="B1735" s="32" t="s">
        <v>6869</v>
      </c>
      <c r="C1735" s="31" t="s">
        <v>6870</v>
      </c>
      <c r="D1735" s="31" t="s">
        <v>6871</v>
      </c>
      <c r="E1735" s="31" t="s">
        <v>6872</v>
      </c>
      <c r="F1735" s="31" t="s">
        <v>31</v>
      </c>
      <c r="G1735" s="31">
        <v>254</v>
      </c>
      <c r="H1735" s="31">
        <v>10</v>
      </c>
      <c r="I1735" s="31">
        <v>22</v>
      </c>
      <c r="J1735" s="31" t="s">
        <v>6873</v>
      </c>
      <c r="K1735" s="31" t="s">
        <v>33</v>
      </c>
      <c r="L1735" s="31" t="s">
        <v>34</v>
      </c>
      <c r="M1735" s="31">
        <v>188</v>
      </c>
      <c r="N1735" s="31">
        <v>2011</v>
      </c>
      <c r="O1735" s="31">
        <v>200</v>
      </c>
      <c r="P1735" s="31"/>
      <c r="Q1735" s="31"/>
      <c r="R1735" s="33"/>
      <c r="S1735" s="34" t="str">
        <f>HYPERLINK("http://www.cnpol.ru/covers/12812.jpg","фото на сайте")</f>
        <v>фото на сайте</v>
      </c>
    </row>
    <row r="1736" spans="1:19" ht="50.1" customHeight="1">
      <c r="A1736" s="31"/>
      <c r="B1736" s="32" t="s">
        <v>6874</v>
      </c>
      <c r="C1736" s="31" t="s">
        <v>630</v>
      </c>
      <c r="D1736" s="31" t="s">
        <v>6875</v>
      </c>
      <c r="E1736" s="31" t="s">
        <v>6876</v>
      </c>
      <c r="F1736" s="31" t="s">
        <v>31</v>
      </c>
      <c r="G1736" s="31">
        <v>96</v>
      </c>
      <c r="H1736" s="31">
        <v>10</v>
      </c>
      <c r="I1736" s="31">
        <v>48</v>
      </c>
      <c r="J1736" s="31" t="s">
        <v>6877</v>
      </c>
      <c r="K1736" s="31" t="s">
        <v>130</v>
      </c>
      <c r="L1736" s="31" t="s">
        <v>56</v>
      </c>
      <c r="M1736" s="31">
        <v>128</v>
      </c>
      <c r="N1736" s="31">
        <v>2005</v>
      </c>
      <c r="O1736" s="31">
        <v>84</v>
      </c>
      <c r="P1736" s="31"/>
      <c r="Q1736" s="31"/>
      <c r="R1736" s="33"/>
      <c r="S1736" s="34" t="str">
        <f>HYPERLINK("http://www.cnpol.ru/covers/6158.jpg","фото на сайте")</f>
        <v>фото на сайте</v>
      </c>
    </row>
    <row r="1737" spans="1:19" ht="50.1" customHeight="1">
      <c r="A1737" s="31" t="s">
        <v>35</v>
      </c>
      <c r="B1737" s="32" t="s">
        <v>6878</v>
      </c>
      <c r="C1737" s="31" t="s">
        <v>5168</v>
      </c>
      <c r="D1737" s="31" t="s">
        <v>5169</v>
      </c>
      <c r="E1737" s="31" t="s">
        <v>6879</v>
      </c>
      <c r="F1737" s="31" t="s">
        <v>31</v>
      </c>
      <c r="G1737" s="31">
        <v>258</v>
      </c>
      <c r="H1737" s="31">
        <v>10</v>
      </c>
      <c r="I1737" s="31">
        <v>12</v>
      </c>
      <c r="J1737" s="31" t="s">
        <v>6880</v>
      </c>
      <c r="K1737" s="31" t="s">
        <v>33</v>
      </c>
      <c r="L1737" s="31" t="s">
        <v>56</v>
      </c>
      <c r="M1737" s="31">
        <v>191</v>
      </c>
      <c r="N1737" s="31">
        <v>2025</v>
      </c>
      <c r="O1737" s="31" t="s">
        <v>220</v>
      </c>
      <c r="P1737" s="31"/>
      <c r="Q1737" s="31"/>
      <c r="R1737" s="33" t="s">
        <v>6881</v>
      </c>
      <c r="S1737" s="34" t="str">
        <f>HYPERLINK("http://www.cnpol.ru/covers/21723.jpg","фото на сайте")</f>
        <v>фото на сайте</v>
      </c>
    </row>
    <row r="1738" spans="1:19" ht="50.1" customHeight="1">
      <c r="A1738" s="31"/>
      <c r="B1738" s="32" t="s">
        <v>6882</v>
      </c>
      <c r="C1738" s="31" t="s">
        <v>6870</v>
      </c>
      <c r="D1738" s="31" t="s">
        <v>6871</v>
      </c>
      <c r="E1738" s="31" t="s">
        <v>6883</v>
      </c>
      <c r="F1738" s="31" t="s">
        <v>31</v>
      </c>
      <c r="G1738" s="31">
        <v>254</v>
      </c>
      <c r="H1738" s="31">
        <v>10</v>
      </c>
      <c r="I1738" s="31">
        <v>18</v>
      </c>
      <c r="J1738" s="31" t="s">
        <v>6884</v>
      </c>
      <c r="K1738" s="31" t="s">
        <v>33</v>
      </c>
      <c r="L1738" s="31" t="s">
        <v>34</v>
      </c>
      <c r="M1738" s="31">
        <v>303</v>
      </c>
      <c r="N1738" s="31">
        <v>2009</v>
      </c>
      <c r="O1738" s="31">
        <v>272</v>
      </c>
      <c r="P1738" s="31"/>
      <c r="Q1738" s="31"/>
      <c r="R1738" s="33"/>
      <c r="S1738" s="34" t="str">
        <f>HYPERLINK("http://www.cnpol.ru/covers/11013.jpg","фото на сайте")</f>
        <v>фото на сайте</v>
      </c>
    </row>
    <row r="1739" spans="1:19" ht="50.1" customHeight="1">
      <c r="A1739" s="31"/>
      <c r="B1739" s="32" t="s">
        <v>6885</v>
      </c>
      <c r="C1739" s="31" t="s">
        <v>400</v>
      </c>
      <c r="D1739" s="31" t="s">
        <v>6886</v>
      </c>
      <c r="E1739" s="31" t="s">
        <v>6887</v>
      </c>
      <c r="F1739" s="31" t="s">
        <v>31</v>
      </c>
      <c r="G1739" s="31">
        <v>503</v>
      </c>
      <c r="H1739" s="31">
        <v>10</v>
      </c>
      <c r="I1739" s="31">
        <v>14</v>
      </c>
      <c r="J1739" s="31" t="s">
        <v>6888</v>
      </c>
      <c r="K1739" s="31" t="s">
        <v>33</v>
      </c>
      <c r="L1739" s="31" t="s">
        <v>34</v>
      </c>
      <c r="M1739" s="31">
        <v>287</v>
      </c>
      <c r="N1739" s="31">
        <v>2021</v>
      </c>
      <c r="O1739" s="31">
        <v>250</v>
      </c>
      <c r="P1739" s="31"/>
      <c r="Q1739" s="31"/>
      <c r="R1739" s="33"/>
      <c r="S1739" s="34" t="str">
        <f>HYPERLINK("http://www.cnpol.ru/covers/19495.jpg","фото на сайте")</f>
        <v>фото на сайте</v>
      </c>
    </row>
    <row r="1740" spans="1:19" ht="50.1" customHeight="1">
      <c r="A1740" s="31"/>
      <c r="B1740" s="32" t="s">
        <v>6889</v>
      </c>
      <c r="C1740" s="31" t="s">
        <v>390</v>
      </c>
      <c r="D1740" s="31" t="s">
        <v>1638</v>
      </c>
      <c r="E1740" s="31" t="s">
        <v>6890</v>
      </c>
      <c r="F1740" s="31">
        <v>754</v>
      </c>
      <c r="G1740" s="31">
        <v>86</v>
      </c>
      <c r="H1740" s="31">
        <v>10</v>
      </c>
      <c r="I1740" s="31">
        <v>30</v>
      </c>
      <c r="J1740" s="31" t="s">
        <v>6891</v>
      </c>
      <c r="K1740" s="31" t="s">
        <v>123</v>
      </c>
      <c r="L1740" s="31" t="s">
        <v>56</v>
      </c>
      <c r="M1740" s="31">
        <v>160</v>
      </c>
      <c r="N1740" s="31">
        <v>2017</v>
      </c>
      <c r="O1740" s="31">
        <v>76</v>
      </c>
      <c r="P1740" s="31"/>
      <c r="Q1740" s="31"/>
      <c r="R1740" s="33"/>
      <c r="S1740" s="34" t="str">
        <f>HYPERLINK("http://www.cnpol.ru/covers/17710.jpg","фото на сайте")</f>
        <v>фото на сайте</v>
      </c>
    </row>
    <row r="1741" spans="1:19" ht="50.1" customHeight="1">
      <c r="A1741" s="31"/>
      <c r="B1741" s="32" t="s">
        <v>6892</v>
      </c>
      <c r="C1741" s="31" t="s">
        <v>5877</v>
      </c>
      <c r="D1741" s="31" t="s">
        <v>6893</v>
      </c>
      <c r="E1741" s="31" t="s">
        <v>6894</v>
      </c>
      <c r="F1741" s="31" t="s">
        <v>31</v>
      </c>
      <c r="G1741" s="31">
        <v>73</v>
      </c>
      <c r="H1741" s="31">
        <v>10</v>
      </c>
      <c r="I1741" s="31">
        <v>32</v>
      </c>
      <c r="J1741" s="31" t="s">
        <v>6895</v>
      </c>
      <c r="K1741" s="31" t="s">
        <v>130</v>
      </c>
      <c r="L1741" s="31" t="s">
        <v>56</v>
      </c>
      <c r="M1741" s="31">
        <v>204</v>
      </c>
      <c r="N1741" s="31">
        <v>2001</v>
      </c>
      <c r="O1741" s="31">
        <v>70</v>
      </c>
      <c r="P1741" s="31"/>
      <c r="Q1741" s="31"/>
      <c r="R1741" s="33"/>
      <c r="S1741" s="34" t="str">
        <f>HYPERLINK("http://www.cnpol.ru/covers/2670.jpg","фото на сайте")</f>
        <v>фото на сайте</v>
      </c>
    </row>
    <row r="1742" spans="1:19" ht="50.1" customHeight="1">
      <c r="A1742" s="31"/>
      <c r="B1742" s="32" t="s">
        <v>6896</v>
      </c>
      <c r="C1742" s="31" t="s">
        <v>390</v>
      </c>
      <c r="D1742" s="31" t="s">
        <v>2662</v>
      </c>
      <c r="E1742" s="31" t="s">
        <v>6897</v>
      </c>
      <c r="F1742" s="31">
        <v>563</v>
      </c>
      <c r="G1742" s="31">
        <v>86</v>
      </c>
      <c r="H1742" s="31">
        <v>10</v>
      </c>
      <c r="I1742" s="31">
        <v>30</v>
      </c>
      <c r="J1742" s="31" t="s">
        <v>6898</v>
      </c>
      <c r="K1742" s="31" t="s">
        <v>123</v>
      </c>
      <c r="L1742" s="31" t="s">
        <v>56</v>
      </c>
      <c r="M1742" s="31">
        <v>158</v>
      </c>
      <c r="N1742" s="31">
        <v>2015</v>
      </c>
      <c r="O1742" s="31">
        <v>76</v>
      </c>
      <c r="P1742" s="31"/>
      <c r="Q1742" s="31"/>
      <c r="R1742" s="33"/>
      <c r="S1742" s="34" t="str">
        <f>HYPERLINK("http://www.cnpol.ru/covers/16341.jpg","фото на сайте")</f>
        <v>фото на сайте</v>
      </c>
    </row>
    <row r="1743" spans="1:19" ht="50.1" customHeight="1">
      <c r="A1743" s="31"/>
      <c r="B1743" s="32" t="s">
        <v>6899</v>
      </c>
      <c r="C1743" s="31" t="s">
        <v>1818</v>
      </c>
      <c r="D1743" s="31" t="s">
        <v>6900</v>
      </c>
      <c r="E1743" s="31" t="s">
        <v>6901</v>
      </c>
      <c r="F1743" s="31" t="s">
        <v>31</v>
      </c>
      <c r="G1743" s="31">
        <v>96</v>
      </c>
      <c r="H1743" s="31">
        <v>10</v>
      </c>
      <c r="I1743" s="31">
        <v>20</v>
      </c>
      <c r="J1743" s="31" t="s">
        <v>6902</v>
      </c>
      <c r="K1743" s="31" t="s">
        <v>130</v>
      </c>
      <c r="L1743" s="31" t="s">
        <v>56</v>
      </c>
      <c r="M1743" s="31">
        <v>205</v>
      </c>
      <c r="N1743" s="31">
        <v>2008</v>
      </c>
      <c r="O1743" s="31" t="s">
        <v>220</v>
      </c>
      <c r="P1743" s="31"/>
      <c r="Q1743" s="31"/>
      <c r="R1743" s="33"/>
      <c r="S1743" s="34" t="str">
        <f>HYPERLINK("http://www.cnpol.ru/covers/8751.jpg","фото на сайте")</f>
        <v>фото на сайте</v>
      </c>
    </row>
    <row r="1744" spans="1:19" ht="50.1" customHeight="1">
      <c r="A1744" s="31"/>
      <c r="B1744" s="32" t="s">
        <v>6903</v>
      </c>
      <c r="C1744" s="31" t="s">
        <v>464</v>
      </c>
      <c r="D1744" s="31" t="s">
        <v>465</v>
      </c>
      <c r="E1744" s="31" t="s">
        <v>6904</v>
      </c>
      <c r="F1744" s="31" t="s">
        <v>31</v>
      </c>
      <c r="G1744" s="31">
        <v>119</v>
      </c>
      <c r="H1744" s="31">
        <v>10</v>
      </c>
      <c r="I1744" s="31">
        <v>150</v>
      </c>
      <c r="J1744" s="31" t="s">
        <v>6905</v>
      </c>
      <c r="K1744" s="31" t="s">
        <v>3186</v>
      </c>
      <c r="L1744" s="31" t="s">
        <v>1726</v>
      </c>
      <c r="M1744" s="31">
        <v>10</v>
      </c>
      <c r="N1744" s="31">
        <v>2005</v>
      </c>
      <c r="O1744" s="31">
        <v>34</v>
      </c>
      <c r="P1744" s="31"/>
      <c r="Q1744" s="31"/>
      <c r="R1744" s="33"/>
      <c r="S1744" s="34" t="str">
        <f>HYPERLINK("http://www.cnpol.ru/covers/5904.jpg","фото на сайте")</f>
        <v>фото на сайте</v>
      </c>
    </row>
    <row r="1745" spans="1:19" ht="50.1" customHeight="1">
      <c r="A1745" s="31"/>
      <c r="B1745" s="32" t="s">
        <v>6906</v>
      </c>
      <c r="C1745" s="31" t="s">
        <v>418</v>
      </c>
      <c r="D1745" s="31" t="s">
        <v>4074</v>
      </c>
      <c r="E1745" s="31" t="s">
        <v>6907</v>
      </c>
      <c r="F1745" s="31">
        <v>35</v>
      </c>
      <c r="G1745" s="31">
        <v>153</v>
      </c>
      <c r="H1745" s="31">
        <v>10</v>
      </c>
      <c r="I1745" s="31">
        <v>30</v>
      </c>
      <c r="J1745" s="31" t="s">
        <v>6908</v>
      </c>
      <c r="K1745" s="31" t="s">
        <v>300</v>
      </c>
      <c r="L1745" s="31" t="s">
        <v>56</v>
      </c>
      <c r="M1745" s="31">
        <v>254</v>
      </c>
      <c r="N1745" s="31">
        <v>2013</v>
      </c>
      <c r="O1745" s="31">
        <v>120</v>
      </c>
      <c r="P1745" s="31"/>
      <c r="Q1745" s="31"/>
      <c r="R1745" s="33"/>
      <c r="S1745" s="34" t="str">
        <f>HYPERLINK("http://www.cnpol.ru/covers/14719.jpg","фото на сайте")</f>
        <v>фото на сайте</v>
      </c>
    </row>
    <row r="1746" spans="1:19" ht="50.1" customHeight="1">
      <c r="A1746" s="31"/>
      <c r="B1746" s="32" t="s">
        <v>6909</v>
      </c>
      <c r="C1746" s="31" t="s">
        <v>6910</v>
      </c>
      <c r="D1746" s="31" t="s">
        <v>4671</v>
      </c>
      <c r="E1746" s="31" t="s">
        <v>6911</v>
      </c>
      <c r="F1746" s="31" t="s">
        <v>31</v>
      </c>
      <c r="G1746" s="31">
        <v>441</v>
      </c>
      <c r="H1746" s="31">
        <v>10</v>
      </c>
      <c r="I1746" s="31">
        <v>14</v>
      </c>
      <c r="J1746" s="31" t="s">
        <v>6912</v>
      </c>
      <c r="K1746" s="31" t="s">
        <v>33</v>
      </c>
      <c r="L1746" s="31" t="s">
        <v>34</v>
      </c>
      <c r="M1746" s="31">
        <v>320</v>
      </c>
      <c r="N1746" s="31">
        <v>2011</v>
      </c>
      <c r="O1746" s="31">
        <v>262</v>
      </c>
      <c r="P1746" s="31"/>
      <c r="Q1746" s="31"/>
      <c r="R1746" s="33"/>
      <c r="S1746" s="34" t="str">
        <f>HYPERLINK("http://www.cnpol.ru/covers/12731.jpg","фото на сайте")</f>
        <v>фото на сайте</v>
      </c>
    </row>
    <row r="1747" spans="1:19" ht="50.1" customHeight="1">
      <c r="A1747" s="31" t="s">
        <v>43</v>
      </c>
      <c r="B1747" s="32" t="s">
        <v>6913</v>
      </c>
      <c r="C1747" s="31" t="s">
        <v>390</v>
      </c>
      <c r="D1747" s="31" t="s">
        <v>6914</v>
      </c>
      <c r="E1747" s="31" t="s">
        <v>6915</v>
      </c>
      <c r="F1747" s="31">
        <v>1176</v>
      </c>
      <c r="G1747" s="31">
        <v>86</v>
      </c>
      <c r="H1747" s="31">
        <v>10</v>
      </c>
      <c r="I1747" s="31">
        <v>30</v>
      </c>
      <c r="J1747" s="31" t="s">
        <v>6916</v>
      </c>
      <c r="K1747" s="31" t="s">
        <v>123</v>
      </c>
      <c r="L1747" s="31" t="s">
        <v>56</v>
      </c>
      <c r="M1747" s="31">
        <v>159</v>
      </c>
      <c r="N1747" s="31">
        <v>2024</v>
      </c>
      <c r="O1747" s="31">
        <v>76</v>
      </c>
      <c r="P1747" s="31"/>
      <c r="Q1747" s="31"/>
      <c r="R1747" s="33" t="s">
        <v>6917</v>
      </c>
      <c r="S1747" s="34" t="str">
        <f>HYPERLINK("http://www.cnpol.ru/covers/21173.jpg","фото на сайте")</f>
        <v>фото на сайте</v>
      </c>
    </row>
    <row r="1748" spans="1:19" ht="50.1" customHeight="1">
      <c r="A1748" s="31"/>
      <c r="B1748" s="32" t="s">
        <v>6918</v>
      </c>
      <c r="C1748" s="31" t="s">
        <v>390</v>
      </c>
      <c r="D1748" s="31" t="s">
        <v>989</v>
      </c>
      <c r="E1748" s="31" t="s">
        <v>6919</v>
      </c>
      <c r="F1748" s="31">
        <v>765</v>
      </c>
      <c r="G1748" s="31">
        <v>86</v>
      </c>
      <c r="H1748" s="31">
        <v>10</v>
      </c>
      <c r="I1748" s="31">
        <v>30</v>
      </c>
      <c r="J1748" s="31" t="s">
        <v>6920</v>
      </c>
      <c r="K1748" s="31" t="s">
        <v>123</v>
      </c>
      <c r="L1748" s="31" t="s">
        <v>56</v>
      </c>
      <c r="M1748" s="31">
        <v>160</v>
      </c>
      <c r="N1748" s="31">
        <v>2017</v>
      </c>
      <c r="O1748" s="31">
        <v>76</v>
      </c>
      <c r="P1748" s="31"/>
      <c r="Q1748" s="31"/>
      <c r="R1748" s="33"/>
      <c r="S1748" s="34" t="str">
        <f>HYPERLINK("http://www.cnpol.ru/covers/17785.jpg","фото на сайте")</f>
        <v>фото на сайте</v>
      </c>
    </row>
    <row r="1749" spans="1:19" ht="50.1" customHeight="1">
      <c r="A1749" s="31"/>
      <c r="B1749" s="32" t="s">
        <v>6921</v>
      </c>
      <c r="C1749" s="31" t="s">
        <v>6922</v>
      </c>
      <c r="D1749" s="31" t="s">
        <v>6923</v>
      </c>
      <c r="E1749" s="31" t="s">
        <v>6924</v>
      </c>
      <c r="F1749" s="31" t="s">
        <v>31</v>
      </c>
      <c r="G1749" s="31">
        <v>345</v>
      </c>
      <c r="H1749" s="31">
        <v>10</v>
      </c>
      <c r="I1749" s="31">
        <v>20</v>
      </c>
      <c r="J1749" s="31" t="s">
        <v>6925</v>
      </c>
      <c r="K1749" s="31" t="s">
        <v>55</v>
      </c>
      <c r="L1749" s="31" t="s">
        <v>34</v>
      </c>
      <c r="M1749" s="31">
        <v>192</v>
      </c>
      <c r="N1749" s="31">
        <v>2023</v>
      </c>
      <c r="O1749" s="31">
        <v>170</v>
      </c>
      <c r="P1749" s="31"/>
      <c r="Q1749" s="31"/>
      <c r="R1749" s="33" t="s">
        <v>6926</v>
      </c>
      <c r="S1749" s="34" t="str">
        <f>HYPERLINK("http://www.cnpol.ru/covers/20681.jpg","фото на сайте")</f>
        <v>фото на сайте</v>
      </c>
    </row>
    <row r="1750" spans="1:19" ht="50.1" customHeight="1">
      <c r="A1750" s="31"/>
      <c r="B1750" s="32" t="s">
        <v>6927</v>
      </c>
      <c r="C1750" s="31" t="s">
        <v>380</v>
      </c>
      <c r="D1750" s="31" t="s">
        <v>6928</v>
      </c>
      <c r="E1750" s="31" t="s">
        <v>6929</v>
      </c>
      <c r="F1750" s="31" t="s">
        <v>31</v>
      </c>
      <c r="G1750" s="31">
        <v>988</v>
      </c>
      <c r="H1750" s="31">
        <v>10</v>
      </c>
      <c r="I1750" s="31">
        <v>10</v>
      </c>
      <c r="J1750" s="31" t="s">
        <v>6930</v>
      </c>
      <c r="K1750" s="31" t="s">
        <v>41</v>
      </c>
      <c r="L1750" s="31" t="s">
        <v>304</v>
      </c>
      <c r="M1750" s="31">
        <v>352</v>
      </c>
      <c r="N1750" s="31">
        <v>2016</v>
      </c>
      <c r="O1750" s="31">
        <v>466</v>
      </c>
      <c r="P1750" s="31"/>
      <c r="Q1750" s="31"/>
      <c r="R1750" s="33"/>
      <c r="S1750" s="34" t="str">
        <f>HYPERLINK("http://www.cnpol.ru/covers/16569.jpg","фото на сайте")</f>
        <v>фото на сайте</v>
      </c>
    </row>
    <row r="1751" spans="1:19" ht="50.1" customHeight="1">
      <c r="A1751" s="31"/>
      <c r="B1751" s="32" t="s">
        <v>6931</v>
      </c>
      <c r="C1751" s="31" t="s">
        <v>6932</v>
      </c>
      <c r="D1751" s="31" t="s">
        <v>6933</v>
      </c>
      <c r="E1751" s="31" t="s">
        <v>6934</v>
      </c>
      <c r="F1751" s="31" t="s">
        <v>31</v>
      </c>
      <c r="G1751" s="35">
        <v>1048</v>
      </c>
      <c r="H1751" s="31">
        <v>10</v>
      </c>
      <c r="I1751" s="31">
        <v>10</v>
      </c>
      <c r="J1751" s="31" t="s">
        <v>6935</v>
      </c>
      <c r="K1751" s="31" t="s">
        <v>1649</v>
      </c>
      <c r="L1751" s="31" t="s">
        <v>210</v>
      </c>
      <c r="M1751" s="31">
        <v>320</v>
      </c>
      <c r="N1751" s="31">
        <v>2016</v>
      </c>
      <c r="O1751" s="31">
        <v>362</v>
      </c>
      <c r="P1751" s="31"/>
      <c r="Q1751" s="31"/>
      <c r="R1751" s="33"/>
      <c r="S1751" s="34" t="str">
        <f>HYPERLINK("http://www.cnpol.ru/covers/17217.jpg","фото на сайте")</f>
        <v>фото на сайте</v>
      </c>
    </row>
    <row r="1752" spans="1:19" ht="50.1" customHeight="1">
      <c r="A1752" s="31"/>
      <c r="B1752" s="32" t="s">
        <v>6936</v>
      </c>
      <c r="C1752" s="31" t="s">
        <v>6937</v>
      </c>
      <c r="D1752" s="31" t="s">
        <v>1004</v>
      </c>
      <c r="E1752" s="31" t="s">
        <v>6938</v>
      </c>
      <c r="F1752" s="31" t="s">
        <v>31</v>
      </c>
      <c r="G1752" s="31">
        <v>325</v>
      </c>
      <c r="H1752" s="31">
        <v>10</v>
      </c>
      <c r="I1752" s="31">
        <v>20</v>
      </c>
      <c r="J1752" s="31" t="s">
        <v>6939</v>
      </c>
      <c r="K1752" s="31" t="s">
        <v>33</v>
      </c>
      <c r="L1752" s="31" t="s">
        <v>34</v>
      </c>
      <c r="M1752" s="31">
        <v>256</v>
      </c>
      <c r="N1752" s="31">
        <v>2016</v>
      </c>
      <c r="O1752" s="31">
        <v>240</v>
      </c>
      <c r="P1752" s="31"/>
      <c r="Q1752" s="31"/>
      <c r="R1752" s="33"/>
      <c r="S1752" s="34" t="str">
        <f>HYPERLINK("http://www.cnpol.ru/covers/16728.jpg","фото на сайте")</f>
        <v>фото на сайте</v>
      </c>
    </row>
    <row r="1753" spans="1:19" ht="50.1" customHeight="1">
      <c r="A1753" s="31"/>
      <c r="B1753" s="32" t="s">
        <v>6940</v>
      </c>
      <c r="C1753" s="31" t="s">
        <v>1265</v>
      </c>
      <c r="D1753" s="31" t="s">
        <v>1266</v>
      </c>
      <c r="E1753" s="31" t="s">
        <v>6941</v>
      </c>
      <c r="F1753" s="31" t="s">
        <v>31</v>
      </c>
      <c r="G1753" s="31">
        <v>88</v>
      </c>
      <c r="H1753" s="31">
        <v>10</v>
      </c>
      <c r="I1753" s="31">
        <v>52</v>
      </c>
      <c r="J1753" s="31" t="s">
        <v>6942</v>
      </c>
      <c r="K1753" s="31" t="s">
        <v>123</v>
      </c>
      <c r="L1753" s="31" t="s">
        <v>56</v>
      </c>
      <c r="M1753" s="31">
        <v>127</v>
      </c>
      <c r="N1753" s="31">
        <v>2010</v>
      </c>
      <c r="O1753" s="31">
        <v>64</v>
      </c>
      <c r="P1753" s="31"/>
      <c r="Q1753" s="31"/>
      <c r="R1753" s="33"/>
      <c r="S1753" s="34" t="str">
        <f>HYPERLINK("http://www.cnpol.ru/covers/12046.jpg","фото на сайте")</f>
        <v>фото на сайте</v>
      </c>
    </row>
    <row r="1754" spans="1:19" ht="50.1" customHeight="1">
      <c r="A1754" s="31"/>
      <c r="B1754" s="32" t="s">
        <v>6943</v>
      </c>
      <c r="C1754" s="31" t="s">
        <v>1265</v>
      </c>
      <c r="D1754" s="31" t="s">
        <v>1266</v>
      </c>
      <c r="E1754" s="31" t="s">
        <v>6941</v>
      </c>
      <c r="F1754" s="31" t="s">
        <v>31</v>
      </c>
      <c r="G1754" s="31">
        <v>88</v>
      </c>
      <c r="H1754" s="31">
        <v>10</v>
      </c>
      <c r="I1754" s="31">
        <v>40</v>
      </c>
      <c r="J1754" s="31" t="s">
        <v>6944</v>
      </c>
      <c r="K1754" s="31" t="s">
        <v>123</v>
      </c>
      <c r="L1754" s="31" t="s">
        <v>56</v>
      </c>
      <c r="M1754" s="31">
        <v>128</v>
      </c>
      <c r="N1754" s="31">
        <v>2008</v>
      </c>
      <c r="O1754" s="31">
        <v>62</v>
      </c>
      <c r="P1754" s="31"/>
      <c r="Q1754" s="31"/>
      <c r="R1754" s="33"/>
      <c r="S1754" s="34" t="str">
        <f>HYPERLINK("http://www.cnpol.ru/covers/10374.jpg","фото на сайте")</f>
        <v>фото на сайте</v>
      </c>
    </row>
    <row r="1755" spans="1:19" ht="50.1" customHeight="1">
      <c r="A1755" s="31" t="s">
        <v>43</v>
      </c>
      <c r="B1755" s="32" t="s">
        <v>6945</v>
      </c>
      <c r="C1755" s="31" t="s">
        <v>37</v>
      </c>
      <c r="D1755" s="31" t="s">
        <v>6946</v>
      </c>
      <c r="E1755" s="31" t="s">
        <v>6947</v>
      </c>
      <c r="F1755" s="31" t="s">
        <v>31</v>
      </c>
      <c r="G1755" s="35">
        <v>1015</v>
      </c>
      <c r="H1755" s="31">
        <v>10</v>
      </c>
      <c r="I1755" s="31">
        <v>5</v>
      </c>
      <c r="J1755" s="31" t="s">
        <v>6948</v>
      </c>
      <c r="K1755" s="31" t="s">
        <v>33</v>
      </c>
      <c r="L1755" s="31" t="s">
        <v>34</v>
      </c>
      <c r="M1755" s="31">
        <v>383</v>
      </c>
      <c r="N1755" s="31">
        <v>2025</v>
      </c>
      <c r="O1755" s="31">
        <v>404</v>
      </c>
      <c r="P1755" s="31"/>
      <c r="Q1755" s="31"/>
      <c r="R1755" s="33" t="s">
        <v>6949</v>
      </c>
      <c r="S1755" s="34" t="str">
        <f>HYPERLINK("http://www.cnpol.ru/covers/21760.jpg","фото на сайте")</f>
        <v>фото на сайте</v>
      </c>
    </row>
    <row r="1756" spans="1:19" ht="50.1" customHeight="1">
      <c r="A1756" s="31"/>
      <c r="B1756" s="32" t="s">
        <v>6950</v>
      </c>
      <c r="C1756" s="31" t="s">
        <v>1102</v>
      </c>
      <c r="D1756" s="31" t="s">
        <v>6951</v>
      </c>
      <c r="E1756" s="31" t="s">
        <v>6952</v>
      </c>
      <c r="F1756" s="31" t="s">
        <v>31</v>
      </c>
      <c r="G1756" s="31">
        <v>593</v>
      </c>
      <c r="H1756" s="31">
        <v>10</v>
      </c>
      <c r="I1756" s="31">
        <v>14</v>
      </c>
      <c r="J1756" s="31" t="s">
        <v>6953</v>
      </c>
      <c r="K1756" s="31" t="s">
        <v>33</v>
      </c>
      <c r="L1756" s="31" t="s">
        <v>34</v>
      </c>
      <c r="M1756" s="31">
        <v>288</v>
      </c>
      <c r="N1756" s="31">
        <v>2015</v>
      </c>
      <c r="O1756" s="31">
        <v>240</v>
      </c>
      <c r="P1756" s="31"/>
      <c r="Q1756" s="31"/>
      <c r="R1756" s="33"/>
      <c r="S1756" s="34" t="str">
        <f>HYPERLINK("http://www.cnpol.ru/covers/16408.jpg","фото на сайте")</f>
        <v>фото на сайте</v>
      </c>
    </row>
    <row r="1757" spans="1:19" ht="50.1" customHeight="1">
      <c r="A1757" s="31"/>
      <c r="B1757" s="32" t="s">
        <v>6954</v>
      </c>
      <c r="C1757" s="31" t="s">
        <v>45</v>
      </c>
      <c r="D1757" s="31" t="s">
        <v>6955</v>
      </c>
      <c r="E1757" s="31" t="s">
        <v>6956</v>
      </c>
      <c r="F1757" s="31" t="s">
        <v>31</v>
      </c>
      <c r="G1757" s="31">
        <v>746</v>
      </c>
      <c r="H1757" s="31">
        <v>10</v>
      </c>
      <c r="I1757" s="31">
        <v>14</v>
      </c>
      <c r="J1757" s="31" t="s">
        <v>6957</v>
      </c>
      <c r="K1757" s="31" t="s">
        <v>33</v>
      </c>
      <c r="L1757" s="31" t="s">
        <v>34</v>
      </c>
      <c r="M1757" s="31">
        <v>315</v>
      </c>
      <c r="N1757" s="31">
        <v>2010</v>
      </c>
      <c r="O1757" s="31">
        <v>310</v>
      </c>
      <c r="P1757" s="31"/>
      <c r="Q1757" s="31"/>
      <c r="R1757" s="33"/>
      <c r="S1757" s="34" t="str">
        <f>HYPERLINK("http://www.cnpol.ru/covers/11432.jpg","фото на сайте")</f>
        <v>фото на сайте</v>
      </c>
    </row>
    <row r="1758" spans="1:19" ht="50.1" customHeight="1">
      <c r="A1758" s="31"/>
      <c r="B1758" s="32" t="s">
        <v>6958</v>
      </c>
      <c r="C1758" s="31" t="s">
        <v>206</v>
      </c>
      <c r="D1758" s="31" t="s">
        <v>6959</v>
      </c>
      <c r="E1758" s="31" t="s">
        <v>6960</v>
      </c>
      <c r="F1758" s="31" t="s">
        <v>31</v>
      </c>
      <c r="G1758" s="31">
        <v>321</v>
      </c>
      <c r="H1758" s="31">
        <v>10</v>
      </c>
      <c r="I1758" s="31">
        <v>20</v>
      </c>
      <c r="J1758" s="31" t="s">
        <v>6961</v>
      </c>
      <c r="K1758" s="31" t="s">
        <v>123</v>
      </c>
      <c r="L1758" s="31" t="s">
        <v>210</v>
      </c>
      <c r="M1758" s="31">
        <v>236</v>
      </c>
      <c r="N1758" s="31">
        <v>2008</v>
      </c>
      <c r="O1758" s="31">
        <v>170</v>
      </c>
      <c r="P1758" s="31"/>
      <c r="Q1758" s="31"/>
      <c r="R1758" s="33"/>
      <c r="S1758" s="34" t="str">
        <f>HYPERLINK("http://www.cnpol.ru/covers/7742.jpg","фото на сайте")</f>
        <v>фото на сайте</v>
      </c>
    </row>
    <row r="1759" spans="1:19" ht="50.1" customHeight="1">
      <c r="A1759" s="31"/>
      <c r="B1759" s="32" t="s">
        <v>6962</v>
      </c>
      <c r="C1759" s="31" t="s">
        <v>37</v>
      </c>
      <c r="D1759" s="31" t="s">
        <v>6963</v>
      </c>
      <c r="E1759" s="31" t="s">
        <v>6964</v>
      </c>
      <c r="F1759" s="31" t="s">
        <v>31</v>
      </c>
      <c r="G1759" s="31">
        <v>912</v>
      </c>
      <c r="H1759" s="31">
        <v>10</v>
      </c>
      <c r="I1759" s="31">
        <v>14</v>
      </c>
      <c r="J1759" s="31" t="s">
        <v>6965</v>
      </c>
      <c r="K1759" s="31" t="s">
        <v>33</v>
      </c>
      <c r="L1759" s="31" t="s">
        <v>34</v>
      </c>
      <c r="M1759" s="31">
        <v>301</v>
      </c>
      <c r="N1759" s="31">
        <v>2022</v>
      </c>
      <c r="O1759" s="31">
        <v>285</v>
      </c>
      <c r="P1759" s="31"/>
      <c r="Q1759" s="31"/>
      <c r="R1759" s="33" t="s">
        <v>6966</v>
      </c>
      <c r="S1759" s="34" t="str">
        <f>HYPERLINK("http://www.cnpol.ru/covers/20355.jpg","фото на сайте")</f>
        <v>фото на сайте</v>
      </c>
    </row>
    <row r="1760" spans="1:19" ht="50.1" customHeight="1">
      <c r="A1760" s="31"/>
      <c r="B1760" s="32" t="s">
        <v>6967</v>
      </c>
      <c r="C1760" s="31" t="s">
        <v>413</v>
      </c>
      <c r="D1760" s="31" t="s">
        <v>6968</v>
      </c>
      <c r="E1760" s="31" t="s">
        <v>6969</v>
      </c>
      <c r="F1760" s="31">
        <v>22</v>
      </c>
      <c r="G1760" s="31">
        <v>117</v>
      </c>
      <c r="H1760" s="31">
        <v>10</v>
      </c>
      <c r="I1760" s="31">
        <v>36</v>
      </c>
      <c r="J1760" s="31" t="s">
        <v>6970</v>
      </c>
      <c r="K1760" s="31" t="s">
        <v>123</v>
      </c>
      <c r="L1760" s="31" t="s">
        <v>56</v>
      </c>
      <c r="M1760" s="31">
        <v>190</v>
      </c>
      <c r="N1760" s="31">
        <v>2014</v>
      </c>
      <c r="O1760" s="31">
        <v>92</v>
      </c>
      <c r="P1760" s="31"/>
      <c r="Q1760" s="31"/>
      <c r="R1760" s="33"/>
      <c r="S1760" s="34" t="str">
        <f>HYPERLINK("http://www.cnpol.ru/covers/15458.jpg","фото на сайте")</f>
        <v>фото на сайте</v>
      </c>
    </row>
    <row r="1761" spans="1:19" ht="50.1" customHeight="1">
      <c r="A1761" s="31"/>
      <c r="B1761" s="32" t="s">
        <v>6971</v>
      </c>
      <c r="C1761" s="31" t="s">
        <v>390</v>
      </c>
      <c r="D1761" s="31" t="s">
        <v>6972</v>
      </c>
      <c r="E1761" s="31" t="s">
        <v>6973</v>
      </c>
      <c r="F1761" s="31">
        <v>1114</v>
      </c>
      <c r="G1761" s="31">
        <v>86</v>
      </c>
      <c r="H1761" s="31">
        <v>10</v>
      </c>
      <c r="I1761" s="31">
        <v>30</v>
      </c>
      <c r="J1761" s="31" t="s">
        <v>6974</v>
      </c>
      <c r="K1761" s="31" t="s">
        <v>123</v>
      </c>
      <c r="L1761" s="31" t="s">
        <v>56</v>
      </c>
      <c r="M1761" s="31">
        <v>159</v>
      </c>
      <c r="N1761" s="31">
        <v>2022</v>
      </c>
      <c r="O1761" s="31">
        <v>76</v>
      </c>
      <c r="P1761" s="31"/>
      <c r="Q1761" s="31"/>
      <c r="R1761" s="33" t="s">
        <v>6975</v>
      </c>
      <c r="S1761" s="34" t="str">
        <f>HYPERLINK("http://www.cnpol.ru/covers/20437.jpg","фото на сайте")</f>
        <v>фото на сайте</v>
      </c>
    </row>
    <row r="1762" spans="1:19" ht="50.1" customHeight="1">
      <c r="A1762" s="31"/>
      <c r="B1762" s="32" t="s">
        <v>6976</v>
      </c>
      <c r="C1762" s="31" t="s">
        <v>735</v>
      </c>
      <c r="D1762" s="31" t="s">
        <v>6977</v>
      </c>
      <c r="E1762" s="31" t="s">
        <v>6978</v>
      </c>
      <c r="F1762" s="31" t="s">
        <v>31</v>
      </c>
      <c r="G1762" s="31">
        <v>307</v>
      </c>
      <c r="H1762" s="31">
        <v>10</v>
      </c>
      <c r="I1762" s="31">
        <v>12</v>
      </c>
      <c r="J1762" s="31" t="s">
        <v>6979</v>
      </c>
      <c r="K1762" s="31" t="s">
        <v>739</v>
      </c>
      <c r="L1762" s="31" t="s">
        <v>34</v>
      </c>
      <c r="M1762" s="31">
        <v>367</v>
      </c>
      <c r="N1762" s="31">
        <v>2005</v>
      </c>
      <c r="O1762" s="31">
        <v>240</v>
      </c>
      <c r="P1762" s="31"/>
      <c r="Q1762" s="31"/>
      <c r="R1762" s="33"/>
      <c r="S1762" s="34" t="str">
        <f>HYPERLINK("http://www.cnpol.ru/covers/5612.jpg","фото на сайте")</f>
        <v>фото на сайте</v>
      </c>
    </row>
    <row r="1763" spans="1:19" ht="50.1" customHeight="1">
      <c r="A1763" s="31"/>
      <c r="B1763" s="32" t="s">
        <v>6980</v>
      </c>
      <c r="C1763" s="31" t="s">
        <v>6981</v>
      </c>
      <c r="D1763" s="31" t="s">
        <v>2111</v>
      </c>
      <c r="E1763" s="31" t="s">
        <v>6982</v>
      </c>
      <c r="F1763" s="31" t="s">
        <v>31</v>
      </c>
      <c r="G1763" s="31">
        <v>367</v>
      </c>
      <c r="H1763" s="31">
        <v>10</v>
      </c>
      <c r="I1763" s="31">
        <v>12</v>
      </c>
      <c r="J1763" s="31" t="s">
        <v>6983</v>
      </c>
      <c r="K1763" s="31" t="s">
        <v>33</v>
      </c>
      <c r="L1763" s="31" t="s">
        <v>210</v>
      </c>
      <c r="M1763" s="31">
        <v>384</v>
      </c>
      <c r="N1763" s="31">
        <v>2018</v>
      </c>
      <c r="O1763" s="31">
        <v>216</v>
      </c>
      <c r="P1763" s="31"/>
      <c r="Q1763" s="31"/>
      <c r="R1763" s="33"/>
      <c r="S1763" s="34" t="str">
        <f>HYPERLINK("http://www.cnpol.ru/covers/18012.jpg","фото на сайте")</f>
        <v>фото на сайте</v>
      </c>
    </row>
    <row r="1764" spans="1:19" ht="50.1" customHeight="1">
      <c r="A1764" s="31"/>
      <c r="B1764" s="32" t="s">
        <v>6984</v>
      </c>
      <c r="C1764" s="31" t="s">
        <v>576</v>
      </c>
      <c r="D1764" s="31" t="s">
        <v>577</v>
      </c>
      <c r="E1764" s="31" t="s">
        <v>6985</v>
      </c>
      <c r="F1764" s="31" t="s">
        <v>31</v>
      </c>
      <c r="G1764" s="31">
        <v>226</v>
      </c>
      <c r="H1764" s="31">
        <v>10</v>
      </c>
      <c r="I1764" s="31">
        <v>20</v>
      </c>
      <c r="J1764" s="31" t="s">
        <v>6986</v>
      </c>
      <c r="K1764" s="31" t="s">
        <v>123</v>
      </c>
      <c r="L1764" s="31" t="s">
        <v>56</v>
      </c>
      <c r="M1764" s="31">
        <v>320</v>
      </c>
      <c r="N1764" s="31">
        <v>2019</v>
      </c>
      <c r="O1764" s="31">
        <v>152</v>
      </c>
      <c r="P1764" s="31"/>
      <c r="Q1764" s="31"/>
      <c r="R1764" s="33"/>
      <c r="S1764" s="34" t="str">
        <f>HYPERLINK("http://www.cnpol.ru/covers/18659.jpg","фото на сайте")</f>
        <v>фото на сайте</v>
      </c>
    </row>
    <row r="1765" spans="1:19" ht="50.1" customHeight="1">
      <c r="A1765" s="31"/>
      <c r="B1765" s="32" t="s">
        <v>6987</v>
      </c>
      <c r="C1765" s="31" t="s">
        <v>5756</v>
      </c>
      <c r="D1765" s="31" t="s">
        <v>5757</v>
      </c>
      <c r="E1765" s="31" t="s">
        <v>6988</v>
      </c>
      <c r="F1765" s="31" t="s">
        <v>31</v>
      </c>
      <c r="G1765" s="31">
        <v>275</v>
      </c>
      <c r="H1765" s="31">
        <v>10</v>
      </c>
      <c r="I1765" s="31">
        <v>12</v>
      </c>
      <c r="J1765" s="31" t="s">
        <v>6989</v>
      </c>
      <c r="K1765" s="31" t="s">
        <v>123</v>
      </c>
      <c r="L1765" s="31" t="s">
        <v>56</v>
      </c>
      <c r="M1765" s="31">
        <v>479</v>
      </c>
      <c r="N1765" s="31">
        <v>2021</v>
      </c>
      <c r="O1765" s="31">
        <v>343</v>
      </c>
      <c r="P1765" s="31"/>
      <c r="Q1765" s="31"/>
      <c r="R1765" s="33"/>
      <c r="S1765" s="34" t="str">
        <f>HYPERLINK("http://www.cnpol.ru/covers/19963.jpg","фото на сайте")</f>
        <v>фото на сайте</v>
      </c>
    </row>
    <row r="1766" spans="1:19" ht="50.1" customHeight="1">
      <c r="A1766" s="31"/>
      <c r="B1766" s="32" t="s">
        <v>6990</v>
      </c>
      <c r="C1766" s="31" t="s">
        <v>390</v>
      </c>
      <c r="D1766" s="31" t="s">
        <v>4615</v>
      </c>
      <c r="E1766" s="31" t="s">
        <v>6991</v>
      </c>
      <c r="F1766" s="31">
        <v>876</v>
      </c>
      <c r="G1766" s="31">
        <v>86</v>
      </c>
      <c r="H1766" s="31">
        <v>10</v>
      </c>
      <c r="I1766" s="31">
        <v>30</v>
      </c>
      <c r="J1766" s="31" t="s">
        <v>6992</v>
      </c>
      <c r="K1766" s="31" t="s">
        <v>123</v>
      </c>
      <c r="L1766" s="31" t="s">
        <v>56</v>
      </c>
      <c r="M1766" s="31">
        <v>160</v>
      </c>
      <c r="N1766" s="31">
        <v>2019</v>
      </c>
      <c r="O1766" s="31">
        <v>76</v>
      </c>
      <c r="P1766" s="31"/>
      <c r="Q1766" s="31"/>
      <c r="R1766" s="33"/>
      <c r="S1766" s="34" t="str">
        <f>HYPERLINK("http://www.cnpol.ru/covers/18549.jpg","фото на сайте")</f>
        <v>фото на сайте</v>
      </c>
    </row>
    <row r="1767" spans="1:19" ht="50.1" customHeight="1">
      <c r="A1767" s="31" t="s">
        <v>43</v>
      </c>
      <c r="B1767" s="32" t="s">
        <v>6993</v>
      </c>
      <c r="C1767" s="31" t="s">
        <v>37</v>
      </c>
      <c r="D1767" s="31" t="s">
        <v>6994</v>
      </c>
      <c r="E1767" s="31" t="s">
        <v>6995</v>
      </c>
      <c r="F1767" s="31" t="s">
        <v>31</v>
      </c>
      <c r="G1767" s="31">
        <v>961</v>
      </c>
      <c r="H1767" s="31">
        <v>10</v>
      </c>
      <c r="I1767" s="31">
        <v>8</v>
      </c>
      <c r="J1767" s="31" t="s">
        <v>6996</v>
      </c>
      <c r="K1767" s="31" t="s">
        <v>33</v>
      </c>
      <c r="L1767" s="31" t="s">
        <v>34</v>
      </c>
      <c r="M1767" s="31">
        <v>351</v>
      </c>
      <c r="N1767" s="31">
        <v>2025</v>
      </c>
      <c r="O1767" s="31">
        <v>322</v>
      </c>
      <c r="P1767" s="31"/>
      <c r="Q1767" s="31"/>
      <c r="R1767" s="33" t="s">
        <v>6997</v>
      </c>
      <c r="S1767" s="34" t="str">
        <f>HYPERLINK("http://www.cnpol.ru/covers/21568.jpg","фото на сайте")</f>
        <v>фото на сайте</v>
      </c>
    </row>
    <row r="1768" spans="1:19" ht="50.1" customHeight="1">
      <c r="A1768" s="31"/>
      <c r="B1768" s="32" t="s">
        <v>6998</v>
      </c>
      <c r="C1768" s="31" t="s">
        <v>37</v>
      </c>
      <c r="D1768" s="31" t="s">
        <v>6999</v>
      </c>
      <c r="E1768" s="31" t="s">
        <v>7000</v>
      </c>
      <c r="F1768" s="31" t="s">
        <v>31</v>
      </c>
      <c r="G1768" s="31">
        <v>575</v>
      </c>
      <c r="H1768" s="31">
        <v>10</v>
      </c>
      <c r="I1768" s="31">
        <v>10</v>
      </c>
      <c r="J1768" s="31" t="s">
        <v>7001</v>
      </c>
      <c r="K1768" s="31" t="s">
        <v>33</v>
      </c>
      <c r="L1768" s="31" t="s">
        <v>34</v>
      </c>
      <c r="M1768" s="31">
        <v>479</v>
      </c>
      <c r="N1768" s="31">
        <v>2023</v>
      </c>
      <c r="O1768" s="31">
        <v>382</v>
      </c>
      <c r="P1768" s="31"/>
      <c r="Q1768" s="31"/>
      <c r="R1768" s="33" t="s">
        <v>7002</v>
      </c>
      <c r="S1768" s="34" t="str">
        <f>HYPERLINK("http://www.cnpol.ru/covers/20771.jpg","фото на сайте")</f>
        <v>фото на сайте</v>
      </c>
    </row>
    <row r="1769" spans="1:19" ht="50.1" customHeight="1">
      <c r="A1769" s="31"/>
      <c r="B1769" s="32" t="s">
        <v>7003</v>
      </c>
      <c r="C1769" s="31" t="s">
        <v>390</v>
      </c>
      <c r="D1769" s="31" t="s">
        <v>2674</v>
      </c>
      <c r="E1769" s="31" t="s">
        <v>7004</v>
      </c>
      <c r="F1769" s="31">
        <v>634</v>
      </c>
      <c r="G1769" s="31">
        <v>86</v>
      </c>
      <c r="H1769" s="31">
        <v>10</v>
      </c>
      <c r="I1769" s="31">
        <v>30</v>
      </c>
      <c r="J1769" s="31" t="s">
        <v>7005</v>
      </c>
      <c r="K1769" s="31" t="s">
        <v>123</v>
      </c>
      <c r="L1769" s="31" t="s">
        <v>56</v>
      </c>
      <c r="M1769" s="31">
        <v>160</v>
      </c>
      <c r="N1769" s="31">
        <v>2016</v>
      </c>
      <c r="O1769" s="31">
        <v>76</v>
      </c>
      <c r="P1769" s="31"/>
      <c r="Q1769" s="31"/>
      <c r="R1769" s="33"/>
      <c r="S1769" s="34" t="str">
        <f>HYPERLINK("http://www.cnpol.ru/covers/16881.jpg","фото на сайте")</f>
        <v>фото на сайте</v>
      </c>
    </row>
    <row r="1770" spans="1:19" ht="50.1" customHeight="1">
      <c r="A1770" s="31"/>
      <c r="B1770" s="32" t="s">
        <v>7006</v>
      </c>
      <c r="C1770" s="31" t="s">
        <v>1623</v>
      </c>
      <c r="D1770" s="31" t="s">
        <v>7007</v>
      </c>
      <c r="E1770" s="31" t="s">
        <v>7008</v>
      </c>
      <c r="F1770" s="31" t="s">
        <v>31</v>
      </c>
      <c r="G1770" s="31">
        <v>169</v>
      </c>
      <c r="H1770" s="31">
        <v>10</v>
      </c>
      <c r="I1770" s="31">
        <v>24</v>
      </c>
      <c r="J1770" s="31" t="s">
        <v>7009</v>
      </c>
      <c r="K1770" s="31" t="s">
        <v>55</v>
      </c>
      <c r="L1770" s="31" t="s">
        <v>56</v>
      </c>
      <c r="M1770" s="31">
        <v>288</v>
      </c>
      <c r="N1770" s="31">
        <v>2020</v>
      </c>
      <c r="O1770" s="31">
        <v>122</v>
      </c>
      <c r="P1770" s="31"/>
      <c r="Q1770" s="31"/>
      <c r="R1770" s="33"/>
      <c r="S1770" s="34" t="str">
        <f>HYPERLINK("http://www.cnpol.ru/covers/19386.jpg","фото на сайте")</f>
        <v>фото на сайте</v>
      </c>
    </row>
    <row r="1771" spans="1:19" ht="50.1" customHeight="1">
      <c r="A1771" s="31" t="s">
        <v>43</v>
      </c>
      <c r="B1771" s="32" t="s">
        <v>7010</v>
      </c>
      <c r="C1771" s="31" t="s">
        <v>434</v>
      </c>
      <c r="D1771" s="31" t="s">
        <v>913</v>
      </c>
      <c r="E1771" s="31" t="s">
        <v>7011</v>
      </c>
      <c r="F1771" s="31" t="s">
        <v>31</v>
      </c>
      <c r="G1771" s="31">
        <v>961</v>
      </c>
      <c r="H1771" s="31">
        <v>10</v>
      </c>
      <c r="I1771" s="31">
        <v>12</v>
      </c>
      <c r="J1771" s="31" t="s">
        <v>7012</v>
      </c>
      <c r="K1771" s="31" t="s">
        <v>33</v>
      </c>
      <c r="L1771" s="31" t="s">
        <v>34</v>
      </c>
      <c r="M1771" s="31">
        <v>351</v>
      </c>
      <c r="N1771" s="31">
        <v>2024</v>
      </c>
      <c r="O1771" s="31">
        <v>395</v>
      </c>
      <c r="P1771" s="31"/>
      <c r="Q1771" s="31"/>
      <c r="R1771" s="33" t="s">
        <v>7013</v>
      </c>
      <c r="S1771" s="34" t="str">
        <f>HYPERLINK("http://www.cnpol.ru/covers/21222.jpg","фото на сайте")</f>
        <v>фото на сайте</v>
      </c>
    </row>
    <row r="1772" spans="1:19" ht="50.1" customHeight="1">
      <c r="A1772" s="31"/>
      <c r="B1772" s="32" t="s">
        <v>7014</v>
      </c>
      <c r="C1772" s="31" t="s">
        <v>37</v>
      </c>
      <c r="D1772" s="31" t="s">
        <v>7015</v>
      </c>
      <c r="E1772" s="31" t="s">
        <v>7016</v>
      </c>
      <c r="F1772" s="31" t="s">
        <v>31</v>
      </c>
      <c r="G1772" s="35">
        <v>1394</v>
      </c>
      <c r="H1772" s="31">
        <v>10</v>
      </c>
      <c r="I1772" s="31">
        <v>8</v>
      </c>
      <c r="J1772" s="31" t="s">
        <v>7017</v>
      </c>
      <c r="K1772" s="31" t="s">
        <v>33</v>
      </c>
      <c r="L1772" s="31" t="s">
        <v>34</v>
      </c>
      <c r="M1772" s="31">
        <v>607</v>
      </c>
      <c r="N1772" s="31">
        <v>2022</v>
      </c>
      <c r="O1772" s="31">
        <v>643</v>
      </c>
      <c r="P1772" s="31"/>
      <c r="Q1772" s="31"/>
      <c r="R1772" s="33" t="s">
        <v>7018</v>
      </c>
      <c r="S1772" s="34" t="str">
        <f>HYPERLINK("http://www.cnpol.ru/covers/20398.jpg","фото на сайте")</f>
        <v>фото на сайте</v>
      </c>
    </row>
    <row r="1773" spans="1:19" ht="50.1" customHeight="1">
      <c r="A1773" s="31" t="s">
        <v>35</v>
      </c>
      <c r="B1773" s="32" t="s">
        <v>7019</v>
      </c>
      <c r="C1773" s="31" t="s">
        <v>7020</v>
      </c>
      <c r="D1773" s="31" t="s">
        <v>5169</v>
      </c>
      <c r="E1773" s="31" t="s">
        <v>7021</v>
      </c>
      <c r="F1773" s="31" t="s">
        <v>31</v>
      </c>
      <c r="G1773" s="31">
        <v>611</v>
      </c>
      <c r="H1773" s="31">
        <v>10</v>
      </c>
      <c r="I1773" s="31">
        <v>10</v>
      </c>
      <c r="J1773" s="31" t="s">
        <v>7022</v>
      </c>
      <c r="K1773" s="31" t="s">
        <v>33</v>
      </c>
      <c r="L1773" s="31" t="s">
        <v>34</v>
      </c>
      <c r="M1773" s="31">
        <v>447</v>
      </c>
      <c r="N1773" s="31">
        <v>2025</v>
      </c>
      <c r="O1773" s="31" t="s">
        <v>220</v>
      </c>
      <c r="P1773" s="31"/>
      <c r="Q1773" s="31"/>
      <c r="R1773" s="33" t="s">
        <v>7023</v>
      </c>
      <c r="S1773" s="34" t="str">
        <f>HYPERLINK("http://www.cnpol.ru/covers/21510.jpg","фото на сайте")</f>
        <v>фото на сайте</v>
      </c>
    </row>
    <row r="1774" spans="1:19" ht="50.1" customHeight="1">
      <c r="A1774" s="31"/>
      <c r="B1774" s="32" t="s">
        <v>7024</v>
      </c>
      <c r="C1774" s="31" t="s">
        <v>7025</v>
      </c>
      <c r="D1774" s="31" t="s">
        <v>7026</v>
      </c>
      <c r="E1774" s="31" t="s">
        <v>7027</v>
      </c>
      <c r="F1774" s="31" t="s">
        <v>31</v>
      </c>
      <c r="G1774" s="31">
        <v>137</v>
      </c>
      <c r="H1774" s="31">
        <v>10</v>
      </c>
      <c r="I1774" s="31">
        <v>36</v>
      </c>
      <c r="J1774" s="31" t="s">
        <v>7028</v>
      </c>
      <c r="K1774" s="31" t="s">
        <v>7029</v>
      </c>
      <c r="L1774" s="31" t="s">
        <v>56</v>
      </c>
      <c r="M1774" s="31">
        <v>269</v>
      </c>
      <c r="N1774" s="31">
        <v>2011</v>
      </c>
      <c r="O1774" s="31">
        <v>98</v>
      </c>
      <c r="P1774" s="31"/>
      <c r="Q1774" s="31"/>
      <c r="R1774" s="33"/>
      <c r="S1774" s="34" t="str">
        <f>HYPERLINK("http://www.cnpol.ru/covers/12755.jpg","фото на сайте")</f>
        <v>фото на сайте</v>
      </c>
    </row>
    <row r="1775" spans="1:19" ht="50.1" customHeight="1">
      <c r="A1775" s="31"/>
      <c r="B1775" s="32" t="s">
        <v>7030</v>
      </c>
      <c r="C1775" s="31" t="s">
        <v>7025</v>
      </c>
      <c r="D1775" s="31" t="s">
        <v>7026</v>
      </c>
      <c r="E1775" s="31" t="s">
        <v>7027</v>
      </c>
      <c r="F1775" s="31" t="s">
        <v>31</v>
      </c>
      <c r="G1775" s="31">
        <v>209</v>
      </c>
      <c r="H1775" s="31">
        <v>10</v>
      </c>
      <c r="I1775" s="31">
        <v>40</v>
      </c>
      <c r="J1775" s="31" t="s">
        <v>7031</v>
      </c>
      <c r="K1775" s="31" t="s">
        <v>7029</v>
      </c>
      <c r="L1775" s="31" t="s">
        <v>56</v>
      </c>
      <c r="M1775" s="31">
        <v>269</v>
      </c>
      <c r="N1775" s="31">
        <v>2012</v>
      </c>
      <c r="O1775" s="31">
        <v>94</v>
      </c>
      <c r="P1775" s="31"/>
      <c r="Q1775" s="31"/>
      <c r="R1775" s="33"/>
      <c r="S1775" s="34" t="str">
        <f>HYPERLINK("http://www.cnpol.ru/covers/13177.jpg","фото на сайте")</f>
        <v>фото на сайте</v>
      </c>
    </row>
    <row r="1776" spans="1:19" ht="50.1" customHeight="1">
      <c r="A1776" s="31"/>
      <c r="B1776" s="32" t="s">
        <v>7032</v>
      </c>
      <c r="C1776" s="31" t="s">
        <v>7025</v>
      </c>
      <c r="D1776" s="31" t="s">
        <v>614</v>
      </c>
      <c r="E1776" s="31" t="s">
        <v>7027</v>
      </c>
      <c r="F1776" s="31" t="s">
        <v>31</v>
      </c>
      <c r="G1776" s="31">
        <v>128</v>
      </c>
      <c r="H1776" s="31">
        <v>10</v>
      </c>
      <c r="I1776" s="31">
        <v>40</v>
      </c>
      <c r="J1776" s="31" t="s">
        <v>7031</v>
      </c>
      <c r="K1776" s="31" t="s">
        <v>226</v>
      </c>
      <c r="L1776" s="31" t="s">
        <v>56</v>
      </c>
      <c r="M1776" s="31">
        <v>269</v>
      </c>
      <c r="N1776" s="31">
        <v>2012</v>
      </c>
      <c r="O1776" s="31">
        <v>100</v>
      </c>
      <c r="P1776" s="31"/>
      <c r="Q1776" s="31"/>
      <c r="R1776" s="33"/>
      <c r="S1776" s="34" t="str">
        <f>HYPERLINK("http://www.cnpol.ru/covers/13791.jpg","фото на сайте")</f>
        <v>фото на сайте</v>
      </c>
    </row>
    <row r="1777" spans="1:19" ht="50.1" customHeight="1">
      <c r="A1777" s="31"/>
      <c r="B1777" s="32" t="s">
        <v>7033</v>
      </c>
      <c r="C1777" s="31" t="s">
        <v>7025</v>
      </c>
      <c r="D1777" s="31" t="s">
        <v>614</v>
      </c>
      <c r="E1777" s="31" t="s">
        <v>7034</v>
      </c>
      <c r="F1777" s="31" t="s">
        <v>31</v>
      </c>
      <c r="G1777" s="31">
        <v>209</v>
      </c>
      <c r="H1777" s="31">
        <v>10</v>
      </c>
      <c r="I1777" s="31">
        <v>40</v>
      </c>
      <c r="J1777" s="31" t="s">
        <v>7035</v>
      </c>
      <c r="K1777" s="31" t="s">
        <v>226</v>
      </c>
      <c r="L1777" s="31" t="s">
        <v>56</v>
      </c>
      <c r="M1777" s="31">
        <v>269</v>
      </c>
      <c r="N1777" s="31">
        <v>2014</v>
      </c>
      <c r="O1777" s="31">
        <v>96</v>
      </c>
      <c r="P1777" s="31"/>
      <c r="Q1777" s="31"/>
      <c r="R1777" s="33"/>
      <c r="S1777" s="34" t="str">
        <f>HYPERLINK("http://www.cnpol.ru/covers/14885.jpg","фото на сайте")</f>
        <v>фото на сайте</v>
      </c>
    </row>
    <row r="1778" spans="1:19" ht="50.1" customHeight="1">
      <c r="A1778" s="31"/>
      <c r="B1778" s="32" t="s">
        <v>7036</v>
      </c>
      <c r="C1778" s="31" t="s">
        <v>7025</v>
      </c>
      <c r="D1778" s="31" t="s">
        <v>7026</v>
      </c>
      <c r="E1778" s="31" t="s">
        <v>7037</v>
      </c>
      <c r="F1778" s="31" t="s">
        <v>31</v>
      </c>
      <c r="G1778" s="31">
        <v>209</v>
      </c>
      <c r="H1778" s="31">
        <v>10</v>
      </c>
      <c r="I1778" s="31">
        <v>32</v>
      </c>
      <c r="J1778" s="31" t="s">
        <v>7038</v>
      </c>
      <c r="K1778" s="31" t="s">
        <v>226</v>
      </c>
      <c r="L1778" s="31" t="s">
        <v>56</v>
      </c>
      <c r="M1778" s="31">
        <v>351</v>
      </c>
      <c r="N1778" s="31">
        <v>2012</v>
      </c>
      <c r="O1778" s="31">
        <v>124</v>
      </c>
      <c r="P1778" s="31"/>
      <c r="Q1778" s="31"/>
      <c r="R1778" s="33"/>
      <c r="S1778" s="34" t="str">
        <f>HYPERLINK("http://www.cnpol.ru/covers/13978.jpg","фото на сайте")</f>
        <v>фото на сайте</v>
      </c>
    </row>
    <row r="1779" spans="1:19" ht="50.1" customHeight="1">
      <c r="A1779" s="31"/>
      <c r="B1779" s="32" t="s">
        <v>7039</v>
      </c>
      <c r="C1779" s="31" t="s">
        <v>7040</v>
      </c>
      <c r="D1779" s="31" t="s">
        <v>2911</v>
      </c>
      <c r="E1779" s="31" t="s">
        <v>7041</v>
      </c>
      <c r="F1779" s="31" t="s">
        <v>31</v>
      </c>
      <c r="G1779" s="31">
        <v>154</v>
      </c>
      <c r="H1779" s="31">
        <v>10</v>
      </c>
      <c r="I1779" s="31">
        <v>20</v>
      </c>
      <c r="J1779" s="31" t="s">
        <v>7042</v>
      </c>
      <c r="K1779" s="31" t="s">
        <v>130</v>
      </c>
      <c r="L1779" s="31" t="s">
        <v>56</v>
      </c>
      <c r="M1779" s="31">
        <v>288</v>
      </c>
      <c r="N1779" s="31">
        <v>2008</v>
      </c>
      <c r="O1779" s="31">
        <v>186</v>
      </c>
      <c r="P1779" s="31"/>
      <c r="Q1779" s="31"/>
      <c r="R1779" s="33"/>
      <c r="S1779" s="34" t="str">
        <f>HYPERLINK("http://www.cnpol.ru/covers/10189.jpg","фото на сайте")</f>
        <v>фото на сайте</v>
      </c>
    </row>
    <row r="1780" spans="1:19" ht="50.1" customHeight="1">
      <c r="A1780" s="31"/>
      <c r="B1780" s="32" t="s">
        <v>7043</v>
      </c>
      <c r="C1780" s="31" t="s">
        <v>7044</v>
      </c>
      <c r="D1780" s="31" t="s">
        <v>7045</v>
      </c>
      <c r="E1780" s="31" t="s">
        <v>7046</v>
      </c>
      <c r="F1780" s="31">
        <v>8</v>
      </c>
      <c r="G1780" s="31">
        <v>486</v>
      </c>
      <c r="H1780" s="31">
        <v>10</v>
      </c>
      <c r="I1780" s="31">
        <v>20</v>
      </c>
      <c r="J1780" s="31" t="s">
        <v>7047</v>
      </c>
      <c r="K1780" s="31" t="s">
        <v>41</v>
      </c>
      <c r="L1780" s="31" t="s">
        <v>34</v>
      </c>
      <c r="M1780" s="31">
        <v>143</v>
      </c>
      <c r="N1780" s="31">
        <v>2021</v>
      </c>
      <c r="O1780" s="31">
        <v>180</v>
      </c>
      <c r="P1780" s="31"/>
      <c r="Q1780" s="31"/>
      <c r="R1780" s="33"/>
      <c r="S1780" s="34" t="str">
        <f>HYPERLINK("http://www.cnpol.ru/covers/19612.jpg","фото на сайте")</f>
        <v>фото на сайте</v>
      </c>
    </row>
    <row r="1781" spans="1:19" ht="50.1" customHeight="1">
      <c r="A1781" s="31"/>
      <c r="B1781" s="32" t="s">
        <v>7048</v>
      </c>
      <c r="C1781" s="31" t="s">
        <v>688</v>
      </c>
      <c r="D1781" s="31" t="s">
        <v>4110</v>
      </c>
      <c r="E1781" s="31" t="s">
        <v>7049</v>
      </c>
      <c r="F1781" s="31" t="s">
        <v>31</v>
      </c>
      <c r="G1781" s="31">
        <v>559</v>
      </c>
      <c r="H1781" s="31">
        <v>10</v>
      </c>
      <c r="I1781" s="31">
        <v>12</v>
      </c>
      <c r="J1781" s="31" t="s">
        <v>7050</v>
      </c>
      <c r="K1781" s="31" t="s">
        <v>158</v>
      </c>
      <c r="L1781" s="31" t="s">
        <v>34</v>
      </c>
      <c r="M1781" s="31">
        <v>224</v>
      </c>
      <c r="N1781" s="31">
        <v>2015</v>
      </c>
      <c r="O1781" s="31">
        <v>235</v>
      </c>
      <c r="P1781" s="31"/>
      <c r="Q1781" s="31"/>
      <c r="R1781" s="33"/>
      <c r="S1781" s="34" t="str">
        <f>HYPERLINK("http://www.cnpol.ru/covers/16395.jpg","фото на сайте")</f>
        <v>фото на сайте</v>
      </c>
    </row>
    <row r="1782" spans="1:19" ht="50.1" customHeight="1">
      <c r="A1782" s="31" t="s">
        <v>35</v>
      </c>
      <c r="B1782" s="32" t="s">
        <v>7051</v>
      </c>
      <c r="C1782" s="31" t="s">
        <v>37</v>
      </c>
      <c r="D1782" s="31" t="s">
        <v>7052</v>
      </c>
      <c r="E1782" s="31" t="s">
        <v>7053</v>
      </c>
      <c r="F1782" s="31" t="s">
        <v>31</v>
      </c>
      <c r="G1782" s="31">
        <v>678</v>
      </c>
      <c r="H1782" s="31">
        <v>10</v>
      </c>
      <c r="I1782" s="31">
        <v>18</v>
      </c>
      <c r="J1782" s="31" t="s">
        <v>7054</v>
      </c>
      <c r="K1782" s="31" t="s">
        <v>33</v>
      </c>
      <c r="L1782" s="31" t="s">
        <v>34</v>
      </c>
      <c r="M1782" s="31">
        <v>191</v>
      </c>
      <c r="N1782" s="31">
        <v>2025</v>
      </c>
      <c r="O1782" s="31">
        <v>266</v>
      </c>
      <c r="P1782" s="31"/>
      <c r="Q1782" s="31"/>
      <c r="R1782" s="33" t="s">
        <v>7055</v>
      </c>
      <c r="S1782" s="34" t="str">
        <f>HYPERLINK("http://www.cnpol.ru/covers/21623.jpg","фото на сайте")</f>
        <v>фото на сайте</v>
      </c>
    </row>
    <row r="1783" spans="1:19" ht="50.1" customHeight="1">
      <c r="A1783" s="31" t="s">
        <v>43</v>
      </c>
      <c r="B1783" s="32" t="s">
        <v>7056</v>
      </c>
      <c r="C1783" s="31" t="s">
        <v>143</v>
      </c>
      <c r="D1783" s="31" t="s">
        <v>3293</v>
      </c>
      <c r="E1783" s="31" t="s">
        <v>7057</v>
      </c>
      <c r="F1783" s="31" t="s">
        <v>31</v>
      </c>
      <c r="G1783" s="35">
        <v>1277</v>
      </c>
      <c r="H1783" s="31">
        <v>10</v>
      </c>
      <c r="I1783" s="31">
        <v>7</v>
      </c>
      <c r="J1783" s="31" t="s">
        <v>7058</v>
      </c>
      <c r="K1783" s="31" t="s">
        <v>33</v>
      </c>
      <c r="L1783" s="31" t="s">
        <v>34</v>
      </c>
      <c r="M1783" s="31">
        <v>271</v>
      </c>
      <c r="N1783" s="31">
        <v>2025</v>
      </c>
      <c r="O1783" s="31">
        <v>455</v>
      </c>
      <c r="P1783" s="31"/>
      <c r="Q1783" s="31"/>
      <c r="R1783" s="33" t="s">
        <v>7059</v>
      </c>
      <c r="S1783" s="34" t="str">
        <f>HYPERLINK("http://www.cnpol.ru/covers/21521.jpg","фото на сайте")</f>
        <v>фото на сайте</v>
      </c>
    </row>
    <row r="1784" spans="1:19" ht="50.1" customHeight="1">
      <c r="A1784" s="31" t="s">
        <v>43</v>
      </c>
      <c r="B1784" s="32" t="s">
        <v>7060</v>
      </c>
      <c r="C1784" s="31" t="s">
        <v>7061</v>
      </c>
      <c r="D1784" s="31" t="s">
        <v>7062</v>
      </c>
      <c r="E1784" s="31" t="s">
        <v>7063</v>
      </c>
      <c r="F1784" s="31" t="s">
        <v>31</v>
      </c>
      <c r="G1784" s="31">
        <v>666</v>
      </c>
      <c r="H1784" s="31">
        <v>10</v>
      </c>
      <c r="I1784" s="31">
        <v>10</v>
      </c>
      <c r="J1784" s="31" t="s">
        <v>7064</v>
      </c>
      <c r="K1784" s="31" t="s">
        <v>41</v>
      </c>
      <c r="L1784" s="31" t="s">
        <v>34</v>
      </c>
      <c r="M1784" s="31">
        <v>175</v>
      </c>
      <c r="N1784" s="31">
        <v>2025</v>
      </c>
      <c r="O1784" s="31">
        <v>210</v>
      </c>
      <c r="P1784" s="31"/>
      <c r="Q1784" s="31"/>
      <c r="R1784" s="33" t="s">
        <v>7065</v>
      </c>
      <c r="S1784" s="34" t="str">
        <f>HYPERLINK("http://www.cnpol.ru/covers/21586.jpg","фото на сайте")</f>
        <v>фото на сайте</v>
      </c>
    </row>
    <row r="1785" spans="1:19" ht="50.1" customHeight="1">
      <c r="A1785" s="31" t="s">
        <v>35</v>
      </c>
      <c r="B1785" s="32" t="s">
        <v>7066</v>
      </c>
      <c r="C1785" s="31" t="s">
        <v>37</v>
      </c>
      <c r="D1785" s="31" t="s">
        <v>7067</v>
      </c>
      <c r="E1785" s="31" t="s">
        <v>7068</v>
      </c>
      <c r="F1785" s="31" t="s">
        <v>31</v>
      </c>
      <c r="G1785" s="31">
        <v>955</v>
      </c>
      <c r="H1785" s="31">
        <v>10</v>
      </c>
      <c r="I1785" s="31">
        <v>6</v>
      </c>
      <c r="J1785" s="31" t="s">
        <v>7069</v>
      </c>
      <c r="K1785" s="31" t="s">
        <v>33</v>
      </c>
      <c r="L1785" s="31" t="s">
        <v>34</v>
      </c>
      <c r="M1785" s="31">
        <v>320</v>
      </c>
      <c r="N1785" s="31">
        <v>2025</v>
      </c>
      <c r="O1785" s="31">
        <v>380</v>
      </c>
      <c r="P1785" s="31"/>
      <c r="Q1785" s="31"/>
      <c r="R1785" s="33" t="s">
        <v>7070</v>
      </c>
      <c r="S1785" s="34" t="str">
        <f>HYPERLINK("http://www.cnpol.ru/covers/21674.jpg","фото на сайте")</f>
        <v>фото на сайте</v>
      </c>
    </row>
    <row r="1786" spans="1:19" ht="50.1" customHeight="1">
      <c r="A1786" s="31" t="s">
        <v>43</v>
      </c>
      <c r="B1786" s="32" t="s">
        <v>7071</v>
      </c>
      <c r="C1786" s="31" t="s">
        <v>37</v>
      </c>
      <c r="D1786" s="31" t="s">
        <v>7072</v>
      </c>
      <c r="E1786" s="31" t="s">
        <v>7073</v>
      </c>
      <c r="F1786" s="31" t="s">
        <v>31</v>
      </c>
      <c r="G1786" s="35">
        <v>1011</v>
      </c>
      <c r="H1786" s="31">
        <v>10</v>
      </c>
      <c r="I1786" s="31">
        <v>10</v>
      </c>
      <c r="J1786" s="31" t="s">
        <v>7074</v>
      </c>
      <c r="K1786" s="31" t="s">
        <v>33</v>
      </c>
      <c r="L1786" s="31" t="s">
        <v>34</v>
      </c>
      <c r="M1786" s="31">
        <v>367</v>
      </c>
      <c r="N1786" s="31">
        <v>2025</v>
      </c>
      <c r="O1786" s="31">
        <v>234</v>
      </c>
      <c r="P1786" s="31"/>
      <c r="Q1786" s="31"/>
      <c r="R1786" s="33" t="s">
        <v>7075</v>
      </c>
      <c r="S1786" s="34" t="str">
        <f>HYPERLINK("http://www.cnpol.ru/covers/21435.jpg","фото на сайте")</f>
        <v>фото на сайте</v>
      </c>
    </row>
    <row r="1787" spans="1:19" ht="50.1" customHeight="1">
      <c r="A1787" s="31"/>
      <c r="B1787" s="32" t="s">
        <v>7076</v>
      </c>
      <c r="C1787" s="31" t="s">
        <v>1623</v>
      </c>
      <c r="D1787" s="31" t="s">
        <v>3018</v>
      </c>
      <c r="E1787" s="31" t="s">
        <v>7077</v>
      </c>
      <c r="F1787" s="31" t="s">
        <v>31</v>
      </c>
      <c r="G1787" s="31">
        <v>169</v>
      </c>
      <c r="H1787" s="31">
        <v>10</v>
      </c>
      <c r="I1787" s="31">
        <v>11</v>
      </c>
      <c r="J1787" s="31" t="s">
        <v>7078</v>
      </c>
      <c r="K1787" s="31" t="s">
        <v>55</v>
      </c>
      <c r="L1787" s="31" t="s">
        <v>56</v>
      </c>
      <c r="M1787" s="31">
        <v>288</v>
      </c>
      <c r="N1787" s="31">
        <v>2021</v>
      </c>
      <c r="O1787" s="31">
        <v>122</v>
      </c>
      <c r="P1787" s="31"/>
      <c r="Q1787" s="31"/>
      <c r="R1787" s="33"/>
      <c r="S1787" s="34" t="str">
        <f>HYPERLINK("http://www.cnpol.ru/covers/19679.jpg","фото на сайте")</f>
        <v>фото на сайте</v>
      </c>
    </row>
    <row r="1788" spans="1:19" ht="50.1" customHeight="1">
      <c r="A1788" s="31"/>
      <c r="B1788" s="32" t="s">
        <v>7079</v>
      </c>
      <c r="C1788" s="31" t="s">
        <v>390</v>
      </c>
      <c r="D1788" s="31" t="s">
        <v>414</v>
      </c>
      <c r="E1788" s="31" t="s">
        <v>7080</v>
      </c>
      <c r="F1788" s="31">
        <v>856</v>
      </c>
      <c r="G1788" s="31">
        <v>86</v>
      </c>
      <c r="H1788" s="31">
        <v>10</v>
      </c>
      <c r="I1788" s="31">
        <v>30</v>
      </c>
      <c r="J1788" s="31" t="s">
        <v>7081</v>
      </c>
      <c r="K1788" s="31" t="s">
        <v>123</v>
      </c>
      <c r="L1788" s="31" t="s">
        <v>56</v>
      </c>
      <c r="M1788" s="31">
        <v>160</v>
      </c>
      <c r="N1788" s="31">
        <v>2018</v>
      </c>
      <c r="O1788" s="31">
        <v>76</v>
      </c>
      <c r="P1788" s="31"/>
      <c r="Q1788" s="31"/>
      <c r="R1788" s="33"/>
      <c r="S1788" s="34" t="str">
        <f>HYPERLINK("http://www.cnpol.ru/covers/18427.jpg","фото на сайте")</f>
        <v>фото на сайте</v>
      </c>
    </row>
    <row r="1789" spans="1:19" ht="50.1" customHeight="1">
      <c r="A1789" s="31"/>
      <c r="B1789" s="32" t="s">
        <v>7082</v>
      </c>
      <c r="C1789" s="31" t="s">
        <v>546</v>
      </c>
      <c r="D1789" s="31" t="s">
        <v>1435</v>
      </c>
      <c r="E1789" s="31" t="s">
        <v>7083</v>
      </c>
      <c r="F1789" s="31">
        <v>229</v>
      </c>
      <c r="G1789" s="31">
        <v>93</v>
      </c>
      <c r="H1789" s="31">
        <v>10</v>
      </c>
      <c r="I1789" s="31">
        <v>30</v>
      </c>
      <c r="J1789" s="31" t="s">
        <v>7084</v>
      </c>
      <c r="K1789" s="31" t="s">
        <v>123</v>
      </c>
      <c r="L1789" s="31" t="s">
        <v>56</v>
      </c>
      <c r="M1789" s="31">
        <v>160</v>
      </c>
      <c r="N1789" s="31">
        <v>2017</v>
      </c>
      <c r="O1789" s="31">
        <v>76</v>
      </c>
      <c r="P1789" s="31"/>
      <c r="Q1789" s="31"/>
      <c r="R1789" s="33"/>
      <c r="S1789" s="34" t="str">
        <f>HYPERLINK("http://www.cnpol.ru/covers/17602.jpg","фото на сайте")</f>
        <v>фото на сайте</v>
      </c>
    </row>
    <row r="1790" spans="1:19" ht="50.1" customHeight="1">
      <c r="A1790" s="31"/>
      <c r="B1790" s="32" t="s">
        <v>7085</v>
      </c>
      <c r="C1790" s="31" t="s">
        <v>6252</v>
      </c>
      <c r="D1790" s="31" t="s">
        <v>213</v>
      </c>
      <c r="E1790" s="31" t="s">
        <v>7086</v>
      </c>
      <c r="F1790" s="31">
        <v>1</v>
      </c>
      <c r="G1790" s="35">
        <v>5743</v>
      </c>
      <c r="H1790" s="31">
        <v>10</v>
      </c>
      <c r="I1790" s="31">
        <v>2</v>
      </c>
      <c r="J1790" s="31" t="s">
        <v>7087</v>
      </c>
      <c r="K1790" s="31" t="s">
        <v>2004</v>
      </c>
      <c r="L1790" s="31" t="s">
        <v>34</v>
      </c>
      <c r="M1790" s="31">
        <v>863</v>
      </c>
      <c r="N1790" s="31">
        <v>2004</v>
      </c>
      <c r="O1790" s="31">
        <v>1630</v>
      </c>
      <c r="P1790" s="31"/>
      <c r="Q1790" s="31"/>
      <c r="R1790" s="33"/>
      <c r="S1790" s="34" t="str">
        <f>HYPERLINK("http://www.cnpol.ru/covers/5443.jpg","фото на сайте")</f>
        <v>фото на сайте</v>
      </c>
    </row>
    <row r="1791" spans="1:19" ht="50.1" customHeight="1">
      <c r="A1791" s="31"/>
      <c r="B1791" s="32" t="s">
        <v>7088</v>
      </c>
      <c r="C1791" s="31" t="s">
        <v>6252</v>
      </c>
      <c r="D1791" s="31" t="s">
        <v>213</v>
      </c>
      <c r="E1791" s="31" t="s">
        <v>7089</v>
      </c>
      <c r="F1791" s="31">
        <v>2</v>
      </c>
      <c r="G1791" s="35">
        <v>5743</v>
      </c>
      <c r="H1791" s="31">
        <v>10</v>
      </c>
      <c r="I1791" s="31">
        <v>2</v>
      </c>
      <c r="J1791" s="31" t="s">
        <v>7090</v>
      </c>
      <c r="K1791" s="31" t="s">
        <v>2004</v>
      </c>
      <c r="L1791" s="31" t="s">
        <v>34</v>
      </c>
      <c r="M1791" s="31">
        <v>778</v>
      </c>
      <c r="N1791" s="31">
        <v>2004</v>
      </c>
      <c r="O1791" s="31">
        <v>1310</v>
      </c>
      <c r="P1791" s="31"/>
      <c r="Q1791" s="31"/>
      <c r="R1791" s="33"/>
      <c r="S1791" s="34" t="str">
        <f>HYPERLINK("http://www.cnpol.ru/covers/5444.jpg","фото на сайте")</f>
        <v>фото на сайте</v>
      </c>
    </row>
    <row r="1792" spans="1:19" ht="50.1" customHeight="1">
      <c r="A1792" s="31"/>
      <c r="B1792" s="32" t="s">
        <v>7091</v>
      </c>
      <c r="C1792" s="31" t="s">
        <v>6252</v>
      </c>
      <c r="D1792" s="31" t="s">
        <v>7092</v>
      </c>
      <c r="E1792" s="31" t="s">
        <v>7093</v>
      </c>
      <c r="F1792" s="31">
        <v>1</v>
      </c>
      <c r="G1792" s="35">
        <v>5743</v>
      </c>
      <c r="H1792" s="31">
        <v>10</v>
      </c>
      <c r="I1792" s="31">
        <v>2</v>
      </c>
      <c r="J1792" s="31" t="s">
        <v>7094</v>
      </c>
      <c r="K1792" s="31" t="s">
        <v>319</v>
      </c>
      <c r="L1792" s="31" t="s">
        <v>34</v>
      </c>
      <c r="M1792" s="31">
        <v>347</v>
      </c>
      <c r="N1792" s="31">
        <v>2004</v>
      </c>
      <c r="O1792" s="31">
        <v>974</v>
      </c>
      <c r="P1792" s="31"/>
      <c r="Q1792" s="31"/>
      <c r="R1792" s="33"/>
      <c r="S1792" s="34" t="str">
        <f>HYPERLINK("http://www.cnpol.ru/covers/4729.jpg","фото на сайте")</f>
        <v>фото на сайте</v>
      </c>
    </row>
    <row r="1793" spans="1:19" ht="50.1" customHeight="1">
      <c r="A1793" s="31"/>
      <c r="B1793" s="32" t="s">
        <v>7095</v>
      </c>
      <c r="C1793" s="31" t="s">
        <v>6252</v>
      </c>
      <c r="D1793" s="31" t="s">
        <v>7092</v>
      </c>
      <c r="E1793" s="31" t="s">
        <v>7096</v>
      </c>
      <c r="F1793" s="31">
        <v>2</v>
      </c>
      <c r="G1793" s="35">
        <v>5743</v>
      </c>
      <c r="H1793" s="31">
        <v>10</v>
      </c>
      <c r="I1793" s="31">
        <v>2</v>
      </c>
      <c r="J1793" s="31" t="s">
        <v>7097</v>
      </c>
      <c r="K1793" s="31" t="s">
        <v>319</v>
      </c>
      <c r="L1793" s="31" t="s">
        <v>34</v>
      </c>
      <c r="M1793" s="31">
        <v>351</v>
      </c>
      <c r="N1793" s="31">
        <v>2004</v>
      </c>
      <c r="O1793" s="31">
        <v>974</v>
      </c>
      <c r="P1793" s="31"/>
      <c r="Q1793" s="31"/>
      <c r="R1793" s="33"/>
      <c r="S1793" s="34" t="str">
        <f>HYPERLINK("http://www.cnpol.ru/covers/4730.jpg","фото на сайте")</f>
        <v>фото на сайте</v>
      </c>
    </row>
    <row r="1794" spans="1:19" ht="50.1" customHeight="1">
      <c r="A1794" s="31"/>
      <c r="B1794" s="32" t="s">
        <v>7098</v>
      </c>
      <c r="C1794" s="31" t="s">
        <v>1237</v>
      </c>
      <c r="D1794" s="31" t="s">
        <v>1238</v>
      </c>
      <c r="E1794" s="31" t="s">
        <v>7099</v>
      </c>
      <c r="F1794" s="31" t="s">
        <v>31</v>
      </c>
      <c r="G1794" s="35">
        <v>1075</v>
      </c>
      <c r="H1794" s="31">
        <v>10</v>
      </c>
      <c r="I1794" s="31">
        <v>6</v>
      </c>
      <c r="J1794" s="31" t="s">
        <v>7100</v>
      </c>
      <c r="K1794" s="31" t="s">
        <v>33</v>
      </c>
      <c r="L1794" s="31" t="s">
        <v>34</v>
      </c>
      <c r="M1794" s="31">
        <v>832</v>
      </c>
      <c r="N1794" s="31">
        <v>2020</v>
      </c>
      <c r="O1794" s="31">
        <v>802</v>
      </c>
      <c r="P1794" s="31"/>
      <c r="Q1794" s="31"/>
      <c r="R1794" s="33"/>
      <c r="S1794" s="34" t="str">
        <f>HYPERLINK("http://www.cnpol.ru/covers/19238.jpg","фото на сайте")</f>
        <v>фото на сайте</v>
      </c>
    </row>
    <row r="1795" spans="1:19" ht="50.1" customHeight="1">
      <c r="A1795" s="31"/>
      <c r="B1795" s="32" t="s">
        <v>7101</v>
      </c>
      <c r="C1795" s="31" t="s">
        <v>1252</v>
      </c>
      <c r="D1795" s="31" t="s">
        <v>1253</v>
      </c>
      <c r="E1795" s="31" t="s">
        <v>7102</v>
      </c>
      <c r="F1795" s="31" t="s">
        <v>31</v>
      </c>
      <c r="G1795" s="31">
        <v>81</v>
      </c>
      <c r="H1795" s="31">
        <v>10</v>
      </c>
      <c r="I1795" s="31">
        <v>100</v>
      </c>
      <c r="J1795" s="31" t="s">
        <v>7103</v>
      </c>
      <c r="K1795" s="31" t="s">
        <v>55</v>
      </c>
      <c r="L1795" s="31" t="s">
        <v>56</v>
      </c>
      <c r="M1795" s="31">
        <v>63</v>
      </c>
      <c r="N1795" s="31">
        <v>2004</v>
      </c>
      <c r="O1795" s="31">
        <v>32</v>
      </c>
      <c r="P1795" s="31"/>
      <c r="Q1795" s="31"/>
      <c r="R1795" s="33"/>
      <c r="S1795" s="34" t="str">
        <f>HYPERLINK("http://www.cnpol.ru/covers/4736.jpg","фото на сайте")</f>
        <v>фото на сайте</v>
      </c>
    </row>
    <row r="1796" spans="1:19" ht="50.1" customHeight="1">
      <c r="A1796" s="31"/>
      <c r="B1796" s="32" t="s">
        <v>7104</v>
      </c>
      <c r="C1796" s="31" t="s">
        <v>297</v>
      </c>
      <c r="D1796" s="31" t="s">
        <v>3928</v>
      </c>
      <c r="E1796" s="31" t="s">
        <v>7105</v>
      </c>
      <c r="F1796" s="31" t="s">
        <v>31</v>
      </c>
      <c r="G1796" s="31">
        <v>300</v>
      </c>
      <c r="H1796" s="31">
        <v>10</v>
      </c>
      <c r="I1796" s="31">
        <v>24</v>
      </c>
      <c r="J1796" s="31" t="s">
        <v>7106</v>
      </c>
      <c r="K1796" s="31" t="s">
        <v>300</v>
      </c>
      <c r="L1796" s="31" t="s">
        <v>56</v>
      </c>
      <c r="M1796" s="31">
        <v>288</v>
      </c>
      <c r="N1796" s="31">
        <v>2020</v>
      </c>
      <c r="O1796" s="31">
        <v>148</v>
      </c>
      <c r="P1796" s="31"/>
      <c r="Q1796" s="31"/>
      <c r="R1796" s="33"/>
      <c r="S1796" s="34" t="str">
        <f>HYPERLINK("http://www.cnpol.ru/covers/19393.jpg","фото на сайте")</f>
        <v>фото на сайте</v>
      </c>
    </row>
    <row r="1797" spans="1:19" ht="50.1" customHeight="1">
      <c r="A1797" s="31"/>
      <c r="B1797" s="32" t="s">
        <v>7107</v>
      </c>
      <c r="C1797" s="31" t="s">
        <v>3927</v>
      </c>
      <c r="D1797" s="31" t="s">
        <v>3928</v>
      </c>
      <c r="E1797" s="31" t="s">
        <v>7105</v>
      </c>
      <c r="F1797" s="31" t="s">
        <v>31</v>
      </c>
      <c r="G1797" s="31">
        <v>444</v>
      </c>
      <c r="H1797" s="31">
        <v>10</v>
      </c>
      <c r="I1797" s="31">
        <v>16</v>
      </c>
      <c r="J1797" s="31" t="s">
        <v>7108</v>
      </c>
      <c r="K1797" s="31" t="s">
        <v>33</v>
      </c>
      <c r="L1797" s="31" t="s">
        <v>210</v>
      </c>
      <c r="M1797" s="31">
        <v>286</v>
      </c>
      <c r="N1797" s="31">
        <v>2014</v>
      </c>
      <c r="O1797" s="31">
        <v>250</v>
      </c>
      <c r="P1797" s="31"/>
      <c r="Q1797" s="31"/>
      <c r="R1797" s="33"/>
      <c r="S1797" s="34" t="str">
        <f>HYPERLINK("http://www.cnpol.ru/covers/15606.jpg","фото на сайте")</f>
        <v>фото на сайте</v>
      </c>
    </row>
    <row r="1798" spans="1:19" ht="50.1" customHeight="1">
      <c r="A1798" s="31"/>
      <c r="B1798" s="32" t="s">
        <v>7109</v>
      </c>
      <c r="C1798" s="31" t="s">
        <v>37</v>
      </c>
      <c r="D1798" s="31" t="s">
        <v>7110</v>
      </c>
      <c r="E1798" s="31" t="s">
        <v>7111</v>
      </c>
      <c r="F1798" s="31" t="s">
        <v>31</v>
      </c>
      <c r="G1798" s="31">
        <v>611</v>
      </c>
      <c r="H1798" s="31">
        <v>10</v>
      </c>
      <c r="I1798" s="31">
        <v>10</v>
      </c>
      <c r="J1798" s="31" t="s">
        <v>7112</v>
      </c>
      <c r="K1798" s="31" t="s">
        <v>33</v>
      </c>
      <c r="L1798" s="31" t="s">
        <v>34</v>
      </c>
      <c r="M1798" s="31">
        <v>448</v>
      </c>
      <c r="N1798" s="31">
        <v>2015</v>
      </c>
      <c r="O1798" s="31">
        <v>374</v>
      </c>
      <c r="P1798" s="31"/>
      <c r="Q1798" s="31"/>
      <c r="R1798" s="33"/>
      <c r="S1798" s="34" t="str">
        <f>HYPERLINK("http://www.cnpol.ru/covers/16241.jpg","фото на сайте")</f>
        <v>фото на сайте</v>
      </c>
    </row>
    <row r="1799" spans="1:19" ht="50.1" customHeight="1">
      <c r="A1799" s="31"/>
      <c r="B1799" s="32" t="s">
        <v>7113</v>
      </c>
      <c r="C1799" s="31" t="s">
        <v>7114</v>
      </c>
      <c r="D1799" s="31" t="s">
        <v>7115</v>
      </c>
      <c r="E1799" s="31" t="s">
        <v>7116</v>
      </c>
      <c r="F1799" s="31" t="s">
        <v>31</v>
      </c>
      <c r="G1799" s="31">
        <v>325</v>
      </c>
      <c r="H1799" s="31">
        <v>10</v>
      </c>
      <c r="I1799" s="31">
        <v>10</v>
      </c>
      <c r="J1799" s="31" t="s">
        <v>7117</v>
      </c>
      <c r="K1799" s="31" t="s">
        <v>33</v>
      </c>
      <c r="L1799" s="31" t="s">
        <v>34</v>
      </c>
      <c r="M1799" s="31">
        <v>363</v>
      </c>
      <c r="N1799" s="31">
        <v>2000</v>
      </c>
      <c r="O1799" s="31">
        <v>324</v>
      </c>
      <c r="P1799" s="31"/>
      <c r="Q1799" s="31"/>
      <c r="R1799" s="33"/>
      <c r="S1799" s="34" t="str">
        <f>HYPERLINK("http://www.cnpol.ru/covers/2010.jpg","фото на сайте")</f>
        <v>фото на сайте</v>
      </c>
    </row>
    <row r="1800" spans="1:19" ht="50.1" customHeight="1">
      <c r="A1800" s="31"/>
      <c r="B1800" s="32" t="s">
        <v>7118</v>
      </c>
      <c r="C1800" s="31" t="s">
        <v>37</v>
      </c>
      <c r="D1800" s="31" t="s">
        <v>7119</v>
      </c>
      <c r="E1800" s="31" t="s">
        <v>7116</v>
      </c>
      <c r="F1800" s="31" t="s">
        <v>31</v>
      </c>
      <c r="G1800" s="35">
        <v>1015</v>
      </c>
      <c r="H1800" s="31">
        <v>10</v>
      </c>
      <c r="I1800" s="31">
        <v>8</v>
      </c>
      <c r="J1800" s="31" t="s">
        <v>7120</v>
      </c>
      <c r="K1800" s="31" t="s">
        <v>33</v>
      </c>
      <c r="L1800" s="31" t="s">
        <v>34</v>
      </c>
      <c r="M1800" s="31">
        <v>363</v>
      </c>
      <c r="N1800" s="31">
        <v>2023</v>
      </c>
      <c r="O1800" s="31">
        <v>340</v>
      </c>
      <c r="P1800" s="31"/>
      <c r="Q1800" s="31"/>
      <c r="R1800" s="33" t="s">
        <v>7121</v>
      </c>
      <c r="S1800" s="34" t="str">
        <f>HYPERLINK("http://www.cnpol.ru/covers/20484.jpg","фото на сайте")</f>
        <v>фото на сайте</v>
      </c>
    </row>
    <row r="1801" spans="1:19" ht="50.1" customHeight="1">
      <c r="A1801" s="31"/>
      <c r="B1801" s="32" t="s">
        <v>7122</v>
      </c>
      <c r="C1801" s="31" t="s">
        <v>7114</v>
      </c>
      <c r="D1801" s="31" t="s">
        <v>7123</v>
      </c>
      <c r="E1801" s="31" t="s">
        <v>7124</v>
      </c>
      <c r="F1801" s="31" t="s">
        <v>31</v>
      </c>
      <c r="G1801" s="31">
        <v>325</v>
      </c>
      <c r="H1801" s="31">
        <v>10</v>
      </c>
      <c r="I1801" s="31">
        <v>12</v>
      </c>
      <c r="J1801" s="31" t="s">
        <v>7125</v>
      </c>
      <c r="K1801" s="31" t="s">
        <v>33</v>
      </c>
      <c r="L1801" s="31" t="s">
        <v>34</v>
      </c>
      <c r="M1801" s="31">
        <v>475</v>
      </c>
      <c r="N1801" s="31">
        <v>2000</v>
      </c>
      <c r="O1801" s="31">
        <v>382</v>
      </c>
      <c r="P1801" s="31"/>
      <c r="Q1801" s="31"/>
      <c r="R1801" s="33"/>
      <c r="S1801" s="34" t="str">
        <f>HYPERLINK("http://www.cnpol.ru/covers/2062.jpg","фото на сайте")</f>
        <v>фото на сайте</v>
      </c>
    </row>
    <row r="1802" spans="1:19" ht="50.1" customHeight="1">
      <c r="A1802" s="31"/>
      <c r="B1802" s="32" t="s">
        <v>7126</v>
      </c>
      <c r="C1802" s="31" t="s">
        <v>1448</v>
      </c>
      <c r="D1802" s="31" t="s">
        <v>1449</v>
      </c>
      <c r="E1802" s="31" t="s">
        <v>7127</v>
      </c>
      <c r="F1802" s="31" t="s">
        <v>31</v>
      </c>
      <c r="G1802" s="35">
        <v>1095</v>
      </c>
      <c r="H1802" s="31">
        <v>10</v>
      </c>
      <c r="I1802" s="31">
        <v>10</v>
      </c>
      <c r="J1802" s="31" t="s">
        <v>7128</v>
      </c>
      <c r="K1802" s="31" t="s">
        <v>319</v>
      </c>
      <c r="L1802" s="31" t="s">
        <v>34</v>
      </c>
      <c r="M1802" s="31">
        <v>96</v>
      </c>
      <c r="N1802" s="31">
        <v>2016</v>
      </c>
      <c r="O1802" s="31">
        <v>478</v>
      </c>
      <c r="P1802" s="31"/>
      <c r="Q1802" s="31"/>
      <c r="R1802" s="33"/>
      <c r="S1802" s="34" t="str">
        <f>HYPERLINK("http://www.cnpol.ru/covers/16658.jpg","фото на сайте")</f>
        <v>фото на сайте</v>
      </c>
    </row>
    <row r="1803" spans="1:19" ht="50.1" customHeight="1">
      <c r="A1803" s="31"/>
      <c r="B1803" s="32" t="s">
        <v>7129</v>
      </c>
      <c r="C1803" s="31" t="s">
        <v>1448</v>
      </c>
      <c r="D1803" s="31" t="s">
        <v>7130</v>
      </c>
      <c r="E1803" s="31" t="s">
        <v>7127</v>
      </c>
      <c r="F1803" s="31" t="s">
        <v>31</v>
      </c>
      <c r="G1803" s="35">
        <v>1148</v>
      </c>
      <c r="H1803" s="31">
        <v>10</v>
      </c>
      <c r="I1803" s="31">
        <v>14</v>
      </c>
      <c r="J1803" s="31" t="s">
        <v>7131</v>
      </c>
      <c r="K1803" s="31" t="s">
        <v>319</v>
      </c>
      <c r="L1803" s="31" t="s">
        <v>34</v>
      </c>
      <c r="M1803" s="31">
        <v>96</v>
      </c>
      <c r="N1803" s="31">
        <v>2023</v>
      </c>
      <c r="O1803" s="31">
        <v>486</v>
      </c>
      <c r="P1803" s="31"/>
      <c r="Q1803" s="31"/>
      <c r="R1803" s="33" t="s">
        <v>7132</v>
      </c>
      <c r="S1803" s="34" t="str">
        <f>HYPERLINK("http://www.cnpol.ru/covers/20895.jpg","фото на сайте")</f>
        <v>фото на сайте</v>
      </c>
    </row>
    <row r="1804" spans="1:19" ht="50.1" customHeight="1">
      <c r="A1804" s="31" t="s">
        <v>35</v>
      </c>
      <c r="B1804" s="32" t="s">
        <v>7133</v>
      </c>
      <c r="C1804" s="31" t="s">
        <v>2434</v>
      </c>
      <c r="D1804" s="31" t="s">
        <v>2435</v>
      </c>
      <c r="E1804" s="31" t="s">
        <v>7134</v>
      </c>
      <c r="F1804" s="31" t="s">
        <v>31</v>
      </c>
      <c r="G1804" s="31">
        <v>903</v>
      </c>
      <c r="H1804" s="31">
        <v>10</v>
      </c>
      <c r="I1804" s="31">
        <v>5</v>
      </c>
      <c r="J1804" s="31" t="s">
        <v>7135</v>
      </c>
      <c r="K1804" s="31" t="s">
        <v>33</v>
      </c>
      <c r="L1804" s="31" t="s">
        <v>34</v>
      </c>
      <c r="M1804" s="31">
        <v>350</v>
      </c>
      <c r="N1804" s="31">
        <v>2024</v>
      </c>
      <c r="O1804" s="31">
        <v>394</v>
      </c>
      <c r="P1804" s="31"/>
      <c r="Q1804" s="31"/>
      <c r="R1804" s="33" t="s">
        <v>7136</v>
      </c>
      <c r="S1804" s="34" t="str">
        <f>HYPERLINK("http://www.cnpol.ru/covers/21763.jpg","фото на сайте")</f>
        <v>фото на сайте</v>
      </c>
    </row>
    <row r="1805" spans="1:19" ht="50.1" customHeight="1">
      <c r="A1805" s="31"/>
      <c r="B1805" s="32" t="s">
        <v>7137</v>
      </c>
      <c r="C1805" s="31" t="s">
        <v>408</v>
      </c>
      <c r="D1805" s="31" t="s">
        <v>7138</v>
      </c>
      <c r="E1805" s="31" t="s">
        <v>7139</v>
      </c>
      <c r="F1805" s="31" t="s">
        <v>31</v>
      </c>
      <c r="G1805" s="31">
        <v>746</v>
      </c>
      <c r="H1805" s="31">
        <v>10</v>
      </c>
      <c r="I1805" s="31">
        <v>16</v>
      </c>
      <c r="J1805" s="31" t="s">
        <v>7140</v>
      </c>
      <c r="K1805" s="31" t="s">
        <v>33</v>
      </c>
      <c r="L1805" s="31" t="s">
        <v>34</v>
      </c>
      <c r="M1805" s="31">
        <v>240</v>
      </c>
      <c r="N1805" s="31">
        <v>2021</v>
      </c>
      <c r="O1805" s="31">
        <v>346</v>
      </c>
      <c r="P1805" s="31"/>
      <c r="Q1805" s="31"/>
      <c r="R1805" s="33"/>
      <c r="S1805" s="34" t="str">
        <f>HYPERLINK("http://www.cnpol.ru/covers/19686.jpg","фото на сайте")</f>
        <v>фото на сайте</v>
      </c>
    </row>
    <row r="1806" spans="1:19" ht="50.1" customHeight="1">
      <c r="A1806" s="31"/>
      <c r="B1806" s="32" t="s">
        <v>7141</v>
      </c>
      <c r="C1806" s="31" t="s">
        <v>1830</v>
      </c>
      <c r="D1806" s="31" t="s">
        <v>7142</v>
      </c>
      <c r="E1806" s="31" t="s">
        <v>7143</v>
      </c>
      <c r="F1806" s="31" t="s">
        <v>31</v>
      </c>
      <c r="G1806" s="31">
        <v>370</v>
      </c>
      <c r="H1806" s="31">
        <v>10</v>
      </c>
      <c r="I1806" s="31">
        <v>14</v>
      </c>
      <c r="J1806" s="31" t="s">
        <v>7144</v>
      </c>
      <c r="K1806" s="31" t="s">
        <v>33</v>
      </c>
      <c r="L1806" s="31" t="s">
        <v>34</v>
      </c>
      <c r="M1806" s="31">
        <v>320</v>
      </c>
      <c r="N1806" s="31">
        <v>2005</v>
      </c>
      <c r="O1806" s="31">
        <v>278</v>
      </c>
      <c r="P1806" s="31"/>
      <c r="Q1806" s="31"/>
      <c r="R1806" s="33"/>
      <c r="S1806" s="34" t="str">
        <f>HYPERLINK("http://www.cnpol.ru/covers/5460.jpg","фото на сайте")</f>
        <v>фото на сайте</v>
      </c>
    </row>
    <row r="1807" spans="1:19" ht="50.1" customHeight="1">
      <c r="A1807" s="31"/>
      <c r="B1807" s="32" t="s">
        <v>7145</v>
      </c>
      <c r="C1807" s="31" t="s">
        <v>37</v>
      </c>
      <c r="D1807" s="31" t="s">
        <v>7146</v>
      </c>
      <c r="E1807" s="31" t="s">
        <v>7147</v>
      </c>
      <c r="F1807" s="31" t="s">
        <v>31</v>
      </c>
      <c r="G1807" s="31">
        <v>658</v>
      </c>
      <c r="H1807" s="31">
        <v>10</v>
      </c>
      <c r="I1807" s="31">
        <v>14</v>
      </c>
      <c r="J1807" s="31" t="s">
        <v>7148</v>
      </c>
      <c r="K1807" s="31" t="s">
        <v>33</v>
      </c>
      <c r="L1807" s="31" t="s">
        <v>34</v>
      </c>
      <c r="M1807" s="31">
        <v>448</v>
      </c>
      <c r="N1807" s="31">
        <v>2015</v>
      </c>
      <c r="O1807" s="31">
        <v>460</v>
      </c>
      <c r="P1807" s="31"/>
      <c r="Q1807" s="31"/>
      <c r="R1807" s="33"/>
      <c r="S1807" s="34" t="str">
        <f>HYPERLINK("http://www.cnpol.ru/covers/15837.jpg","фото на сайте")</f>
        <v>фото на сайте</v>
      </c>
    </row>
    <row r="1808" spans="1:19" ht="50.1" customHeight="1">
      <c r="A1808" s="31"/>
      <c r="B1808" s="32" t="s">
        <v>7149</v>
      </c>
      <c r="C1808" s="31" t="s">
        <v>543</v>
      </c>
      <c r="D1808" s="31" t="s">
        <v>3878</v>
      </c>
      <c r="E1808" s="31" t="s">
        <v>7150</v>
      </c>
      <c r="F1808" s="31" t="s">
        <v>31</v>
      </c>
      <c r="G1808" s="31">
        <v>169</v>
      </c>
      <c r="H1808" s="31">
        <v>10</v>
      </c>
      <c r="I1808" s="31">
        <v>20</v>
      </c>
      <c r="J1808" s="31" t="s">
        <v>7151</v>
      </c>
      <c r="K1808" s="31" t="s">
        <v>123</v>
      </c>
      <c r="L1808" s="31" t="s">
        <v>56</v>
      </c>
      <c r="M1808" s="31">
        <v>286</v>
      </c>
      <c r="N1808" s="31">
        <v>2009</v>
      </c>
      <c r="O1808" s="31">
        <v>134</v>
      </c>
      <c r="P1808" s="31"/>
      <c r="Q1808" s="31"/>
      <c r="R1808" s="33"/>
      <c r="S1808" s="34" t="str">
        <f>HYPERLINK("http://www.cnpol.ru/covers/11528.jpg","фото на сайте")</f>
        <v>фото на сайте</v>
      </c>
    </row>
    <row r="1809" spans="1:19" ht="50.1" customHeight="1">
      <c r="A1809" s="31"/>
      <c r="B1809" s="32" t="s">
        <v>7152</v>
      </c>
      <c r="C1809" s="31" t="s">
        <v>3877</v>
      </c>
      <c r="D1809" s="31" t="s">
        <v>3878</v>
      </c>
      <c r="E1809" s="31" t="s">
        <v>7150</v>
      </c>
      <c r="F1809" s="31" t="s">
        <v>31</v>
      </c>
      <c r="G1809" s="31">
        <v>559</v>
      </c>
      <c r="H1809" s="31">
        <v>10</v>
      </c>
      <c r="I1809" s="31">
        <v>16</v>
      </c>
      <c r="J1809" s="31" t="s">
        <v>7153</v>
      </c>
      <c r="K1809" s="31" t="s">
        <v>41</v>
      </c>
      <c r="L1809" s="31" t="s">
        <v>34</v>
      </c>
      <c r="M1809" s="31">
        <v>318</v>
      </c>
      <c r="N1809" s="31">
        <v>2008</v>
      </c>
      <c r="O1809" s="31">
        <v>388</v>
      </c>
      <c r="P1809" s="31"/>
      <c r="Q1809" s="31"/>
      <c r="R1809" s="33"/>
      <c r="S1809" s="34" t="str">
        <f>HYPERLINK("http://www.cnpol.ru/covers/10347.jpg","фото на сайте")</f>
        <v>фото на сайте</v>
      </c>
    </row>
    <row r="1810" spans="1:19" ht="50.1" customHeight="1">
      <c r="A1810" s="31"/>
      <c r="B1810" s="32" t="s">
        <v>7154</v>
      </c>
      <c r="C1810" s="31" t="s">
        <v>2915</v>
      </c>
      <c r="D1810" s="31" t="s">
        <v>2916</v>
      </c>
      <c r="E1810" s="31" t="s">
        <v>7155</v>
      </c>
      <c r="F1810" s="31" t="s">
        <v>31</v>
      </c>
      <c r="G1810" s="31">
        <v>88</v>
      </c>
      <c r="H1810" s="31">
        <v>10</v>
      </c>
      <c r="I1810" s="31">
        <v>40</v>
      </c>
      <c r="J1810" s="31" t="s">
        <v>7156</v>
      </c>
      <c r="K1810" s="31" t="s">
        <v>55</v>
      </c>
      <c r="L1810" s="31" t="s">
        <v>56</v>
      </c>
      <c r="M1810" s="31">
        <v>204</v>
      </c>
      <c r="N1810" s="31">
        <v>2001</v>
      </c>
      <c r="O1810" s="31">
        <v>88</v>
      </c>
      <c r="P1810" s="31"/>
      <c r="Q1810" s="31"/>
      <c r="R1810" s="33"/>
      <c r="S1810" s="34" t="str">
        <f>HYPERLINK("http://www.cnpol.ru/covers/2498.jpg","фото на сайте")</f>
        <v>фото на сайте</v>
      </c>
    </row>
    <row r="1811" spans="1:19" ht="50.1" customHeight="1">
      <c r="A1811" s="31" t="s">
        <v>43</v>
      </c>
      <c r="B1811" s="32" t="s">
        <v>7157</v>
      </c>
      <c r="C1811" s="31" t="s">
        <v>1540</v>
      </c>
      <c r="D1811" s="31" t="s">
        <v>7158</v>
      </c>
      <c r="E1811" s="31" t="s">
        <v>7159</v>
      </c>
      <c r="F1811" s="31" t="s">
        <v>31</v>
      </c>
      <c r="G1811" s="31">
        <v>851</v>
      </c>
      <c r="H1811" s="31">
        <v>10</v>
      </c>
      <c r="I1811" s="31">
        <v>14</v>
      </c>
      <c r="J1811" s="31" t="s">
        <v>7160</v>
      </c>
      <c r="K1811" s="31" t="s">
        <v>33</v>
      </c>
      <c r="L1811" s="31" t="s">
        <v>34</v>
      </c>
      <c r="M1811" s="31">
        <v>287</v>
      </c>
      <c r="N1811" s="31" t="s">
        <v>431</v>
      </c>
      <c r="O1811" s="31" t="s">
        <v>220</v>
      </c>
      <c r="P1811" s="31"/>
      <c r="Q1811" s="31"/>
      <c r="R1811" s="33" t="s">
        <v>7161</v>
      </c>
      <c r="S1811" s="34" t="str">
        <f>HYPERLINK("http://www.cnpol.ru/covers/21401.jpg","фото на сайте")</f>
        <v>фото на сайте</v>
      </c>
    </row>
    <row r="1812" spans="1:19" ht="50.1" customHeight="1">
      <c r="A1812" s="31"/>
      <c r="B1812" s="32" t="s">
        <v>7162</v>
      </c>
      <c r="C1812" s="31" t="s">
        <v>4834</v>
      </c>
      <c r="D1812" s="31" t="s">
        <v>7163</v>
      </c>
      <c r="E1812" s="31" t="s">
        <v>7164</v>
      </c>
      <c r="F1812" s="31" t="s">
        <v>31</v>
      </c>
      <c r="G1812" s="31">
        <v>290</v>
      </c>
      <c r="H1812" s="31">
        <v>10</v>
      </c>
      <c r="I1812" s="31">
        <v>8</v>
      </c>
      <c r="J1812" s="31" t="s">
        <v>7165</v>
      </c>
      <c r="K1812" s="31" t="s">
        <v>300</v>
      </c>
      <c r="L1812" s="31" t="s">
        <v>56</v>
      </c>
      <c r="M1812" s="31">
        <v>384</v>
      </c>
      <c r="N1812" s="31">
        <v>2021</v>
      </c>
      <c r="O1812" s="31">
        <v>192</v>
      </c>
      <c r="P1812" s="31"/>
      <c r="Q1812" s="31"/>
      <c r="R1812" s="33"/>
      <c r="S1812" s="34" t="str">
        <f>HYPERLINK("http://www.cnpol.ru/covers/19624.jpg","фото на сайте")</f>
        <v>фото на сайте</v>
      </c>
    </row>
    <row r="1813" spans="1:19" ht="50.1" customHeight="1">
      <c r="A1813" s="31"/>
      <c r="B1813" s="32" t="s">
        <v>7166</v>
      </c>
      <c r="C1813" s="31" t="s">
        <v>3229</v>
      </c>
      <c r="D1813" s="31" t="s">
        <v>7163</v>
      </c>
      <c r="E1813" s="31" t="s">
        <v>7164</v>
      </c>
      <c r="F1813" s="31" t="s">
        <v>31</v>
      </c>
      <c r="G1813" s="31">
        <v>693</v>
      </c>
      <c r="H1813" s="31">
        <v>10</v>
      </c>
      <c r="I1813" s="31">
        <v>14</v>
      </c>
      <c r="J1813" s="31" t="s">
        <v>7167</v>
      </c>
      <c r="K1813" s="31" t="s">
        <v>33</v>
      </c>
      <c r="L1813" s="31" t="s">
        <v>34</v>
      </c>
      <c r="M1813" s="31">
        <v>352</v>
      </c>
      <c r="N1813" s="31">
        <v>2016</v>
      </c>
      <c r="O1813" s="31">
        <v>412</v>
      </c>
      <c r="P1813" s="31"/>
      <c r="Q1813" s="31"/>
      <c r="R1813" s="33"/>
      <c r="S1813" s="34" t="str">
        <f>HYPERLINK("http://www.cnpol.ru/covers/17008.jpg","фото на сайте")</f>
        <v>фото на сайте</v>
      </c>
    </row>
    <row r="1814" spans="1:19" ht="50.1" customHeight="1">
      <c r="A1814" s="31"/>
      <c r="B1814" s="32" t="s">
        <v>7168</v>
      </c>
      <c r="C1814" s="31" t="s">
        <v>7169</v>
      </c>
      <c r="D1814" s="31" t="s">
        <v>236</v>
      </c>
      <c r="E1814" s="31" t="s">
        <v>7170</v>
      </c>
      <c r="F1814" s="31" t="s">
        <v>31</v>
      </c>
      <c r="G1814" s="31">
        <v>226</v>
      </c>
      <c r="H1814" s="31">
        <v>10</v>
      </c>
      <c r="I1814" s="31">
        <v>16</v>
      </c>
      <c r="J1814" s="31" t="s">
        <v>7171</v>
      </c>
      <c r="K1814" s="31" t="s">
        <v>130</v>
      </c>
      <c r="L1814" s="31" t="s">
        <v>56</v>
      </c>
      <c r="M1814" s="31">
        <v>320</v>
      </c>
      <c r="N1814" s="31">
        <v>2019</v>
      </c>
      <c r="O1814" s="31">
        <v>186</v>
      </c>
      <c r="P1814" s="31"/>
      <c r="Q1814" s="31"/>
      <c r="R1814" s="33"/>
      <c r="S1814" s="34" t="str">
        <f>HYPERLINK("http://www.cnpol.ru/covers/18506.jpg","фото на сайте")</f>
        <v>фото на сайте</v>
      </c>
    </row>
    <row r="1815" spans="1:19" ht="50.1" customHeight="1">
      <c r="A1815" s="31" t="s">
        <v>43</v>
      </c>
      <c r="B1815" s="32" t="s">
        <v>7172</v>
      </c>
      <c r="C1815" s="31" t="s">
        <v>37</v>
      </c>
      <c r="D1815" s="31" t="s">
        <v>7173</v>
      </c>
      <c r="E1815" s="31" t="s">
        <v>7174</v>
      </c>
      <c r="F1815" s="31" t="s">
        <v>31</v>
      </c>
      <c r="G1815" s="31">
        <v>392</v>
      </c>
      <c r="H1815" s="31">
        <v>10</v>
      </c>
      <c r="I1815" s="31">
        <v>18</v>
      </c>
      <c r="J1815" s="31" t="s">
        <v>7175</v>
      </c>
      <c r="K1815" s="31" t="s">
        <v>55</v>
      </c>
      <c r="L1815" s="31" t="s">
        <v>34</v>
      </c>
      <c r="M1815" s="31">
        <v>191</v>
      </c>
      <c r="N1815" s="31">
        <v>2024</v>
      </c>
      <c r="O1815" s="31">
        <v>172</v>
      </c>
      <c r="P1815" s="31"/>
      <c r="Q1815" s="31"/>
      <c r="R1815" s="33" t="s">
        <v>7176</v>
      </c>
      <c r="S1815" s="34" t="str">
        <f>HYPERLINK("http://www.cnpol.ru/covers/21159.jpg","фото на сайте")</f>
        <v>фото на сайте</v>
      </c>
    </row>
    <row r="1816" spans="1:19" ht="50.1" customHeight="1">
      <c r="A1816" s="31"/>
      <c r="B1816" s="32" t="s">
        <v>7177</v>
      </c>
      <c r="C1816" s="31" t="s">
        <v>1390</v>
      </c>
      <c r="D1816" s="31" t="s">
        <v>7178</v>
      </c>
      <c r="E1816" s="31" t="s">
        <v>7179</v>
      </c>
      <c r="F1816" s="31" t="s">
        <v>31</v>
      </c>
      <c r="G1816" s="35">
        <v>1046</v>
      </c>
      <c r="H1816" s="31">
        <v>10</v>
      </c>
      <c r="I1816" s="31">
        <v>8</v>
      </c>
      <c r="J1816" s="31" t="s">
        <v>7180</v>
      </c>
      <c r="K1816" s="31" t="s">
        <v>33</v>
      </c>
      <c r="L1816" s="31" t="s">
        <v>34</v>
      </c>
      <c r="M1816" s="31">
        <v>398</v>
      </c>
      <c r="N1816" s="31">
        <v>2026</v>
      </c>
      <c r="O1816" s="31" t="s">
        <v>220</v>
      </c>
      <c r="P1816" s="31"/>
      <c r="Q1816" s="31"/>
      <c r="R1816" s="33" t="s">
        <v>7181</v>
      </c>
      <c r="S1816" s="34" t="str">
        <f>HYPERLINK("http://www.cnpol.ru/covers/21874.jpg","фото на сайте")</f>
        <v>фото на сайте</v>
      </c>
    </row>
    <row r="1817" spans="1:19" ht="50.1" customHeight="1">
      <c r="A1817" s="31" t="s">
        <v>43</v>
      </c>
      <c r="B1817" s="32" t="s">
        <v>7182</v>
      </c>
      <c r="C1817" s="31" t="s">
        <v>1390</v>
      </c>
      <c r="D1817" s="31" t="s">
        <v>7183</v>
      </c>
      <c r="E1817" s="31" t="s">
        <v>7184</v>
      </c>
      <c r="F1817" s="31" t="s">
        <v>31</v>
      </c>
      <c r="G1817" s="31">
        <v>851</v>
      </c>
      <c r="H1817" s="31">
        <v>10</v>
      </c>
      <c r="I1817" s="31">
        <v>14</v>
      </c>
      <c r="J1817" s="31" t="s">
        <v>7185</v>
      </c>
      <c r="K1817" s="31" t="s">
        <v>33</v>
      </c>
      <c r="L1817" s="31" t="s">
        <v>34</v>
      </c>
      <c r="M1817" s="31">
        <v>282</v>
      </c>
      <c r="N1817" s="31">
        <v>2024</v>
      </c>
      <c r="O1817" s="31">
        <v>340</v>
      </c>
      <c r="P1817" s="31"/>
      <c r="Q1817" s="31"/>
      <c r="R1817" s="33" t="s">
        <v>7186</v>
      </c>
      <c r="S1817" s="34" t="str">
        <f>HYPERLINK("http://www.cnpol.ru/covers/21189.jpg","фото на сайте")</f>
        <v>фото на сайте</v>
      </c>
    </row>
    <row r="1818" spans="1:19" ht="50.1" customHeight="1">
      <c r="A1818" s="31" t="s">
        <v>43</v>
      </c>
      <c r="B1818" s="32" t="s">
        <v>7187</v>
      </c>
      <c r="C1818" s="31" t="s">
        <v>1611</v>
      </c>
      <c r="D1818" s="31" t="s">
        <v>7188</v>
      </c>
      <c r="E1818" s="31" t="s">
        <v>7189</v>
      </c>
      <c r="F1818" s="31" t="s">
        <v>31</v>
      </c>
      <c r="G1818" s="31">
        <v>807</v>
      </c>
      <c r="H1818" s="31">
        <v>10</v>
      </c>
      <c r="I1818" s="31">
        <v>10</v>
      </c>
      <c r="J1818" s="31" t="s">
        <v>7190</v>
      </c>
      <c r="K1818" s="31" t="s">
        <v>33</v>
      </c>
      <c r="L1818" s="31" t="s">
        <v>34</v>
      </c>
      <c r="M1818" s="31">
        <v>239</v>
      </c>
      <c r="N1818" s="31">
        <v>2026</v>
      </c>
      <c r="O1818" s="31" t="s">
        <v>220</v>
      </c>
      <c r="P1818" s="31"/>
      <c r="Q1818" s="31"/>
      <c r="R1818" s="33" t="s">
        <v>7191</v>
      </c>
      <c r="S1818" s="34" t="str">
        <f>HYPERLINK("http://www.cnpol.ru/covers/21875.jpg","фото на сайте")</f>
        <v>фото на сайте</v>
      </c>
    </row>
    <row r="1819" spans="1:19" ht="50.1" customHeight="1">
      <c r="A1819" s="31"/>
      <c r="B1819" s="32" t="s">
        <v>7192</v>
      </c>
      <c r="C1819" s="31" t="s">
        <v>3048</v>
      </c>
      <c r="D1819" s="31" t="s">
        <v>7193</v>
      </c>
      <c r="E1819" s="31" t="s">
        <v>7194</v>
      </c>
      <c r="F1819" s="31" t="s">
        <v>31</v>
      </c>
      <c r="G1819" s="31">
        <v>759</v>
      </c>
      <c r="H1819" s="31">
        <v>10</v>
      </c>
      <c r="I1819" s="31">
        <v>16</v>
      </c>
      <c r="J1819" s="31" t="s">
        <v>7195</v>
      </c>
      <c r="K1819" s="31" t="s">
        <v>33</v>
      </c>
      <c r="L1819" s="31" t="s">
        <v>34</v>
      </c>
      <c r="M1819" s="31">
        <v>207</v>
      </c>
      <c r="N1819" s="31">
        <v>2023</v>
      </c>
      <c r="O1819" s="31">
        <v>235</v>
      </c>
      <c r="P1819" s="31"/>
      <c r="Q1819" s="31"/>
      <c r="R1819" s="33" t="s">
        <v>7196</v>
      </c>
      <c r="S1819" s="34" t="str">
        <f>HYPERLINK("http://www.cnpol.ru/covers/20536.jpg","фото на сайте")</f>
        <v>фото на сайте</v>
      </c>
    </row>
    <row r="1820" spans="1:19" ht="50.1" customHeight="1">
      <c r="A1820" s="31"/>
      <c r="B1820" s="32" t="s">
        <v>7197</v>
      </c>
      <c r="C1820" s="31" t="s">
        <v>5430</v>
      </c>
      <c r="D1820" s="31" t="s">
        <v>1921</v>
      </c>
      <c r="E1820" s="31" t="s">
        <v>7198</v>
      </c>
      <c r="F1820" s="31" t="s">
        <v>31</v>
      </c>
      <c r="G1820" s="35">
        <v>1498</v>
      </c>
      <c r="H1820" s="31">
        <v>10</v>
      </c>
      <c r="I1820" s="31">
        <v>4</v>
      </c>
      <c r="J1820" s="31" t="s">
        <v>7199</v>
      </c>
      <c r="K1820" s="31" t="s">
        <v>147</v>
      </c>
      <c r="L1820" s="31" t="s">
        <v>34</v>
      </c>
      <c r="M1820" s="31">
        <v>768</v>
      </c>
      <c r="N1820" s="31">
        <v>2015</v>
      </c>
      <c r="O1820" s="31">
        <v>1064</v>
      </c>
      <c r="P1820" s="31"/>
      <c r="Q1820" s="31"/>
      <c r="R1820" s="33"/>
      <c r="S1820" s="34" t="str">
        <f>HYPERLINK("http://www.cnpol.ru/covers/16279.jpg","фото на сайте")</f>
        <v>фото на сайте</v>
      </c>
    </row>
    <row r="1821" spans="1:19" ht="50.1" customHeight="1">
      <c r="A1821" s="31"/>
      <c r="B1821" s="32" t="s">
        <v>7200</v>
      </c>
      <c r="C1821" s="31" t="s">
        <v>302</v>
      </c>
      <c r="D1821" s="31" t="s">
        <v>539</v>
      </c>
      <c r="E1821" s="31" t="s">
        <v>7201</v>
      </c>
      <c r="F1821" s="31" t="s">
        <v>31</v>
      </c>
      <c r="G1821" s="31">
        <v>917</v>
      </c>
      <c r="H1821" s="31">
        <v>10</v>
      </c>
      <c r="I1821" s="31">
        <v>12</v>
      </c>
      <c r="J1821" s="31" t="s">
        <v>7202</v>
      </c>
      <c r="K1821" s="31" t="s">
        <v>41</v>
      </c>
      <c r="L1821" s="31" t="s">
        <v>304</v>
      </c>
      <c r="M1821" s="31">
        <v>448</v>
      </c>
      <c r="N1821" s="31">
        <v>2016</v>
      </c>
      <c r="O1821" s="31">
        <v>564</v>
      </c>
      <c r="P1821" s="31"/>
      <c r="Q1821" s="31"/>
      <c r="R1821" s="33"/>
      <c r="S1821" s="34" t="str">
        <f>HYPERLINK("http://www.cnpol.ru/covers/17097.jpg","фото на сайте")</f>
        <v>фото на сайте</v>
      </c>
    </row>
    <row r="1822" spans="1:19" ht="50.1" customHeight="1">
      <c r="A1822" s="31" t="s">
        <v>35</v>
      </c>
      <c r="B1822" s="32" t="s">
        <v>7203</v>
      </c>
      <c r="C1822" s="31" t="s">
        <v>434</v>
      </c>
      <c r="D1822" s="31" t="s">
        <v>2040</v>
      </c>
      <c r="E1822" s="31" t="s">
        <v>7204</v>
      </c>
      <c r="F1822" s="31" t="s">
        <v>31</v>
      </c>
      <c r="G1822" s="31">
        <v>851</v>
      </c>
      <c r="H1822" s="31">
        <v>10</v>
      </c>
      <c r="I1822" s="31">
        <v>14</v>
      </c>
      <c r="J1822" s="31" t="s">
        <v>7205</v>
      </c>
      <c r="K1822" s="31" t="s">
        <v>33</v>
      </c>
      <c r="L1822" s="31" t="s">
        <v>34</v>
      </c>
      <c r="M1822" s="31">
        <v>287</v>
      </c>
      <c r="N1822" s="31">
        <v>2024</v>
      </c>
      <c r="O1822" s="31">
        <v>335</v>
      </c>
      <c r="P1822" s="31"/>
      <c r="Q1822" s="31"/>
      <c r="R1822" s="33" t="s">
        <v>7206</v>
      </c>
      <c r="S1822" s="34" t="str">
        <f>HYPERLINK("http://www.cnpol.ru/covers/21314.jpg","фото на сайте")</f>
        <v>фото на сайте</v>
      </c>
    </row>
    <row r="1823" spans="1:19" ht="50.1" customHeight="1">
      <c r="A1823" s="31"/>
      <c r="B1823" s="32" t="s">
        <v>7207</v>
      </c>
      <c r="C1823" s="31" t="s">
        <v>7208</v>
      </c>
      <c r="D1823" s="31" t="s">
        <v>7209</v>
      </c>
      <c r="E1823" s="31" t="s">
        <v>7210</v>
      </c>
      <c r="F1823" s="31" t="s">
        <v>31</v>
      </c>
      <c r="G1823" s="31">
        <v>522</v>
      </c>
      <c r="H1823" s="31">
        <v>10</v>
      </c>
      <c r="I1823" s="31">
        <v>14</v>
      </c>
      <c r="J1823" s="31" t="s">
        <v>7211</v>
      </c>
      <c r="K1823" s="31" t="s">
        <v>7212</v>
      </c>
      <c r="L1823" s="31" t="s">
        <v>34</v>
      </c>
      <c r="M1823" s="31">
        <v>365</v>
      </c>
      <c r="N1823" s="31">
        <v>2008</v>
      </c>
      <c r="O1823" s="31">
        <v>336</v>
      </c>
      <c r="P1823" s="31"/>
      <c r="Q1823" s="31"/>
      <c r="R1823" s="33"/>
      <c r="S1823" s="34" t="str">
        <f>HYPERLINK("http://www.cnpol.ru/covers/10066.jpg","фото на сайте")</f>
        <v>фото на сайте</v>
      </c>
    </row>
    <row r="1824" spans="1:19" ht="50.1" customHeight="1">
      <c r="A1824" s="31"/>
      <c r="B1824" s="32" t="s">
        <v>7213</v>
      </c>
      <c r="C1824" s="31" t="s">
        <v>7214</v>
      </c>
      <c r="D1824" s="31" t="s">
        <v>4769</v>
      </c>
      <c r="E1824" s="31" t="s">
        <v>7215</v>
      </c>
      <c r="F1824" s="31" t="s">
        <v>31</v>
      </c>
      <c r="G1824" s="31">
        <v>441</v>
      </c>
      <c r="H1824" s="31">
        <v>10</v>
      </c>
      <c r="I1824" s="31">
        <v>20</v>
      </c>
      <c r="J1824" s="31" t="s">
        <v>7216</v>
      </c>
      <c r="K1824" s="31" t="s">
        <v>33</v>
      </c>
      <c r="L1824" s="31" t="s">
        <v>34</v>
      </c>
      <c r="M1824" s="31">
        <v>222</v>
      </c>
      <c r="N1824" s="31">
        <v>2010</v>
      </c>
      <c r="O1824" s="31">
        <v>212</v>
      </c>
      <c r="P1824" s="31"/>
      <c r="Q1824" s="31"/>
      <c r="R1824" s="33"/>
      <c r="S1824" s="34" t="str">
        <f>HYPERLINK("http://www.cnpol.ru/covers/11973.jpg","фото на сайте")</f>
        <v>фото на сайте</v>
      </c>
    </row>
    <row r="1825" spans="1:19" ht="50.1" customHeight="1">
      <c r="A1825" s="31"/>
      <c r="B1825" s="32" t="s">
        <v>7217</v>
      </c>
      <c r="C1825" s="31" t="s">
        <v>400</v>
      </c>
      <c r="D1825" s="31" t="s">
        <v>5231</v>
      </c>
      <c r="E1825" s="31" t="s">
        <v>7218</v>
      </c>
      <c r="F1825" s="31" t="s">
        <v>31</v>
      </c>
      <c r="G1825" s="31">
        <v>503</v>
      </c>
      <c r="H1825" s="31">
        <v>10</v>
      </c>
      <c r="I1825" s="31">
        <v>10</v>
      </c>
      <c r="J1825" s="31" t="s">
        <v>7219</v>
      </c>
      <c r="K1825" s="31" t="s">
        <v>33</v>
      </c>
      <c r="L1825" s="31" t="s">
        <v>34</v>
      </c>
      <c r="M1825" s="31">
        <v>384</v>
      </c>
      <c r="N1825" s="31">
        <v>2016</v>
      </c>
      <c r="O1825" s="31">
        <v>298</v>
      </c>
      <c r="P1825" s="31"/>
      <c r="Q1825" s="31"/>
      <c r="R1825" s="33"/>
      <c r="S1825" s="34" t="str">
        <f>HYPERLINK("http://www.cnpol.ru/covers/16782.jpg","фото на сайте")</f>
        <v>фото на сайте</v>
      </c>
    </row>
    <row r="1826" spans="1:19" ht="50.1" customHeight="1">
      <c r="A1826" s="31"/>
      <c r="B1826" s="32" t="s">
        <v>7220</v>
      </c>
      <c r="C1826" s="31" t="s">
        <v>546</v>
      </c>
      <c r="D1826" s="31" t="s">
        <v>3170</v>
      </c>
      <c r="E1826" s="31" t="s">
        <v>7221</v>
      </c>
      <c r="F1826" s="31">
        <v>360</v>
      </c>
      <c r="G1826" s="31">
        <v>93</v>
      </c>
      <c r="H1826" s="31">
        <v>10</v>
      </c>
      <c r="I1826" s="31">
        <v>30</v>
      </c>
      <c r="J1826" s="31" t="s">
        <v>7222</v>
      </c>
      <c r="K1826" s="31" t="s">
        <v>123</v>
      </c>
      <c r="L1826" s="31" t="s">
        <v>56</v>
      </c>
      <c r="M1826" s="31">
        <v>160</v>
      </c>
      <c r="N1826" s="31">
        <v>2020</v>
      </c>
      <c r="O1826" s="31">
        <v>76</v>
      </c>
      <c r="P1826" s="31"/>
      <c r="Q1826" s="31"/>
      <c r="R1826" s="33"/>
      <c r="S1826" s="34" t="str">
        <f>HYPERLINK("http://www.cnpol.ru/covers/19358.jpg","фото на сайте")</f>
        <v>фото на сайте</v>
      </c>
    </row>
    <row r="1827" spans="1:19" ht="50.1" customHeight="1">
      <c r="A1827" s="31"/>
      <c r="B1827" s="32" t="s">
        <v>7223</v>
      </c>
      <c r="C1827" s="31" t="s">
        <v>546</v>
      </c>
      <c r="D1827" s="31" t="s">
        <v>2315</v>
      </c>
      <c r="E1827" s="31" t="s">
        <v>7224</v>
      </c>
      <c r="F1827" s="31">
        <v>420</v>
      </c>
      <c r="G1827" s="31">
        <v>93</v>
      </c>
      <c r="H1827" s="31">
        <v>10</v>
      </c>
      <c r="I1827" s="31">
        <v>30</v>
      </c>
      <c r="J1827" s="31" t="s">
        <v>7225</v>
      </c>
      <c r="K1827" s="31" t="s">
        <v>123</v>
      </c>
      <c r="L1827" s="31" t="s">
        <v>56</v>
      </c>
      <c r="M1827" s="31">
        <v>159</v>
      </c>
      <c r="N1827" s="31">
        <v>2023</v>
      </c>
      <c r="O1827" s="31">
        <v>76</v>
      </c>
      <c r="P1827" s="31"/>
      <c r="Q1827" s="31"/>
      <c r="R1827" s="33" t="s">
        <v>7226</v>
      </c>
      <c r="S1827" s="34" t="str">
        <f>HYPERLINK("http://www.cnpol.ru/covers/20510.jpg","фото на сайте")</f>
        <v>фото на сайте</v>
      </c>
    </row>
    <row r="1828" spans="1:19" ht="50.1" customHeight="1">
      <c r="A1828" s="31"/>
      <c r="B1828" s="32" t="s">
        <v>7227</v>
      </c>
      <c r="C1828" s="31" t="s">
        <v>1390</v>
      </c>
      <c r="D1828" s="31" t="s">
        <v>7228</v>
      </c>
      <c r="E1828" s="31" t="s">
        <v>7229</v>
      </c>
      <c r="F1828" s="31" t="s">
        <v>31</v>
      </c>
      <c r="G1828" s="31">
        <v>675</v>
      </c>
      <c r="H1828" s="31">
        <v>10</v>
      </c>
      <c r="I1828" s="31">
        <v>11</v>
      </c>
      <c r="J1828" s="31" t="s">
        <v>7230</v>
      </c>
      <c r="K1828" s="31" t="s">
        <v>2495</v>
      </c>
      <c r="L1828" s="31" t="s">
        <v>34</v>
      </c>
      <c r="M1828" s="31">
        <v>256</v>
      </c>
      <c r="N1828" s="31">
        <v>2018</v>
      </c>
      <c r="O1828" s="31">
        <v>410</v>
      </c>
      <c r="P1828" s="31"/>
      <c r="Q1828" s="31"/>
      <c r="R1828" s="33"/>
      <c r="S1828" s="34" t="str">
        <f>HYPERLINK("http://www.cnpol.ru/covers/18147.jpg","фото на сайте")</f>
        <v>фото на сайте</v>
      </c>
    </row>
    <row r="1829" spans="1:19" ht="50.1" customHeight="1">
      <c r="A1829" s="31"/>
      <c r="B1829" s="32" t="s">
        <v>7231</v>
      </c>
      <c r="C1829" s="31" t="s">
        <v>390</v>
      </c>
      <c r="D1829" s="31" t="s">
        <v>3095</v>
      </c>
      <c r="E1829" s="31" t="s">
        <v>7232</v>
      </c>
      <c r="F1829" s="31">
        <v>814</v>
      </c>
      <c r="G1829" s="31">
        <v>86</v>
      </c>
      <c r="H1829" s="31">
        <v>10</v>
      </c>
      <c r="I1829" s="31">
        <v>30</v>
      </c>
      <c r="J1829" s="31" t="s">
        <v>7233</v>
      </c>
      <c r="K1829" s="31" t="s">
        <v>123</v>
      </c>
      <c r="L1829" s="31" t="s">
        <v>56</v>
      </c>
      <c r="M1829" s="31">
        <v>160</v>
      </c>
      <c r="N1829" s="31">
        <v>2018</v>
      </c>
      <c r="O1829" s="31">
        <v>76</v>
      </c>
      <c r="P1829" s="31"/>
      <c r="Q1829" s="31"/>
      <c r="R1829" s="33"/>
      <c r="S1829" s="34" t="str">
        <f>HYPERLINK("http://www.cnpol.ru/covers/18178.jpg","фото на сайте")</f>
        <v>фото на сайте</v>
      </c>
    </row>
    <row r="1830" spans="1:19" ht="50.1" customHeight="1">
      <c r="A1830" s="31"/>
      <c r="B1830" s="32" t="s">
        <v>7234</v>
      </c>
      <c r="C1830" s="31" t="s">
        <v>413</v>
      </c>
      <c r="D1830" s="31" t="s">
        <v>1599</v>
      </c>
      <c r="E1830" s="31" t="s">
        <v>7235</v>
      </c>
      <c r="F1830" s="31">
        <v>135</v>
      </c>
      <c r="G1830" s="31">
        <v>117</v>
      </c>
      <c r="H1830" s="31">
        <v>10</v>
      </c>
      <c r="I1830" s="31">
        <v>36</v>
      </c>
      <c r="J1830" s="31" t="s">
        <v>7236</v>
      </c>
      <c r="K1830" s="31" t="s">
        <v>123</v>
      </c>
      <c r="L1830" s="31" t="s">
        <v>56</v>
      </c>
      <c r="M1830" s="31">
        <v>192</v>
      </c>
      <c r="N1830" s="31">
        <v>2016</v>
      </c>
      <c r="O1830" s="31">
        <v>90</v>
      </c>
      <c r="P1830" s="31"/>
      <c r="Q1830" s="31"/>
      <c r="R1830" s="33"/>
      <c r="S1830" s="34" t="str">
        <f>HYPERLINK("http://www.cnpol.ru/covers/17210.jpg","фото на сайте")</f>
        <v>фото на сайте</v>
      </c>
    </row>
    <row r="1831" spans="1:19" ht="50.1" customHeight="1">
      <c r="A1831" s="31"/>
      <c r="B1831" s="32" t="s">
        <v>7237</v>
      </c>
      <c r="C1831" s="31" t="s">
        <v>390</v>
      </c>
      <c r="D1831" s="31" t="s">
        <v>1427</v>
      </c>
      <c r="E1831" s="31" t="s">
        <v>7238</v>
      </c>
      <c r="F1831" s="31">
        <v>626</v>
      </c>
      <c r="G1831" s="31">
        <v>86</v>
      </c>
      <c r="H1831" s="31">
        <v>10</v>
      </c>
      <c r="I1831" s="31">
        <v>30</v>
      </c>
      <c r="J1831" s="31" t="s">
        <v>7239</v>
      </c>
      <c r="K1831" s="31" t="s">
        <v>123</v>
      </c>
      <c r="L1831" s="31" t="s">
        <v>56</v>
      </c>
      <c r="M1831" s="31">
        <v>160</v>
      </c>
      <c r="N1831" s="31">
        <v>2016</v>
      </c>
      <c r="O1831" s="31">
        <v>76</v>
      </c>
      <c r="P1831" s="31"/>
      <c r="Q1831" s="31"/>
      <c r="R1831" s="33"/>
      <c r="S1831" s="34" t="str">
        <f>HYPERLINK("http://www.cnpol.ru/covers/16821.jpg","фото на сайте")</f>
        <v>фото на сайте</v>
      </c>
    </row>
    <row r="1832" spans="1:19" ht="50.1" customHeight="1">
      <c r="A1832" s="31"/>
      <c r="B1832" s="32" t="s">
        <v>7240</v>
      </c>
      <c r="C1832" s="31" t="s">
        <v>390</v>
      </c>
      <c r="D1832" s="31" t="s">
        <v>859</v>
      </c>
      <c r="E1832" s="31" t="s">
        <v>7241</v>
      </c>
      <c r="F1832" s="31">
        <v>349</v>
      </c>
      <c r="G1832" s="31">
        <v>86</v>
      </c>
      <c r="H1832" s="31">
        <v>10</v>
      </c>
      <c r="I1832" s="31">
        <v>30</v>
      </c>
      <c r="J1832" s="31" t="s">
        <v>7242</v>
      </c>
      <c r="K1832" s="31" t="s">
        <v>123</v>
      </c>
      <c r="L1832" s="31" t="s">
        <v>56</v>
      </c>
      <c r="M1832" s="31">
        <v>158</v>
      </c>
      <c r="N1832" s="31">
        <v>2013</v>
      </c>
      <c r="O1832" s="31">
        <v>76</v>
      </c>
      <c r="P1832" s="31"/>
      <c r="Q1832" s="31"/>
      <c r="R1832" s="33"/>
      <c r="S1832" s="34" t="str">
        <f>HYPERLINK("http://www.cnpol.ru/covers/14567.jpg","фото на сайте")</f>
        <v>фото на сайте</v>
      </c>
    </row>
    <row r="1833" spans="1:19" ht="50.1" customHeight="1">
      <c r="A1833" s="31"/>
      <c r="B1833" s="32" t="s">
        <v>7243</v>
      </c>
      <c r="C1833" s="31" t="s">
        <v>546</v>
      </c>
      <c r="D1833" s="31" t="s">
        <v>7244</v>
      </c>
      <c r="E1833" s="31" t="s">
        <v>7245</v>
      </c>
      <c r="F1833" s="31">
        <v>392</v>
      </c>
      <c r="G1833" s="31">
        <v>93</v>
      </c>
      <c r="H1833" s="31">
        <v>10</v>
      </c>
      <c r="I1833" s="31">
        <v>30</v>
      </c>
      <c r="J1833" s="31" t="s">
        <v>7246</v>
      </c>
      <c r="K1833" s="31" t="s">
        <v>123</v>
      </c>
      <c r="L1833" s="31" t="s">
        <v>56</v>
      </c>
      <c r="M1833" s="31">
        <v>159</v>
      </c>
      <c r="N1833" s="31">
        <v>2021</v>
      </c>
      <c r="O1833" s="31">
        <v>76</v>
      </c>
      <c r="P1833" s="31"/>
      <c r="Q1833" s="31"/>
      <c r="R1833" s="33"/>
      <c r="S1833" s="34" t="str">
        <f>HYPERLINK("http://www.cnpol.ru/covers/19950.jpg","фото на сайте")</f>
        <v>фото на сайте</v>
      </c>
    </row>
    <row r="1834" spans="1:19" ht="50.1" customHeight="1">
      <c r="A1834" s="31"/>
      <c r="B1834" s="32" t="s">
        <v>7247</v>
      </c>
      <c r="C1834" s="31" t="s">
        <v>37</v>
      </c>
      <c r="D1834" s="31" t="s">
        <v>7248</v>
      </c>
      <c r="E1834" s="31" t="s">
        <v>7249</v>
      </c>
      <c r="F1834" s="31" t="s">
        <v>31</v>
      </c>
      <c r="G1834" s="35">
        <v>1547</v>
      </c>
      <c r="H1834" s="31">
        <v>10</v>
      </c>
      <c r="I1834" s="31">
        <v>6</v>
      </c>
      <c r="J1834" s="31" t="s">
        <v>7250</v>
      </c>
      <c r="K1834" s="31" t="s">
        <v>33</v>
      </c>
      <c r="L1834" s="31" t="s">
        <v>34</v>
      </c>
      <c r="M1834" s="31">
        <v>706</v>
      </c>
      <c r="N1834" s="31">
        <v>2022</v>
      </c>
      <c r="O1834" s="31">
        <v>672</v>
      </c>
      <c r="P1834" s="31"/>
      <c r="Q1834" s="31"/>
      <c r="R1834" s="33"/>
      <c r="S1834" s="34" t="str">
        <f>HYPERLINK("http://www.cnpol.ru/covers/20027.jpg","фото на сайте")</f>
        <v>фото на сайте</v>
      </c>
    </row>
    <row r="1835" spans="1:19" ht="50.1" customHeight="1">
      <c r="A1835" s="31"/>
      <c r="B1835" s="32" t="s">
        <v>7251</v>
      </c>
      <c r="C1835" s="31" t="s">
        <v>1301</v>
      </c>
      <c r="D1835" s="31" t="s">
        <v>5562</v>
      </c>
      <c r="E1835" s="31" t="s">
        <v>7252</v>
      </c>
      <c r="F1835" s="31" t="s">
        <v>31</v>
      </c>
      <c r="G1835" s="31">
        <v>178</v>
      </c>
      <c r="H1835" s="31">
        <v>10</v>
      </c>
      <c r="I1835" s="31">
        <v>20</v>
      </c>
      <c r="J1835" s="31" t="s">
        <v>7253</v>
      </c>
      <c r="K1835" s="31" t="s">
        <v>123</v>
      </c>
      <c r="L1835" s="31" t="s">
        <v>56</v>
      </c>
      <c r="M1835" s="31">
        <v>224</v>
      </c>
      <c r="N1835" s="31">
        <v>2016</v>
      </c>
      <c r="O1835" s="31">
        <v>104</v>
      </c>
      <c r="P1835" s="31"/>
      <c r="Q1835" s="31"/>
      <c r="R1835" s="33"/>
      <c r="S1835" s="34" t="str">
        <f>HYPERLINK("http://www.cnpol.ru/covers/16956.jpg","фото на сайте")</f>
        <v>фото на сайте</v>
      </c>
    </row>
    <row r="1836" spans="1:19" ht="50.1" customHeight="1">
      <c r="A1836" s="31"/>
      <c r="B1836" s="32" t="s">
        <v>7254</v>
      </c>
      <c r="C1836" s="31" t="s">
        <v>1301</v>
      </c>
      <c r="D1836" s="31" t="s">
        <v>150</v>
      </c>
      <c r="E1836" s="31" t="s">
        <v>7255</v>
      </c>
      <c r="F1836" s="31" t="s">
        <v>31</v>
      </c>
      <c r="G1836" s="31">
        <v>522</v>
      </c>
      <c r="H1836" s="31">
        <v>10</v>
      </c>
      <c r="I1836" s="31">
        <v>18</v>
      </c>
      <c r="J1836" s="31" t="s">
        <v>7256</v>
      </c>
      <c r="K1836" s="31" t="s">
        <v>33</v>
      </c>
      <c r="L1836" s="31" t="s">
        <v>34</v>
      </c>
      <c r="M1836" s="31">
        <v>317</v>
      </c>
      <c r="N1836" s="31">
        <v>2014</v>
      </c>
      <c r="O1836" s="31">
        <v>344</v>
      </c>
      <c r="P1836" s="31"/>
      <c r="Q1836" s="31"/>
      <c r="R1836" s="33"/>
      <c r="S1836" s="34" t="str">
        <f>HYPERLINK("http://www.cnpol.ru/covers/14786.jpg","фото на сайте")</f>
        <v>фото на сайте</v>
      </c>
    </row>
    <row r="1837" spans="1:19" ht="50.1" customHeight="1">
      <c r="A1837" s="31"/>
      <c r="B1837" s="32" t="s">
        <v>7257</v>
      </c>
      <c r="C1837" s="31" t="s">
        <v>1301</v>
      </c>
      <c r="D1837" s="31" t="s">
        <v>150</v>
      </c>
      <c r="E1837" s="31" t="s">
        <v>7255</v>
      </c>
      <c r="F1837" s="31" t="s">
        <v>31</v>
      </c>
      <c r="G1837" s="31">
        <v>640</v>
      </c>
      <c r="H1837" s="31">
        <v>10</v>
      </c>
      <c r="I1837" s="31">
        <v>18</v>
      </c>
      <c r="J1837" s="31" t="s">
        <v>7258</v>
      </c>
      <c r="K1837" s="31" t="s">
        <v>1938</v>
      </c>
      <c r="L1837" s="31" t="s">
        <v>34</v>
      </c>
      <c r="M1837" s="31">
        <v>317</v>
      </c>
      <c r="N1837" s="31">
        <v>2014</v>
      </c>
      <c r="O1837" s="31">
        <v>344</v>
      </c>
      <c r="P1837" s="31"/>
      <c r="Q1837" s="31"/>
      <c r="R1837" s="33"/>
      <c r="S1837" s="34" t="str">
        <f>HYPERLINK("http://www.cnpol.ru/covers/15159.jpg","фото на сайте")</f>
        <v>фото на сайте</v>
      </c>
    </row>
    <row r="1838" spans="1:19" ht="50.1" customHeight="1">
      <c r="A1838" s="31"/>
      <c r="B1838" s="32" t="s">
        <v>7259</v>
      </c>
      <c r="C1838" s="31" t="s">
        <v>37</v>
      </c>
      <c r="D1838" s="31" t="s">
        <v>7248</v>
      </c>
      <c r="E1838" s="31" t="s">
        <v>7260</v>
      </c>
      <c r="F1838" s="31" t="s">
        <v>31</v>
      </c>
      <c r="G1838" s="35">
        <v>1332</v>
      </c>
      <c r="H1838" s="31">
        <v>10</v>
      </c>
      <c r="I1838" s="31">
        <v>8</v>
      </c>
      <c r="J1838" s="31" t="s">
        <v>7261</v>
      </c>
      <c r="K1838" s="31" t="s">
        <v>33</v>
      </c>
      <c r="L1838" s="31" t="s">
        <v>34</v>
      </c>
      <c r="M1838" s="31">
        <v>571</v>
      </c>
      <c r="N1838" s="31">
        <v>2022</v>
      </c>
      <c r="O1838" s="31">
        <v>650</v>
      </c>
      <c r="P1838" s="31"/>
      <c r="Q1838" s="31"/>
      <c r="R1838" s="33"/>
      <c r="S1838" s="34" t="str">
        <f>HYPERLINK("http://www.cnpol.ru/covers/20028.jpg","фото на сайте")</f>
        <v>фото на сайте</v>
      </c>
    </row>
    <row r="1839" spans="1:19" ht="50.1" customHeight="1">
      <c r="A1839" s="31" t="s">
        <v>35</v>
      </c>
      <c r="B1839" s="32" t="s">
        <v>7262</v>
      </c>
      <c r="C1839" s="31" t="s">
        <v>779</v>
      </c>
      <c r="D1839" s="31" t="s">
        <v>7263</v>
      </c>
      <c r="E1839" s="31" t="s">
        <v>7264</v>
      </c>
      <c r="F1839" s="31" t="s">
        <v>31</v>
      </c>
      <c r="G1839" s="35">
        <v>1076</v>
      </c>
      <c r="H1839" s="31">
        <v>10</v>
      </c>
      <c r="I1839" s="31">
        <v>5</v>
      </c>
      <c r="J1839" s="31" t="s">
        <v>7265</v>
      </c>
      <c r="K1839" s="31" t="s">
        <v>33</v>
      </c>
      <c r="L1839" s="31" t="s">
        <v>34</v>
      </c>
      <c r="M1839" s="31">
        <v>416</v>
      </c>
      <c r="N1839" s="31">
        <v>2025</v>
      </c>
      <c r="O1839" s="31">
        <v>427</v>
      </c>
      <c r="P1839" s="31"/>
      <c r="Q1839" s="31"/>
      <c r="R1839" s="33" t="s">
        <v>7266</v>
      </c>
      <c r="S1839" s="34" t="str">
        <f>HYPERLINK("http://www.cnpol.ru/covers/21419.jpg","фото на сайте")</f>
        <v>фото на сайте</v>
      </c>
    </row>
    <row r="1840" spans="1:19" ht="50.1" customHeight="1">
      <c r="A1840" s="31" t="s">
        <v>43</v>
      </c>
      <c r="B1840" s="32" t="s">
        <v>7267</v>
      </c>
      <c r="C1840" s="31" t="s">
        <v>7268</v>
      </c>
      <c r="D1840" s="31" t="s">
        <v>7269</v>
      </c>
      <c r="E1840" s="31" t="s">
        <v>7270</v>
      </c>
      <c r="F1840" s="31" t="s">
        <v>31</v>
      </c>
      <c r="G1840" s="31">
        <v>961</v>
      </c>
      <c r="H1840" s="31">
        <v>10</v>
      </c>
      <c r="I1840" s="31">
        <v>6</v>
      </c>
      <c r="J1840" s="31" t="s">
        <v>7271</v>
      </c>
      <c r="K1840" s="31" t="s">
        <v>33</v>
      </c>
      <c r="L1840" s="31" t="s">
        <v>34</v>
      </c>
      <c r="M1840" s="31">
        <v>352</v>
      </c>
      <c r="N1840" s="31">
        <v>2025</v>
      </c>
      <c r="O1840" s="31" t="s">
        <v>220</v>
      </c>
      <c r="P1840" s="31"/>
      <c r="Q1840" s="31"/>
      <c r="R1840" s="33" t="s">
        <v>7272</v>
      </c>
      <c r="S1840" s="34" t="str">
        <f>HYPERLINK("http://www.cnpol.ru/covers/21839.jpg","фото на сайте")</f>
        <v>фото на сайте</v>
      </c>
    </row>
    <row r="1841" spans="1:19" ht="50.1" customHeight="1">
      <c r="A1841" s="31"/>
      <c r="B1841" s="32" t="s">
        <v>7273</v>
      </c>
      <c r="C1841" s="31" t="s">
        <v>3384</v>
      </c>
      <c r="D1841" s="31" t="s">
        <v>3385</v>
      </c>
      <c r="E1841" s="31" t="s">
        <v>7274</v>
      </c>
      <c r="F1841" s="31" t="s">
        <v>31</v>
      </c>
      <c r="G1841" s="31">
        <v>425</v>
      </c>
      <c r="H1841" s="31">
        <v>10</v>
      </c>
      <c r="I1841" s="31">
        <v>28</v>
      </c>
      <c r="J1841" s="31" t="s">
        <v>7275</v>
      </c>
      <c r="K1841" s="31" t="s">
        <v>226</v>
      </c>
      <c r="L1841" s="31" t="s">
        <v>34</v>
      </c>
      <c r="M1841" s="31">
        <v>480</v>
      </c>
      <c r="N1841" s="31">
        <v>2018</v>
      </c>
      <c r="O1841" s="31">
        <v>208</v>
      </c>
      <c r="P1841" s="31"/>
      <c r="Q1841" s="31"/>
      <c r="R1841" s="33"/>
      <c r="S1841" s="34" t="str">
        <f>HYPERLINK("http://www.cnpol.ru/covers/18208.jpg","фото на сайте")</f>
        <v>фото на сайте</v>
      </c>
    </row>
    <row r="1842" spans="1:19" ht="50.1" customHeight="1">
      <c r="A1842" s="31"/>
      <c r="B1842" s="32" t="s">
        <v>7276</v>
      </c>
      <c r="C1842" s="31" t="s">
        <v>119</v>
      </c>
      <c r="D1842" s="31" t="s">
        <v>7277</v>
      </c>
      <c r="E1842" s="31" t="s">
        <v>7278</v>
      </c>
      <c r="F1842" s="31" t="s">
        <v>31</v>
      </c>
      <c r="G1842" s="31">
        <v>514</v>
      </c>
      <c r="H1842" s="31">
        <v>10</v>
      </c>
      <c r="I1842" s="31">
        <v>14</v>
      </c>
      <c r="J1842" s="31" t="s">
        <v>7279</v>
      </c>
      <c r="K1842" s="31" t="s">
        <v>194</v>
      </c>
      <c r="L1842" s="31" t="s">
        <v>34</v>
      </c>
      <c r="M1842" s="31">
        <v>288</v>
      </c>
      <c r="N1842" s="31">
        <v>2019</v>
      </c>
      <c r="O1842" s="31">
        <v>272</v>
      </c>
      <c r="P1842" s="31"/>
      <c r="Q1842" s="31"/>
      <c r="R1842" s="33"/>
      <c r="S1842" s="34" t="str">
        <f>HYPERLINK("http://www.cnpol.ru/covers/18511.jpg","фото на сайте")</f>
        <v>фото на сайте</v>
      </c>
    </row>
    <row r="1843" spans="1:19" ht="50.1" customHeight="1">
      <c r="A1843" s="31" t="s">
        <v>35</v>
      </c>
      <c r="B1843" s="32" t="s">
        <v>7280</v>
      </c>
      <c r="C1843" s="31" t="s">
        <v>779</v>
      </c>
      <c r="D1843" s="31" t="s">
        <v>7281</v>
      </c>
      <c r="E1843" s="31" t="s">
        <v>7282</v>
      </c>
      <c r="F1843" s="31" t="s">
        <v>31</v>
      </c>
      <c r="G1843" s="35">
        <v>1046</v>
      </c>
      <c r="H1843" s="31">
        <v>10</v>
      </c>
      <c r="I1843" s="31">
        <v>10</v>
      </c>
      <c r="J1843" s="31" t="s">
        <v>7283</v>
      </c>
      <c r="K1843" s="31" t="s">
        <v>33</v>
      </c>
      <c r="L1843" s="31" t="s">
        <v>34</v>
      </c>
      <c r="M1843" s="31">
        <v>400</v>
      </c>
      <c r="N1843" s="31">
        <v>2024</v>
      </c>
      <c r="O1843" s="31">
        <v>437</v>
      </c>
      <c r="P1843" s="31"/>
      <c r="Q1843" s="31"/>
      <c r="R1843" s="33" t="s">
        <v>7284</v>
      </c>
      <c r="S1843" s="34" t="str">
        <f>HYPERLINK("http://www.cnpol.ru/covers/21117.jpg","фото на сайте")</f>
        <v>фото на сайте</v>
      </c>
    </row>
    <row r="1844" spans="1:19" ht="50.1" customHeight="1">
      <c r="A1844" s="31"/>
      <c r="B1844" s="32" t="s">
        <v>7285</v>
      </c>
      <c r="C1844" s="31" t="s">
        <v>7286</v>
      </c>
      <c r="D1844" s="31" t="s">
        <v>7287</v>
      </c>
      <c r="E1844" s="31" t="s">
        <v>7288</v>
      </c>
      <c r="F1844" s="31" t="s">
        <v>31</v>
      </c>
      <c r="G1844" s="35">
        <v>4336</v>
      </c>
      <c r="H1844" s="31">
        <v>10</v>
      </c>
      <c r="I1844" s="31">
        <v>2</v>
      </c>
      <c r="J1844" s="31" t="s">
        <v>7289</v>
      </c>
      <c r="K1844" s="31" t="s">
        <v>319</v>
      </c>
      <c r="L1844" s="31" t="s">
        <v>34</v>
      </c>
      <c r="M1844" s="31">
        <v>1020</v>
      </c>
      <c r="N1844" s="31">
        <v>2023</v>
      </c>
      <c r="O1844" s="31">
        <v>1942</v>
      </c>
      <c r="P1844" s="31"/>
      <c r="Q1844" s="31"/>
      <c r="R1844" s="33" t="s">
        <v>7290</v>
      </c>
      <c r="S1844" s="34" t="str">
        <f>HYPERLINK("http://www.cnpol.ru/covers/20667.jpg","фото на сайте")</f>
        <v>фото на сайте</v>
      </c>
    </row>
    <row r="1845" spans="1:19" ht="50.1" customHeight="1">
      <c r="A1845" s="31" t="s">
        <v>43</v>
      </c>
      <c r="B1845" s="32" t="s">
        <v>7291</v>
      </c>
      <c r="C1845" s="31" t="s">
        <v>119</v>
      </c>
      <c r="D1845" s="31" t="s">
        <v>7292</v>
      </c>
      <c r="E1845" s="31" t="s">
        <v>7293</v>
      </c>
      <c r="F1845" s="31" t="s">
        <v>31</v>
      </c>
      <c r="G1845" s="31">
        <v>696</v>
      </c>
      <c r="H1845" s="31">
        <v>10</v>
      </c>
      <c r="I1845" s="31">
        <v>16</v>
      </c>
      <c r="J1845" s="31" t="s">
        <v>7294</v>
      </c>
      <c r="K1845" s="31" t="s">
        <v>194</v>
      </c>
      <c r="L1845" s="31" t="s">
        <v>34</v>
      </c>
      <c r="M1845" s="31">
        <v>415</v>
      </c>
      <c r="N1845" s="31">
        <v>2024</v>
      </c>
      <c r="O1845" s="31">
        <v>342</v>
      </c>
      <c r="P1845" s="31"/>
      <c r="Q1845" s="31"/>
      <c r="R1845" s="33" t="s">
        <v>7295</v>
      </c>
      <c r="S1845" s="34" t="str">
        <f>HYPERLINK("http://www.cnpol.ru/covers/21160.jpg","фото на сайте")</f>
        <v>фото на сайте</v>
      </c>
    </row>
    <row r="1846" spans="1:19" ht="50.1" customHeight="1">
      <c r="A1846" s="31"/>
      <c r="B1846" s="32" t="s">
        <v>7296</v>
      </c>
      <c r="C1846" s="31" t="s">
        <v>119</v>
      </c>
      <c r="D1846" s="31" t="s">
        <v>7297</v>
      </c>
      <c r="E1846" s="31" t="s">
        <v>7298</v>
      </c>
      <c r="F1846" s="31" t="s">
        <v>31</v>
      </c>
      <c r="G1846" s="31">
        <v>503</v>
      </c>
      <c r="H1846" s="31">
        <v>10</v>
      </c>
      <c r="I1846" s="31">
        <v>20</v>
      </c>
      <c r="J1846" s="31" t="s">
        <v>7299</v>
      </c>
      <c r="K1846" s="31" t="s">
        <v>194</v>
      </c>
      <c r="L1846" s="31" t="s">
        <v>34</v>
      </c>
      <c r="M1846" s="31">
        <v>190</v>
      </c>
      <c r="N1846" s="31">
        <v>2023</v>
      </c>
      <c r="O1846" s="31">
        <v>212</v>
      </c>
      <c r="P1846" s="31"/>
      <c r="Q1846" s="31"/>
      <c r="R1846" s="33" t="s">
        <v>7300</v>
      </c>
      <c r="S1846" s="34" t="str">
        <f>HYPERLINK("http://www.cnpol.ru/covers/20904.jpg","фото на сайте")</f>
        <v>фото на сайте</v>
      </c>
    </row>
    <row r="1847" spans="1:19" ht="50.1" customHeight="1">
      <c r="A1847" s="31"/>
      <c r="B1847" s="32" t="s">
        <v>7301</v>
      </c>
      <c r="C1847" s="31" t="s">
        <v>5343</v>
      </c>
      <c r="D1847" s="31" t="s">
        <v>7302</v>
      </c>
      <c r="E1847" s="31" t="s">
        <v>7303</v>
      </c>
      <c r="F1847" s="31" t="s">
        <v>31</v>
      </c>
      <c r="G1847" s="31">
        <v>219</v>
      </c>
      <c r="H1847" s="31">
        <v>10</v>
      </c>
      <c r="I1847" s="31">
        <v>14</v>
      </c>
      <c r="J1847" s="31" t="s">
        <v>7304</v>
      </c>
      <c r="K1847" s="31" t="s">
        <v>359</v>
      </c>
      <c r="L1847" s="31" t="s">
        <v>34</v>
      </c>
      <c r="M1847" s="31">
        <v>285</v>
      </c>
      <c r="N1847" s="31">
        <v>2005</v>
      </c>
      <c r="O1847" s="31">
        <v>246</v>
      </c>
      <c r="P1847" s="31"/>
      <c r="Q1847" s="31"/>
      <c r="R1847" s="33"/>
      <c r="S1847" s="34" t="str">
        <f>HYPERLINK("http://www.cnpol.ru/covers/5909.jpg","фото на сайте")</f>
        <v>фото на сайте</v>
      </c>
    </row>
    <row r="1848" spans="1:19" ht="50.1" customHeight="1">
      <c r="A1848" s="31" t="s">
        <v>35</v>
      </c>
      <c r="B1848" s="32" t="s">
        <v>7305</v>
      </c>
      <c r="C1848" s="31" t="s">
        <v>1925</v>
      </c>
      <c r="D1848" s="31" t="s">
        <v>1926</v>
      </c>
      <c r="E1848" s="31" t="s">
        <v>7306</v>
      </c>
      <c r="F1848" s="31" t="s">
        <v>31</v>
      </c>
      <c r="G1848" s="31">
        <v>771</v>
      </c>
      <c r="H1848" s="31">
        <v>10</v>
      </c>
      <c r="I1848" s="31">
        <v>10</v>
      </c>
      <c r="J1848" s="31" t="s">
        <v>7307</v>
      </c>
      <c r="K1848" s="31" t="s">
        <v>33</v>
      </c>
      <c r="L1848" s="31" t="s">
        <v>34</v>
      </c>
      <c r="M1848" s="31">
        <v>220</v>
      </c>
      <c r="N1848" s="31">
        <v>2025</v>
      </c>
      <c r="O1848" s="31" t="s">
        <v>220</v>
      </c>
      <c r="P1848" s="31"/>
      <c r="Q1848" s="31"/>
      <c r="R1848" s="33" t="s">
        <v>7308</v>
      </c>
      <c r="S1848" s="34" t="str">
        <f>HYPERLINK("http://www.cnpol.ru/covers/21844.jpg","фото на сайте")</f>
        <v>фото на сайте</v>
      </c>
    </row>
    <row r="1849" spans="1:19" ht="50.1" customHeight="1">
      <c r="A1849" s="31" t="s">
        <v>43</v>
      </c>
      <c r="B1849" s="32" t="s">
        <v>7309</v>
      </c>
      <c r="C1849" s="31" t="s">
        <v>7310</v>
      </c>
      <c r="D1849" s="31" t="s">
        <v>191</v>
      </c>
      <c r="E1849" s="31" t="s">
        <v>7311</v>
      </c>
      <c r="F1849" s="31" t="s">
        <v>31</v>
      </c>
      <c r="G1849" s="31">
        <v>722</v>
      </c>
      <c r="H1849" s="31">
        <v>10</v>
      </c>
      <c r="I1849" s="31">
        <v>2</v>
      </c>
      <c r="J1849" s="31" t="s">
        <v>7312</v>
      </c>
      <c r="K1849" s="31" t="s">
        <v>194</v>
      </c>
      <c r="L1849" s="31" t="s">
        <v>34</v>
      </c>
      <c r="M1849" s="31">
        <v>415</v>
      </c>
      <c r="N1849" s="31">
        <v>2025</v>
      </c>
      <c r="O1849" s="31">
        <v>310</v>
      </c>
      <c r="P1849" s="31"/>
      <c r="Q1849" s="31"/>
      <c r="R1849" s="33" t="s">
        <v>7313</v>
      </c>
      <c r="S1849" s="34" t="str">
        <f>HYPERLINK("http://www.cnpol.ru/covers/21433.jpg","фото на сайте")</f>
        <v>фото на сайте</v>
      </c>
    </row>
    <row r="1850" spans="1:19" ht="50.1" customHeight="1">
      <c r="A1850" s="31"/>
      <c r="B1850" s="32" t="s">
        <v>7314</v>
      </c>
      <c r="C1850" s="31" t="s">
        <v>7315</v>
      </c>
      <c r="D1850" s="31" t="s">
        <v>7316</v>
      </c>
      <c r="E1850" s="31" t="s">
        <v>7317</v>
      </c>
      <c r="F1850" s="31" t="s">
        <v>31</v>
      </c>
      <c r="G1850" s="31">
        <v>73</v>
      </c>
      <c r="H1850" s="31">
        <v>10</v>
      </c>
      <c r="I1850" s="31">
        <v>30</v>
      </c>
      <c r="J1850" s="31" t="s">
        <v>7318</v>
      </c>
      <c r="K1850" s="31" t="s">
        <v>7319</v>
      </c>
      <c r="L1850" s="31" t="s">
        <v>56</v>
      </c>
      <c r="M1850" s="31">
        <v>32</v>
      </c>
      <c r="N1850" s="31">
        <v>2007</v>
      </c>
      <c r="O1850" s="31">
        <v>96</v>
      </c>
      <c r="P1850" s="31"/>
      <c r="Q1850" s="31"/>
      <c r="R1850" s="33"/>
      <c r="S1850" s="34" t="str">
        <f>HYPERLINK("http://www.cnpol.ru/covers/7207.jpg","фото на сайте")</f>
        <v>фото на сайте</v>
      </c>
    </row>
    <row r="1851" spans="1:19" ht="50.1" customHeight="1">
      <c r="A1851" s="31"/>
      <c r="B1851" s="32" t="s">
        <v>7320</v>
      </c>
      <c r="C1851" s="31" t="s">
        <v>7321</v>
      </c>
      <c r="D1851" s="31" t="s">
        <v>7322</v>
      </c>
      <c r="E1851" s="31" t="s">
        <v>7323</v>
      </c>
      <c r="F1851" s="31" t="s">
        <v>31</v>
      </c>
      <c r="G1851" s="31">
        <v>88</v>
      </c>
      <c r="H1851" s="31">
        <v>10</v>
      </c>
      <c r="I1851" s="31">
        <v>15</v>
      </c>
      <c r="J1851" s="31" t="s">
        <v>7324</v>
      </c>
      <c r="K1851" s="31" t="s">
        <v>260</v>
      </c>
      <c r="L1851" s="31" t="s">
        <v>56</v>
      </c>
      <c r="M1851" s="31" t="s">
        <v>431</v>
      </c>
      <c r="N1851" s="31" t="s">
        <v>431</v>
      </c>
      <c r="O1851" s="31" t="s">
        <v>220</v>
      </c>
      <c r="P1851" s="31"/>
      <c r="Q1851" s="31"/>
      <c r="R1851" s="33"/>
      <c r="S1851" s="34" t="str">
        <f>HYPERLINK("http://www.cnpol.ru/covers/3370.jpg","фото на сайте")</f>
        <v>фото на сайте</v>
      </c>
    </row>
    <row r="1852" spans="1:19" ht="50.1" customHeight="1">
      <c r="A1852" s="31"/>
      <c r="B1852" s="32" t="s">
        <v>7325</v>
      </c>
      <c r="C1852" s="31" t="s">
        <v>7315</v>
      </c>
      <c r="D1852" s="31" t="s">
        <v>120</v>
      </c>
      <c r="E1852" s="31" t="s">
        <v>7326</v>
      </c>
      <c r="F1852" s="31" t="s">
        <v>31</v>
      </c>
      <c r="G1852" s="31">
        <v>73</v>
      </c>
      <c r="H1852" s="31">
        <v>10</v>
      </c>
      <c r="I1852" s="31">
        <v>40</v>
      </c>
      <c r="J1852" s="31" t="s">
        <v>7327</v>
      </c>
      <c r="K1852" s="31" t="s">
        <v>7319</v>
      </c>
      <c r="L1852" s="31" t="s">
        <v>56</v>
      </c>
      <c r="M1852" s="31">
        <v>32</v>
      </c>
      <c r="N1852" s="31">
        <v>2007</v>
      </c>
      <c r="O1852" s="31">
        <v>92</v>
      </c>
      <c r="P1852" s="31"/>
      <c r="Q1852" s="31"/>
      <c r="R1852" s="33"/>
      <c r="S1852" s="34" t="str">
        <f>HYPERLINK("http://www.cnpol.ru/covers/7186.jpg","фото на сайте")</f>
        <v>фото на сайте</v>
      </c>
    </row>
    <row r="1853" spans="1:19" ht="50.1" customHeight="1">
      <c r="A1853" s="31"/>
      <c r="B1853" s="32" t="s">
        <v>7328</v>
      </c>
      <c r="C1853" s="31" t="s">
        <v>7315</v>
      </c>
      <c r="D1853" s="31" t="s">
        <v>213</v>
      </c>
      <c r="E1853" s="31" t="s">
        <v>7329</v>
      </c>
      <c r="F1853" s="31" t="s">
        <v>31</v>
      </c>
      <c r="G1853" s="31">
        <v>73</v>
      </c>
      <c r="H1853" s="31">
        <v>10</v>
      </c>
      <c r="I1853" s="31">
        <v>40</v>
      </c>
      <c r="J1853" s="31" t="s">
        <v>7330</v>
      </c>
      <c r="K1853" s="31" t="s">
        <v>7319</v>
      </c>
      <c r="L1853" s="31" t="s">
        <v>56</v>
      </c>
      <c r="M1853" s="31">
        <v>32</v>
      </c>
      <c r="N1853" s="31">
        <v>2007</v>
      </c>
      <c r="O1853" s="31">
        <v>92</v>
      </c>
      <c r="P1853" s="31"/>
      <c r="Q1853" s="31"/>
      <c r="R1853" s="33"/>
      <c r="S1853" s="34" t="str">
        <f>HYPERLINK("http://www.cnpol.ru/covers/7184.jpg","фото на сайте")</f>
        <v>фото на сайте</v>
      </c>
    </row>
    <row r="1854" spans="1:19" ht="50.1" customHeight="1">
      <c r="A1854" s="31"/>
      <c r="B1854" s="32" t="s">
        <v>7331</v>
      </c>
      <c r="C1854" s="31" t="s">
        <v>3229</v>
      </c>
      <c r="D1854" s="31" t="s">
        <v>7163</v>
      </c>
      <c r="E1854" s="31" t="s">
        <v>7332</v>
      </c>
      <c r="F1854" s="31" t="s">
        <v>31</v>
      </c>
      <c r="G1854" s="31">
        <v>693</v>
      </c>
      <c r="H1854" s="31">
        <v>10</v>
      </c>
      <c r="I1854" s="31">
        <v>12</v>
      </c>
      <c r="J1854" s="31" t="s">
        <v>7333</v>
      </c>
      <c r="K1854" s="31" t="s">
        <v>33</v>
      </c>
      <c r="L1854" s="31" t="s">
        <v>34</v>
      </c>
      <c r="M1854" s="31">
        <v>320</v>
      </c>
      <c r="N1854" s="31">
        <v>2016</v>
      </c>
      <c r="O1854" s="31">
        <v>346</v>
      </c>
      <c r="P1854" s="31"/>
      <c r="Q1854" s="31"/>
      <c r="R1854" s="33"/>
      <c r="S1854" s="34" t="str">
        <f>HYPERLINK("http://www.cnpol.ru/covers/16581.jpg","фото на сайте")</f>
        <v>фото на сайте</v>
      </c>
    </row>
    <row r="1855" spans="1:19" ht="50.1" customHeight="1">
      <c r="A1855" s="31"/>
      <c r="B1855" s="32" t="s">
        <v>7334</v>
      </c>
      <c r="C1855" s="31" t="s">
        <v>1050</v>
      </c>
      <c r="D1855" s="31" t="s">
        <v>3357</v>
      </c>
      <c r="E1855" s="31" t="s">
        <v>7335</v>
      </c>
      <c r="F1855" s="31" t="s">
        <v>31</v>
      </c>
      <c r="G1855" s="31">
        <v>386</v>
      </c>
      <c r="H1855" s="31">
        <v>10</v>
      </c>
      <c r="I1855" s="31">
        <v>16</v>
      </c>
      <c r="J1855" s="31" t="s">
        <v>7336</v>
      </c>
      <c r="K1855" s="31" t="s">
        <v>33</v>
      </c>
      <c r="L1855" s="31" t="s">
        <v>210</v>
      </c>
      <c r="M1855" s="31">
        <v>254</v>
      </c>
      <c r="N1855" s="31">
        <v>2020</v>
      </c>
      <c r="O1855" s="31">
        <v>212</v>
      </c>
      <c r="P1855" s="31"/>
      <c r="Q1855" s="31"/>
      <c r="R1855" s="33"/>
      <c r="S1855" s="34" t="str">
        <f>HYPERLINK("http://www.cnpol.ru/covers/19375.jpg","фото на сайте")</f>
        <v>фото на сайте</v>
      </c>
    </row>
    <row r="1856" spans="1:19" ht="50.1" customHeight="1">
      <c r="A1856" s="31"/>
      <c r="B1856" s="32" t="s">
        <v>7337</v>
      </c>
      <c r="C1856" s="31" t="s">
        <v>1102</v>
      </c>
      <c r="D1856" s="31" t="s">
        <v>7338</v>
      </c>
      <c r="E1856" s="31" t="s">
        <v>7339</v>
      </c>
      <c r="F1856" s="31" t="s">
        <v>31</v>
      </c>
      <c r="G1856" s="31">
        <v>640</v>
      </c>
      <c r="H1856" s="31">
        <v>10</v>
      </c>
      <c r="I1856" s="31">
        <v>10</v>
      </c>
      <c r="J1856" s="31" t="s">
        <v>7340</v>
      </c>
      <c r="K1856" s="31" t="s">
        <v>33</v>
      </c>
      <c r="L1856" s="31" t="s">
        <v>34</v>
      </c>
      <c r="M1856" s="31">
        <v>448</v>
      </c>
      <c r="N1856" s="31">
        <v>2019</v>
      </c>
      <c r="O1856" s="31">
        <v>272</v>
      </c>
      <c r="P1856" s="31"/>
      <c r="Q1856" s="31"/>
      <c r="R1856" s="33"/>
      <c r="S1856" s="34" t="str">
        <f>HYPERLINK("http://www.cnpol.ru/covers/18774.jpg","фото на сайте")</f>
        <v>фото на сайте</v>
      </c>
    </row>
    <row r="1857" spans="1:19" ht="50.1" customHeight="1">
      <c r="A1857" s="31"/>
      <c r="B1857" s="32" t="s">
        <v>7341</v>
      </c>
      <c r="C1857" s="31" t="s">
        <v>1102</v>
      </c>
      <c r="D1857" s="31" t="s">
        <v>7338</v>
      </c>
      <c r="E1857" s="31" t="s">
        <v>7342</v>
      </c>
      <c r="F1857" s="31" t="s">
        <v>31</v>
      </c>
      <c r="G1857" s="31">
        <v>640</v>
      </c>
      <c r="H1857" s="31">
        <v>10</v>
      </c>
      <c r="I1857" s="31">
        <v>14</v>
      </c>
      <c r="J1857" s="31" t="s">
        <v>7343</v>
      </c>
      <c r="K1857" s="31" t="s">
        <v>33</v>
      </c>
      <c r="L1857" s="31" t="s">
        <v>34</v>
      </c>
      <c r="M1857" s="31">
        <v>288</v>
      </c>
      <c r="N1857" s="31">
        <v>2019</v>
      </c>
      <c r="O1857" s="31">
        <v>254</v>
      </c>
      <c r="P1857" s="31"/>
      <c r="Q1857" s="31"/>
      <c r="R1857" s="33"/>
      <c r="S1857" s="34" t="str">
        <f>HYPERLINK("http://www.cnpol.ru/covers/18856.jpg","фото на сайте")</f>
        <v>фото на сайте</v>
      </c>
    </row>
    <row r="1858" spans="1:19" ht="50.1" customHeight="1">
      <c r="A1858" s="31" t="s">
        <v>35</v>
      </c>
      <c r="B1858" s="32" t="s">
        <v>7344</v>
      </c>
      <c r="C1858" s="31" t="s">
        <v>1363</v>
      </c>
      <c r="D1858" s="31" t="s">
        <v>1364</v>
      </c>
      <c r="E1858" s="31" t="s">
        <v>7345</v>
      </c>
      <c r="F1858" s="31" t="s">
        <v>31</v>
      </c>
      <c r="G1858" s="31">
        <v>693</v>
      </c>
      <c r="H1858" s="31">
        <v>10</v>
      </c>
      <c r="I1858" s="31">
        <v>18</v>
      </c>
      <c r="J1858" s="31" t="s">
        <v>7346</v>
      </c>
      <c r="K1858" s="31" t="s">
        <v>33</v>
      </c>
      <c r="L1858" s="31" t="s">
        <v>34</v>
      </c>
      <c r="M1858" s="31">
        <v>287</v>
      </c>
      <c r="N1858" s="31">
        <v>2025</v>
      </c>
      <c r="O1858" s="31">
        <v>334</v>
      </c>
      <c r="P1858" s="31"/>
      <c r="Q1858" s="31"/>
      <c r="R1858" s="33" t="s">
        <v>7347</v>
      </c>
      <c r="S1858" s="34" t="str">
        <f>HYPERLINK("http://www.cnpol.ru/covers/21716.jpg","фото на сайте")</f>
        <v>фото на сайте</v>
      </c>
    </row>
    <row r="1859" spans="1:19" ht="50.1" customHeight="1">
      <c r="A1859" s="31"/>
      <c r="B1859" s="32" t="s">
        <v>7348</v>
      </c>
      <c r="C1859" s="31" t="s">
        <v>297</v>
      </c>
      <c r="D1859" s="31" t="s">
        <v>7349</v>
      </c>
      <c r="E1859" s="31" t="s">
        <v>7350</v>
      </c>
      <c r="F1859" s="31" t="s">
        <v>31</v>
      </c>
      <c r="G1859" s="31">
        <v>300</v>
      </c>
      <c r="H1859" s="31">
        <v>10</v>
      </c>
      <c r="I1859" s="31">
        <v>18</v>
      </c>
      <c r="J1859" s="31" t="s">
        <v>7351</v>
      </c>
      <c r="K1859" s="31" t="s">
        <v>300</v>
      </c>
      <c r="L1859" s="31" t="s">
        <v>56</v>
      </c>
      <c r="M1859" s="31">
        <v>384</v>
      </c>
      <c r="N1859" s="31">
        <v>2018</v>
      </c>
      <c r="O1859" s="31">
        <v>194</v>
      </c>
      <c r="P1859" s="31"/>
      <c r="Q1859" s="31"/>
      <c r="R1859" s="33"/>
      <c r="S1859" s="34" t="str">
        <f>HYPERLINK("http://www.cnpol.ru/covers/17906.jpg","фото на сайте")</f>
        <v>фото на сайте</v>
      </c>
    </row>
    <row r="1860" spans="1:19" ht="50.1" customHeight="1">
      <c r="A1860" s="31"/>
      <c r="B1860" s="32" t="s">
        <v>7352</v>
      </c>
      <c r="C1860" s="31" t="s">
        <v>390</v>
      </c>
      <c r="D1860" s="31" t="s">
        <v>814</v>
      </c>
      <c r="E1860" s="31" t="s">
        <v>7353</v>
      </c>
      <c r="F1860" s="31">
        <v>603</v>
      </c>
      <c r="G1860" s="31">
        <v>86</v>
      </c>
      <c r="H1860" s="31">
        <v>10</v>
      </c>
      <c r="I1860" s="31">
        <v>30</v>
      </c>
      <c r="J1860" s="31" t="s">
        <v>7354</v>
      </c>
      <c r="K1860" s="31" t="s">
        <v>123</v>
      </c>
      <c r="L1860" s="31" t="s">
        <v>56</v>
      </c>
      <c r="M1860" s="31">
        <v>160</v>
      </c>
      <c r="N1860" s="31">
        <v>2016</v>
      </c>
      <c r="O1860" s="31">
        <v>76</v>
      </c>
      <c r="P1860" s="31"/>
      <c r="Q1860" s="31"/>
      <c r="R1860" s="33"/>
      <c r="S1860" s="34" t="str">
        <f>HYPERLINK("http://www.cnpol.ru/covers/16634.jpg","фото на сайте")</f>
        <v>фото на сайте</v>
      </c>
    </row>
    <row r="1861" spans="1:19" ht="50.1" customHeight="1">
      <c r="A1861" s="31"/>
      <c r="B1861" s="32" t="s">
        <v>7355</v>
      </c>
      <c r="C1861" s="31" t="s">
        <v>1323</v>
      </c>
      <c r="D1861" s="31" t="s">
        <v>1835</v>
      </c>
      <c r="E1861" s="31" t="s">
        <v>7356</v>
      </c>
      <c r="F1861" s="31" t="s">
        <v>31</v>
      </c>
      <c r="G1861" s="31">
        <v>169</v>
      </c>
      <c r="H1861" s="31">
        <v>10</v>
      </c>
      <c r="I1861" s="31">
        <v>14</v>
      </c>
      <c r="J1861" s="31" t="s">
        <v>7357</v>
      </c>
      <c r="K1861" s="31" t="s">
        <v>55</v>
      </c>
      <c r="L1861" s="31" t="s">
        <v>56</v>
      </c>
      <c r="M1861" s="31">
        <v>319</v>
      </c>
      <c r="N1861" s="31">
        <v>2021</v>
      </c>
      <c r="O1861" s="31">
        <v>136</v>
      </c>
      <c r="P1861" s="31"/>
      <c r="Q1861" s="31"/>
      <c r="R1861" s="33"/>
      <c r="S1861" s="34" t="str">
        <f>HYPERLINK("http://www.cnpol.ru/covers/19964.jpg","фото на сайте")</f>
        <v>фото на сайте</v>
      </c>
    </row>
    <row r="1862" spans="1:19" ht="50.1" customHeight="1">
      <c r="A1862" s="31"/>
      <c r="B1862" s="32" t="s">
        <v>7358</v>
      </c>
      <c r="C1862" s="31" t="s">
        <v>413</v>
      </c>
      <c r="D1862" s="31" t="s">
        <v>1435</v>
      </c>
      <c r="E1862" s="31" t="s">
        <v>7359</v>
      </c>
      <c r="F1862" s="31">
        <v>34</v>
      </c>
      <c r="G1862" s="31">
        <v>117</v>
      </c>
      <c r="H1862" s="31">
        <v>10</v>
      </c>
      <c r="I1862" s="31">
        <v>36</v>
      </c>
      <c r="J1862" s="31" t="s">
        <v>7360</v>
      </c>
      <c r="K1862" s="31" t="s">
        <v>123</v>
      </c>
      <c r="L1862" s="31" t="s">
        <v>56</v>
      </c>
      <c r="M1862" s="31">
        <v>190</v>
      </c>
      <c r="N1862" s="31">
        <v>2014</v>
      </c>
      <c r="O1862" s="31">
        <v>88</v>
      </c>
      <c r="P1862" s="31"/>
      <c r="Q1862" s="31"/>
      <c r="R1862" s="33"/>
      <c r="S1862" s="34" t="str">
        <f>HYPERLINK("http://www.cnpol.ru/covers/15622.jpg","фото на сайте")</f>
        <v>фото на сайте</v>
      </c>
    </row>
    <row r="1863" spans="1:19" ht="50.1" customHeight="1">
      <c r="A1863" s="31"/>
      <c r="B1863" s="32" t="s">
        <v>7361</v>
      </c>
      <c r="C1863" s="31" t="s">
        <v>538</v>
      </c>
      <c r="D1863" s="31" t="s">
        <v>7362</v>
      </c>
      <c r="E1863" s="31" t="s">
        <v>7363</v>
      </c>
      <c r="F1863" s="31" t="s">
        <v>31</v>
      </c>
      <c r="G1863" s="31">
        <v>559</v>
      </c>
      <c r="H1863" s="31">
        <v>10</v>
      </c>
      <c r="I1863" s="31">
        <v>14</v>
      </c>
      <c r="J1863" s="31" t="s">
        <v>7364</v>
      </c>
      <c r="K1863" s="31" t="s">
        <v>33</v>
      </c>
      <c r="L1863" s="31" t="s">
        <v>34</v>
      </c>
      <c r="M1863" s="31">
        <v>318</v>
      </c>
      <c r="N1863" s="31">
        <v>2008</v>
      </c>
      <c r="O1863" s="31">
        <v>304</v>
      </c>
      <c r="P1863" s="31"/>
      <c r="Q1863" s="31"/>
      <c r="R1863" s="33"/>
      <c r="S1863" s="34" t="str">
        <f>HYPERLINK("http://www.cnpol.ru/covers/10814.jpg","фото на сайте")</f>
        <v>фото на сайте</v>
      </c>
    </row>
    <row r="1864" spans="1:19" ht="50.1" customHeight="1">
      <c r="A1864" s="31"/>
      <c r="B1864" s="32" t="s">
        <v>7365</v>
      </c>
      <c r="C1864" s="31" t="s">
        <v>390</v>
      </c>
      <c r="D1864" s="31" t="s">
        <v>7366</v>
      </c>
      <c r="E1864" s="31" t="s">
        <v>7367</v>
      </c>
      <c r="F1864" s="31">
        <v>1138</v>
      </c>
      <c r="G1864" s="31">
        <v>86</v>
      </c>
      <c r="H1864" s="31">
        <v>10</v>
      </c>
      <c r="I1864" s="31">
        <v>30</v>
      </c>
      <c r="J1864" s="31" t="s">
        <v>7368</v>
      </c>
      <c r="K1864" s="31" t="s">
        <v>123</v>
      </c>
      <c r="L1864" s="31" t="s">
        <v>56</v>
      </c>
      <c r="M1864" s="31">
        <v>159</v>
      </c>
      <c r="N1864" s="31">
        <v>2023</v>
      </c>
      <c r="O1864" s="31">
        <v>76</v>
      </c>
      <c r="P1864" s="31"/>
      <c r="Q1864" s="31"/>
      <c r="R1864" s="33" t="s">
        <v>7369</v>
      </c>
      <c r="S1864" s="34" t="str">
        <f>HYPERLINK("http://www.cnpol.ru/covers/20638.jpg","фото на сайте")</f>
        <v>фото на сайте</v>
      </c>
    </row>
    <row r="1865" spans="1:19" ht="50.1" customHeight="1">
      <c r="A1865" s="31"/>
      <c r="B1865" s="32" t="s">
        <v>7370</v>
      </c>
      <c r="C1865" s="31" t="s">
        <v>385</v>
      </c>
      <c r="D1865" s="31" t="s">
        <v>386</v>
      </c>
      <c r="E1865" s="31" t="s">
        <v>7371</v>
      </c>
      <c r="F1865" s="31" t="s">
        <v>31</v>
      </c>
      <c r="G1865" s="31">
        <v>162</v>
      </c>
      <c r="H1865" s="31">
        <v>10</v>
      </c>
      <c r="I1865" s="31">
        <v>32</v>
      </c>
      <c r="J1865" s="31" t="s">
        <v>7372</v>
      </c>
      <c r="K1865" s="31" t="s">
        <v>55</v>
      </c>
      <c r="L1865" s="31" t="s">
        <v>56</v>
      </c>
      <c r="M1865" s="31">
        <v>256</v>
      </c>
      <c r="N1865" s="31">
        <v>2016</v>
      </c>
      <c r="O1865" s="31">
        <v>108</v>
      </c>
      <c r="P1865" s="31"/>
      <c r="Q1865" s="31"/>
      <c r="R1865" s="33"/>
      <c r="S1865" s="34" t="str">
        <f>HYPERLINK("http://www.cnpol.ru/covers/0141.jpg","фото на сайте")</f>
        <v>фото на сайте</v>
      </c>
    </row>
    <row r="1866" spans="1:19" ht="50.1" customHeight="1">
      <c r="A1866" s="31"/>
      <c r="B1866" s="32" t="s">
        <v>7373</v>
      </c>
      <c r="C1866" s="31" t="s">
        <v>400</v>
      </c>
      <c r="D1866" s="31" t="s">
        <v>1369</v>
      </c>
      <c r="E1866" s="31" t="s">
        <v>7374</v>
      </c>
      <c r="F1866" s="31" t="s">
        <v>31</v>
      </c>
      <c r="G1866" s="31">
        <v>503</v>
      </c>
      <c r="H1866" s="31">
        <v>10</v>
      </c>
      <c r="I1866" s="31">
        <v>10</v>
      </c>
      <c r="J1866" s="31" t="s">
        <v>7375</v>
      </c>
      <c r="K1866" s="31" t="s">
        <v>33</v>
      </c>
      <c r="L1866" s="31" t="s">
        <v>34</v>
      </c>
      <c r="M1866" s="31">
        <v>320</v>
      </c>
      <c r="N1866" s="31">
        <v>2016</v>
      </c>
      <c r="O1866" s="31">
        <v>274</v>
      </c>
      <c r="P1866" s="31"/>
      <c r="Q1866" s="31"/>
      <c r="R1866" s="33"/>
      <c r="S1866" s="34" t="str">
        <f>HYPERLINK("http://www.cnpol.ru/covers/17171.jpg","фото на сайте")</f>
        <v>фото на сайте</v>
      </c>
    </row>
    <row r="1867" spans="1:19" ht="50.1" customHeight="1">
      <c r="A1867" s="31"/>
      <c r="B1867" s="32" t="s">
        <v>7376</v>
      </c>
      <c r="C1867" s="31" t="s">
        <v>413</v>
      </c>
      <c r="D1867" s="31" t="s">
        <v>7377</v>
      </c>
      <c r="E1867" s="31" t="s">
        <v>7378</v>
      </c>
      <c r="F1867" s="31">
        <v>125</v>
      </c>
      <c r="G1867" s="31">
        <v>117</v>
      </c>
      <c r="H1867" s="31">
        <v>10</v>
      </c>
      <c r="I1867" s="31">
        <v>36</v>
      </c>
      <c r="J1867" s="31" t="s">
        <v>7379</v>
      </c>
      <c r="K1867" s="31" t="s">
        <v>123</v>
      </c>
      <c r="L1867" s="31" t="s">
        <v>56</v>
      </c>
      <c r="M1867" s="31">
        <v>192</v>
      </c>
      <c r="N1867" s="31">
        <v>2016</v>
      </c>
      <c r="O1867" s="31">
        <v>90</v>
      </c>
      <c r="P1867" s="31"/>
      <c r="Q1867" s="31"/>
      <c r="R1867" s="33"/>
      <c r="S1867" s="34" t="str">
        <f>HYPERLINK("http://www.cnpol.ru/covers/17047.jpg","фото на сайте")</f>
        <v>фото на сайте</v>
      </c>
    </row>
    <row r="1868" spans="1:19" ht="50.1" customHeight="1">
      <c r="A1868" s="31"/>
      <c r="B1868" s="32" t="s">
        <v>7380</v>
      </c>
      <c r="C1868" s="31" t="s">
        <v>390</v>
      </c>
      <c r="D1868" s="31" t="s">
        <v>649</v>
      </c>
      <c r="E1868" s="31" t="s">
        <v>7381</v>
      </c>
      <c r="F1868" s="31">
        <v>1086</v>
      </c>
      <c r="G1868" s="31">
        <v>86</v>
      </c>
      <c r="H1868" s="31">
        <v>10</v>
      </c>
      <c r="I1868" s="31">
        <v>30</v>
      </c>
      <c r="J1868" s="31" t="s">
        <v>7382</v>
      </c>
      <c r="K1868" s="31" t="s">
        <v>123</v>
      </c>
      <c r="L1868" s="31" t="s">
        <v>56</v>
      </c>
      <c r="M1868" s="31">
        <v>159</v>
      </c>
      <c r="N1868" s="31">
        <v>2022</v>
      </c>
      <c r="O1868" s="31">
        <v>76</v>
      </c>
      <c r="P1868" s="31"/>
      <c r="Q1868" s="31"/>
      <c r="R1868" s="33"/>
      <c r="S1868" s="34" t="str">
        <f>HYPERLINK("http://www.cnpol.ru/covers/20160.jpg","фото на сайте")</f>
        <v>фото на сайте</v>
      </c>
    </row>
    <row r="1869" spans="1:19" ht="50.1" customHeight="1">
      <c r="A1869" s="31"/>
      <c r="B1869" s="32" t="s">
        <v>7383</v>
      </c>
      <c r="C1869" s="31" t="s">
        <v>390</v>
      </c>
      <c r="D1869" s="31" t="s">
        <v>1850</v>
      </c>
      <c r="E1869" s="31" t="s">
        <v>7384</v>
      </c>
      <c r="F1869" s="31">
        <v>854</v>
      </c>
      <c r="G1869" s="31">
        <v>86</v>
      </c>
      <c r="H1869" s="31">
        <v>10</v>
      </c>
      <c r="I1869" s="31">
        <v>30</v>
      </c>
      <c r="J1869" s="31" t="s">
        <v>7385</v>
      </c>
      <c r="K1869" s="31" t="s">
        <v>194</v>
      </c>
      <c r="L1869" s="31" t="s">
        <v>56</v>
      </c>
      <c r="M1869" s="31">
        <v>160</v>
      </c>
      <c r="N1869" s="31">
        <v>2018</v>
      </c>
      <c r="O1869" s="31">
        <v>76</v>
      </c>
      <c r="P1869" s="31"/>
      <c r="Q1869" s="31"/>
      <c r="R1869" s="33"/>
      <c r="S1869" s="34" t="str">
        <f>HYPERLINK("http://www.cnpol.ru/covers/18413.jpg","фото на сайте")</f>
        <v>фото на сайте</v>
      </c>
    </row>
    <row r="1870" spans="1:19" ht="50.1" customHeight="1">
      <c r="A1870" s="31"/>
      <c r="B1870" s="32" t="s">
        <v>7386</v>
      </c>
      <c r="C1870" s="31" t="s">
        <v>6922</v>
      </c>
      <c r="D1870" s="31" t="s">
        <v>7387</v>
      </c>
      <c r="E1870" s="31" t="s">
        <v>7388</v>
      </c>
      <c r="F1870" s="31" t="s">
        <v>31</v>
      </c>
      <c r="G1870" s="31">
        <v>389</v>
      </c>
      <c r="H1870" s="31">
        <v>10</v>
      </c>
      <c r="I1870" s="31">
        <v>18</v>
      </c>
      <c r="J1870" s="31" t="s">
        <v>7389</v>
      </c>
      <c r="K1870" s="31" t="s">
        <v>55</v>
      </c>
      <c r="L1870" s="31" t="s">
        <v>34</v>
      </c>
      <c r="M1870" s="31">
        <v>287</v>
      </c>
      <c r="N1870" s="31">
        <v>2020</v>
      </c>
      <c r="O1870" s="31">
        <v>220</v>
      </c>
      <c r="P1870" s="31"/>
      <c r="Q1870" s="31"/>
      <c r="R1870" s="33"/>
      <c r="S1870" s="34" t="str">
        <f>HYPERLINK("http://www.cnpol.ru/covers/19480.jpg","фото на сайте")</f>
        <v>фото на сайте</v>
      </c>
    </row>
    <row r="1871" spans="1:19" ht="50.1" customHeight="1">
      <c r="A1871" s="31"/>
      <c r="B1871" s="32" t="s">
        <v>7390</v>
      </c>
      <c r="C1871" s="31" t="s">
        <v>390</v>
      </c>
      <c r="D1871" s="31" t="s">
        <v>1461</v>
      </c>
      <c r="E1871" s="31" t="s">
        <v>7391</v>
      </c>
      <c r="F1871" s="31">
        <v>819</v>
      </c>
      <c r="G1871" s="31">
        <v>86</v>
      </c>
      <c r="H1871" s="31">
        <v>10</v>
      </c>
      <c r="I1871" s="31">
        <v>30</v>
      </c>
      <c r="J1871" s="31" t="s">
        <v>7392</v>
      </c>
      <c r="K1871" s="31" t="s">
        <v>123</v>
      </c>
      <c r="L1871" s="31" t="s">
        <v>56</v>
      </c>
      <c r="M1871" s="31">
        <v>160</v>
      </c>
      <c r="N1871" s="31">
        <v>2018</v>
      </c>
      <c r="O1871" s="31">
        <v>76</v>
      </c>
      <c r="P1871" s="31"/>
      <c r="Q1871" s="31"/>
      <c r="R1871" s="33"/>
      <c r="S1871" s="34" t="str">
        <f>HYPERLINK("http://www.cnpol.ru/covers/18212.jpg","фото на сайте")</f>
        <v>фото на сайте</v>
      </c>
    </row>
    <row r="1872" spans="1:19" ht="50.1" customHeight="1">
      <c r="A1872" s="31"/>
      <c r="B1872" s="32" t="s">
        <v>7393</v>
      </c>
      <c r="C1872" s="31" t="s">
        <v>6932</v>
      </c>
      <c r="D1872" s="31" t="s">
        <v>6933</v>
      </c>
      <c r="E1872" s="31" t="s">
        <v>7394</v>
      </c>
      <c r="F1872" s="31" t="s">
        <v>31</v>
      </c>
      <c r="G1872" s="35">
        <v>1048</v>
      </c>
      <c r="H1872" s="31">
        <v>10</v>
      </c>
      <c r="I1872" s="31">
        <v>10</v>
      </c>
      <c r="J1872" s="31" t="s">
        <v>7395</v>
      </c>
      <c r="K1872" s="31" t="s">
        <v>1649</v>
      </c>
      <c r="L1872" s="31" t="s">
        <v>210</v>
      </c>
      <c r="M1872" s="31">
        <v>304</v>
      </c>
      <c r="N1872" s="31">
        <v>2016</v>
      </c>
      <c r="O1872" s="31">
        <v>342</v>
      </c>
      <c r="P1872" s="31"/>
      <c r="Q1872" s="31"/>
      <c r="R1872" s="33"/>
      <c r="S1872" s="34" t="str">
        <f>HYPERLINK("http://www.cnpol.ru/covers/17218.jpg","фото на сайте")</f>
        <v>фото на сайте</v>
      </c>
    </row>
    <row r="1873" spans="1:19" ht="50.1" customHeight="1">
      <c r="A1873" s="31"/>
      <c r="B1873" s="32" t="s">
        <v>7396</v>
      </c>
      <c r="C1873" s="31" t="s">
        <v>1247</v>
      </c>
      <c r="D1873" s="31" t="s">
        <v>1248</v>
      </c>
      <c r="E1873" s="31" t="s">
        <v>7397</v>
      </c>
      <c r="F1873" s="31" t="s">
        <v>31</v>
      </c>
      <c r="G1873" s="31">
        <v>112</v>
      </c>
      <c r="H1873" s="31">
        <v>10</v>
      </c>
      <c r="I1873" s="31">
        <v>40</v>
      </c>
      <c r="J1873" s="31" t="s">
        <v>7398</v>
      </c>
      <c r="K1873" s="31" t="s">
        <v>123</v>
      </c>
      <c r="L1873" s="31" t="s">
        <v>56</v>
      </c>
      <c r="M1873" s="31">
        <v>128</v>
      </c>
      <c r="N1873" s="31">
        <v>2015</v>
      </c>
      <c r="O1873" s="31">
        <v>68</v>
      </c>
      <c r="P1873" s="31"/>
      <c r="Q1873" s="31"/>
      <c r="R1873" s="33"/>
      <c r="S1873" s="34" t="str">
        <f>HYPERLINK("http://www.cnpol.ru/covers/16159.jpg","фото на сайте")</f>
        <v>фото на сайте</v>
      </c>
    </row>
    <row r="1874" spans="1:19" ht="50.1" customHeight="1">
      <c r="A1874" s="31"/>
      <c r="B1874" s="32" t="s">
        <v>7399</v>
      </c>
      <c r="C1874" s="31" t="s">
        <v>546</v>
      </c>
      <c r="D1874" s="31" t="s">
        <v>814</v>
      </c>
      <c r="E1874" s="31" t="s">
        <v>7400</v>
      </c>
      <c r="F1874" s="31">
        <v>237</v>
      </c>
      <c r="G1874" s="31">
        <v>93</v>
      </c>
      <c r="H1874" s="31">
        <v>10</v>
      </c>
      <c r="I1874" s="31">
        <v>30</v>
      </c>
      <c r="J1874" s="31" t="s">
        <v>7401</v>
      </c>
      <c r="K1874" s="31" t="s">
        <v>123</v>
      </c>
      <c r="L1874" s="31" t="s">
        <v>56</v>
      </c>
      <c r="M1874" s="31">
        <v>160</v>
      </c>
      <c r="N1874" s="31">
        <v>2017</v>
      </c>
      <c r="O1874" s="31">
        <v>76</v>
      </c>
      <c r="P1874" s="31"/>
      <c r="Q1874" s="31"/>
      <c r="R1874" s="33"/>
      <c r="S1874" s="34" t="str">
        <f>HYPERLINK("http://www.cnpol.ru/covers/17692.jpg","фото на сайте")</f>
        <v>фото на сайте</v>
      </c>
    </row>
    <row r="1875" spans="1:19" ht="50.1" customHeight="1">
      <c r="A1875" s="31"/>
      <c r="B1875" s="32" t="s">
        <v>7402</v>
      </c>
      <c r="C1875" s="31" t="s">
        <v>423</v>
      </c>
      <c r="D1875" s="31" t="s">
        <v>7403</v>
      </c>
      <c r="E1875" s="31" t="s">
        <v>7404</v>
      </c>
      <c r="F1875" s="31" t="s">
        <v>31</v>
      </c>
      <c r="G1875" s="31">
        <v>154</v>
      </c>
      <c r="H1875" s="31">
        <v>10</v>
      </c>
      <c r="I1875" s="31">
        <v>24</v>
      </c>
      <c r="J1875" s="31" t="s">
        <v>7405</v>
      </c>
      <c r="K1875" s="31" t="s">
        <v>55</v>
      </c>
      <c r="L1875" s="31" t="s">
        <v>56</v>
      </c>
      <c r="M1875" s="31">
        <v>319</v>
      </c>
      <c r="N1875" s="31">
        <v>2008</v>
      </c>
      <c r="O1875" s="31">
        <v>138</v>
      </c>
      <c r="P1875" s="31"/>
      <c r="Q1875" s="31"/>
      <c r="R1875" s="33"/>
      <c r="S1875" s="34" t="str">
        <f>HYPERLINK("http://www.cnpol.ru/covers/10709.jpg","фото на сайте")</f>
        <v>фото на сайте</v>
      </c>
    </row>
    <row r="1876" spans="1:19" ht="50.1" customHeight="1">
      <c r="A1876" s="31"/>
      <c r="B1876" s="32" t="s">
        <v>7406</v>
      </c>
      <c r="C1876" s="31" t="s">
        <v>5168</v>
      </c>
      <c r="D1876" s="31" t="s">
        <v>5169</v>
      </c>
      <c r="E1876" s="31" t="s">
        <v>7407</v>
      </c>
      <c r="F1876" s="31" t="s">
        <v>31</v>
      </c>
      <c r="G1876" s="31">
        <v>258</v>
      </c>
      <c r="H1876" s="31">
        <v>10</v>
      </c>
      <c r="I1876" s="31">
        <v>20</v>
      </c>
      <c r="J1876" s="31" t="s">
        <v>7408</v>
      </c>
      <c r="K1876" s="31" t="s">
        <v>130</v>
      </c>
      <c r="L1876" s="31" t="s">
        <v>56</v>
      </c>
      <c r="M1876" s="31">
        <v>192</v>
      </c>
      <c r="N1876" s="31">
        <v>2023</v>
      </c>
      <c r="O1876" s="31">
        <v>116</v>
      </c>
      <c r="P1876" s="31"/>
      <c r="Q1876" s="31"/>
      <c r="R1876" s="33" t="s">
        <v>7409</v>
      </c>
      <c r="S1876" s="34" t="str">
        <f>HYPERLINK("http://www.cnpol.ru/covers/20527.jpg","фото на сайте")</f>
        <v>фото на сайте</v>
      </c>
    </row>
    <row r="1877" spans="1:19" ht="50.1" customHeight="1">
      <c r="A1877" s="31" t="s">
        <v>35</v>
      </c>
      <c r="B1877" s="32" t="s">
        <v>7410</v>
      </c>
      <c r="C1877" s="31" t="s">
        <v>2124</v>
      </c>
      <c r="D1877" s="31" t="s">
        <v>2125</v>
      </c>
      <c r="E1877" s="31" t="s">
        <v>7411</v>
      </c>
      <c r="F1877" s="31" t="s">
        <v>31</v>
      </c>
      <c r="G1877" s="31">
        <v>366</v>
      </c>
      <c r="H1877" s="31">
        <v>10</v>
      </c>
      <c r="I1877" s="31">
        <v>5</v>
      </c>
      <c r="J1877" s="31" t="s">
        <v>7412</v>
      </c>
      <c r="K1877" s="31" t="s">
        <v>123</v>
      </c>
      <c r="L1877" s="31" t="s">
        <v>56</v>
      </c>
      <c r="M1877" s="31">
        <v>602</v>
      </c>
      <c r="N1877" s="31">
        <v>2024</v>
      </c>
      <c r="O1877" s="31">
        <v>274</v>
      </c>
      <c r="P1877" s="31"/>
      <c r="Q1877" s="31"/>
      <c r="R1877" s="33" t="s">
        <v>7413</v>
      </c>
      <c r="S1877" s="34" t="str">
        <f>HYPERLINK("http://www.cnpol.ru/covers/21244.jpg","фото на сайте")</f>
        <v>фото на сайте</v>
      </c>
    </row>
    <row r="1878" spans="1:19" ht="50.1" customHeight="1">
      <c r="A1878" s="31"/>
      <c r="B1878" s="32" t="s">
        <v>7414</v>
      </c>
      <c r="C1878" s="31" t="s">
        <v>683</v>
      </c>
      <c r="D1878" s="31" t="s">
        <v>684</v>
      </c>
      <c r="E1878" s="31" t="s">
        <v>7415</v>
      </c>
      <c r="F1878" s="31" t="s">
        <v>31</v>
      </c>
      <c r="G1878" s="31">
        <v>325</v>
      </c>
      <c r="H1878" s="31">
        <v>10</v>
      </c>
      <c r="I1878" s="31">
        <v>16</v>
      </c>
      <c r="J1878" s="31" t="s">
        <v>7416</v>
      </c>
      <c r="K1878" s="31" t="s">
        <v>158</v>
      </c>
      <c r="L1878" s="31" t="s">
        <v>34</v>
      </c>
      <c r="M1878" s="31">
        <v>270</v>
      </c>
      <c r="N1878" s="31">
        <v>2007</v>
      </c>
      <c r="O1878" s="31">
        <v>242</v>
      </c>
      <c r="P1878" s="31"/>
      <c r="Q1878" s="31"/>
      <c r="R1878" s="33"/>
      <c r="S1878" s="34" t="str">
        <f>HYPERLINK("http://www.cnpol.ru/covers/6404.jpg","фото на сайте")</f>
        <v>фото на сайте</v>
      </c>
    </row>
    <row r="1879" spans="1:19" ht="50.1" customHeight="1">
      <c r="A1879" s="31"/>
      <c r="B1879" s="32" t="s">
        <v>7417</v>
      </c>
      <c r="C1879" s="31" t="s">
        <v>7418</v>
      </c>
      <c r="D1879" s="31" t="s">
        <v>386</v>
      </c>
      <c r="E1879" s="31" t="s">
        <v>7419</v>
      </c>
      <c r="F1879" s="31">
        <v>10</v>
      </c>
      <c r="G1879" s="35">
        <v>1819</v>
      </c>
      <c r="H1879" s="31">
        <v>10</v>
      </c>
      <c r="I1879" s="31">
        <v>4</v>
      </c>
      <c r="J1879" s="31" t="s">
        <v>7420</v>
      </c>
      <c r="K1879" s="31" t="s">
        <v>41</v>
      </c>
      <c r="L1879" s="31" t="s">
        <v>34</v>
      </c>
      <c r="M1879" s="31">
        <v>1246</v>
      </c>
      <c r="N1879" s="31">
        <v>2014</v>
      </c>
      <c r="O1879" s="31">
        <v>1252</v>
      </c>
      <c r="P1879" s="31"/>
      <c r="Q1879" s="31"/>
      <c r="R1879" s="33"/>
      <c r="S1879" s="34" t="str">
        <f>HYPERLINK("http://www.cnpol.ru/covers/14991.jpg","фото на сайте")</f>
        <v>фото на сайте</v>
      </c>
    </row>
    <row r="1880" spans="1:19" ht="50.1" customHeight="1">
      <c r="A1880" s="31" t="s">
        <v>35</v>
      </c>
      <c r="B1880" s="32" t="s">
        <v>7421</v>
      </c>
      <c r="C1880" s="31" t="s">
        <v>2631</v>
      </c>
      <c r="D1880" s="31" t="s">
        <v>7422</v>
      </c>
      <c r="E1880" s="31" t="s">
        <v>7423</v>
      </c>
      <c r="F1880" s="31" t="s">
        <v>31</v>
      </c>
      <c r="G1880" s="31">
        <v>644</v>
      </c>
      <c r="H1880" s="31">
        <v>10</v>
      </c>
      <c r="I1880" s="31">
        <v>20</v>
      </c>
      <c r="J1880" s="31" t="s">
        <v>7424</v>
      </c>
      <c r="K1880" s="31" t="s">
        <v>33</v>
      </c>
      <c r="L1880" s="31" t="s">
        <v>34</v>
      </c>
      <c r="M1880" s="31">
        <v>255</v>
      </c>
      <c r="N1880" s="31">
        <v>2025</v>
      </c>
      <c r="O1880" s="31">
        <v>304</v>
      </c>
      <c r="P1880" s="31"/>
      <c r="Q1880" s="31"/>
      <c r="R1880" s="33" t="s">
        <v>7425</v>
      </c>
      <c r="S1880" s="34" t="str">
        <f>HYPERLINK("http://www.cnpol.ru/covers/21715.jpg","фото на сайте")</f>
        <v>фото на сайте</v>
      </c>
    </row>
    <row r="1881" spans="1:19" ht="50.1" customHeight="1">
      <c r="A1881" s="31"/>
      <c r="B1881" s="32" t="s">
        <v>7426</v>
      </c>
      <c r="C1881" s="31" t="s">
        <v>45</v>
      </c>
      <c r="D1881" s="31" t="s">
        <v>5151</v>
      </c>
      <c r="E1881" s="31" t="s">
        <v>7427</v>
      </c>
      <c r="F1881" s="31" t="s">
        <v>31</v>
      </c>
      <c r="G1881" s="35">
        <v>1308</v>
      </c>
      <c r="H1881" s="31">
        <v>10</v>
      </c>
      <c r="I1881" s="31">
        <v>8</v>
      </c>
      <c r="J1881" s="31" t="s">
        <v>7428</v>
      </c>
      <c r="K1881" s="31" t="s">
        <v>33</v>
      </c>
      <c r="L1881" s="31" t="s">
        <v>34</v>
      </c>
      <c r="M1881" s="31">
        <v>560</v>
      </c>
      <c r="N1881" s="31">
        <v>2021</v>
      </c>
      <c r="O1881" s="31">
        <v>456</v>
      </c>
      <c r="P1881" s="31"/>
      <c r="Q1881" s="31"/>
      <c r="R1881" s="33"/>
      <c r="S1881" s="34" t="str">
        <f>HYPERLINK("http://www.cnpol.ru/covers/19820.jpg","фото на сайте")</f>
        <v>фото на сайте</v>
      </c>
    </row>
    <row r="1882" spans="1:19" ht="50.1" customHeight="1">
      <c r="A1882" s="31"/>
      <c r="B1882" s="32" t="s">
        <v>7429</v>
      </c>
      <c r="C1882" s="31" t="s">
        <v>423</v>
      </c>
      <c r="D1882" s="31" t="s">
        <v>7430</v>
      </c>
      <c r="E1882" s="31" t="s">
        <v>7431</v>
      </c>
      <c r="F1882" s="31" t="s">
        <v>31</v>
      </c>
      <c r="G1882" s="31">
        <v>154</v>
      </c>
      <c r="H1882" s="31">
        <v>10</v>
      </c>
      <c r="I1882" s="31">
        <v>28</v>
      </c>
      <c r="J1882" s="31" t="s">
        <v>7432</v>
      </c>
      <c r="K1882" s="31" t="s">
        <v>55</v>
      </c>
      <c r="L1882" s="31" t="s">
        <v>56</v>
      </c>
      <c r="M1882" s="31">
        <v>254</v>
      </c>
      <c r="N1882" s="31">
        <v>2005</v>
      </c>
      <c r="O1882" s="31">
        <v>110</v>
      </c>
      <c r="P1882" s="31"/>
      <c r="Q1882" s="31"/>
      <c r="R1882" s="33"/>
      <c r="S1882" s="34" t="str">
        <f>HYPERLINK("http://www.cnpol.ru/covers/5767.jpg","фото на сайте")</f>
        <v>фото на сайте</v>
      </c>
    </row>
    <row r="1883" spans="1:19" ht="50.1" customHeight="1">
      <c r="A1883" s="31"/>
      <c r="B1883" s="32" t="s">
        <v>7433</v>
      </c>
      <c r="C1883" s="31" t="s">
        <v>390</v>
      </c>
      <c r="D1883" s="31" t="s">
        <v>3986</v>
      </c>
      <c r="E1883" s="31" t="s">
        <v>7434</v>
      </c>
      <c r="F1883" s="31">
        <v>945</v>
      </c>
      <c r="G1883" s="31">
        <v>86</v>
      </c>
      <c r="H1883" s="31">
        <v>10</v>
      </c>
      <c r="I1883" s="31">
        <v>30</v>
      </c>
      <c r="J1883" s="31" t="s">
        <v>7435</v>
      </c>
      <c r="K1883" s="31" t="s">
        <v>123</v>
      </c>
      <c r="L1883" s="31" t="s">
        <v>56</v>
      </c>
      <c r="M1883" s="31">
        <v>160</v>
      </c>
      <c r="N1883" s="31">
        <v>2019</v>
      </c>
      <c r="O1883" s="31">
        <v>76</v>
      </c>
      <c r="P1883" s="31"/>
      <c r="Q1883" s="31"/>
      <c r="R1883" s="33"/>
      <c r="S1883" s="34" t="str">
        <f>HYPERLINK("http://www.cnpol.ru/covers/18962.jpg","фото на сайте")</f>
        <v>фото на сайте</v>
      </c>
    </row>
    <row r="1884" spans="1:19" ht="50.1" customHeight="1">
      <c r="A1884" s="31"/>
      <c r="B1884" s="32" t="s">
        <v>7436</v>
      </c>
      <c r="C1884" s="31" t="s">
        <v>390</v>
      </c>
      <c r="D1884" s="31" t="s">
        <v>1564</v>
      </c>
      <c r="E1884" s="31" t="s">
        <v>7437</v>
      </c>
      <c r="F1884" s="31">
        <v>464</v>
      </c>
      <c r="G1884" s="31">
        <v>86</v>
      </c>
      <c r="H1884" s="31">
        <v>10</v>
      </c>
      <c r="I1884" s="31">
        <v>30</v>
      </c>
      <c r="J1884" s="31" t="s">
        <v>7438</v>
      </c>
      <c r="K1884" s="31" t="s">
        <v>123</v>
      </c>
      <c r="L1884" s="31" t="s">
        <v>56</v>
      </c>
      <c r="M1884" s="31">
        <v>158</v>
      </c>
      <c r="N1884" s="31">
        <v>2014</v>
      </c>
      <c r="O1884" s="31">
        <v>74</v>
      </c>
      <c r="P1884" s="31"/>
      <c r="Q1884" s="31"/>
      <c r="R1884" s="33"/>
      <c r="S1884" s="34" t="str">
        <f>HYPERLINK("http://www.cnpol.ru/covers/15593.jpg","фото на сайте")</f>
        <v>фото на сайте</v>
      </c>
    </row>
    <row r="1885" spans="1:19" ht="50.1" customHeight="1">
      <c r="A1885" s="31"/>
      <c r="B1885" s="32" t="s">
        <v>7439</v>
      </c>
      <c r="C1885" s="31" t="s">
        <v>7440</v>
      </c>
      <c r="D1885" s="31" t="s">
        <v>7441</v>
      </c>
      <c r="E1885" s="31" t="s">
        <v>7442</v>
      </c>
      <c r="F1885" s="31" t="s">
        <v>31</v>
      </c>
      <c r="G1885" s="31">
        <v>193</v>
      </c>
      <c r="H1885" s="31">
        <v>10</v>
      </c>
      <c r="I1885" s="31">
        <v>14</v>
      </c>
      <c r="J1885" s="31" t="s">
        <v>7443</v>
      </c>
      <c r="K1885" s="31" t="s">
        <v>739</v>
      </c>
      <c r="L1885" s="31" t="s">
        <v>34</v>
      </c>
      <c r="M1885" s="31">
        <v>270</v>
      </c>
      <c r="N1885" s="31">
        <v>2003</v>
      </c>
      <c r="O1885" s="31">
        <v>184</v>
      </c>
      <c r="P1885" s="31"/>
      <c r="Q1885" s="31"/>
      <c r="R1885" s="33"/>
      <c r="S1885" s="34" t="str">
        <f>HYPERLINK("http://www.cnpol.ru/covers/3856.jpg","фото на сайте")</f>
        <v>фото на сайте</v>
      </c>
    </row>
    <row r="1886" spans="1:19" ht="50.1" customHeight="1">
      <c r="A1886" s="31" t="s">
        <v>43</v>
      </c>
      <c r="B1886" s="32" t="s">
        <v>7444</v>
      </c>
      <c r="C1886" s="31" t="s">
        <v>37</v>
      </c>
      <c r="D1886" s="31" t="s">
        <v>7445</v>
      </c>
      <c r="E1886" s="31" t="s">
        <v>7446</v>
      </c>
      <c r="F1886" s="31" t="s">
        <v>31</v>
      </c>
      <c r="G1886" s="31">
        <v>966</v>
      </c>
      <c r="H1886" s="31">
        <v>10</v>
      </c>
      <c r="I1886" s="31">
        <v>5</v>
      </c>
      <c r="J1886" s="31" t="s">
        <v>7447</v>
      </c>
      <c r="K1886" s="31" t="s">
        <v>33</v>
      </c>
      <c r="L1886" s="31" t="s">
        <v>34</v>
      </c>
      <c r="M1886" s="31">
        <v>351</v>
      </c>
      <c r="N1886" s="31">
        <v>2023</v>
      </c>
      <c r="O1886" s="31">
        <v>310</v>
      </c>
      <c r="P1886" s="31"/>
      <c r="Q1886" s="31"/>
      <c r="R1886" s="33" t="s">
        <v>7448</v>
      </c>
      <c r="S1886" s="34" t="str">
        <f>HYPERLINK("http://www.cnpol.ru/covers/21687.jpg","фото на сайте")</f>
        <v>фото на сайте</v>
      </c>
    </row>
    <row r="1887" spans="1:19" ht="50.1" customHeight="1">
      <c r="A1887" s="31"/>
      <c r="B1887" s="32" t="s">
        <v>7449</v>
      </c>
      <c r="C1887" s="31" t="s">
        <v>479</v>
      </c>
      <c r="D1887" s="31" t="s">
        <v>2408</v>
      </c>
      <c r="E1887" s="31" t="s">
        <v>7450</v>
      </c>
      <c r="F1887" s="31" t="s">
        <v>31</v>
      </c>
      <c r="G1887" s="31">
        <v>611</v>
      </c>
      <c r="H1887" s="31">
        <v>10</v>
      </c>
      <c r="I1887" s="31">
        <v>10</v>
      </c>
      <c r="J1887" s="31" t="s">
        <v>7451</v>
      </c>
      <c r="K1887" s="31" t="s">
        <v>33</v>
      </c>
      <c r="L1887" s="31" t="s">
        <v>34</v>
      </c>
      <c r="M1887" s="31">
        <v>384</v>
      </c>
      <c r="N1887" s="31">
        <v>2016</v>
      </c>
      <c r="O1887" s="31">
        <v>310</v>
      </c>
      <c r="P1887" s="31"/>
      <c r="Q1887" s="31"/>
      <c r="R1887" s="33"/>
      <c r="S1887" s="34" t="str">
        <f>HYPERLINK("http://www.cnpol.ru/covers/17184.jpg","фото на сайте")</f>
        <v>фото на сайте</v>
      </c>
    </row>
    <row r="1888" spans="1:19" ht="50.1" customHeight="1">
      <c r="A1888" s="31"/>
      <c r="B1888" s="32" t="s">
        <v>7452</v>
      </c>
      <c r="C1888" s="31" t="s">
        <v>413</v>
      </c>
      <c r="D1888" s="31" t="s">
        <v>1754</v>
      </c>
      <c r="E1888" s="31" t="s">
        <v>7453</v>
      </c>
      <c r="F1888" s="31">
        <v>39</v>
      </c>
      <c r="G1888" s="31">
        <v>117</v>
      </c>
      <c r="H1888" s="31">
        <v>10</v>
      </c>
      <c r="I1888" s="31">
        <v>36</v>
      </c>
      <c r="J1888" s="31" t="s">
        <v>7454</v>
      </c>
      <c r="K1888" s="31" t="s">
        <v>123</v>
      </c>
      <c r="L1888" s="31" t="s">
        <v>56</v>
      </c>
      <c r="M1888" s="31">
        <v>190</v>
      </c>
      <c r="N1888" s="31">
        <v>2015</v>
      </c>
      <c r="O1888" s="31">
        <v>90</v>
      </c>
      <c r="P1888" s="31"/>
      <c r="Q1888" s="31"/>
      <c r="R1888" s="33"/>
      <c r="S1888" s="34" t="str">
        <f>HYPERLINK("http://www.cnpol.ru/covers/15711.jpg","фото на сайте")</f>
        <v>фото на сайте</v>
      </c>
    </row>
    <row r="1889" spans="1:19" ht="50.1" customHeight="1">
      <c r="A1889" s="31"/>
      <c r="B1889" s="32" t="s">
        <v>7455</v>
      </c>
      <c r="C1889" s="31" t="s">
        <v>400</v>
      </c>
      <c r="D1889" s="31" t="s">
        <v>2881</v>
      </c>
      <c r="E1889" s="31" t="s">
        <v>7456</v>
      </c>
      <c r="F1889" s="31" t="s">
        <v>31</v>
      </c>
      <c r="G1889" s="31">
        <v>503</v>
      </c>
      <c r="H1889" s="31">
        <v>10</v>
      </c>
      <c r="I1889" s="31">
        <v>14</v>
      </c>
      <c r="J1889" s="31" t="s">
        <v>7457</v>
      </c>
      <c r="K1889" s="31" t="s">
        <v>33</v>
      </c>
      <c r="L1889" s="31" t="s">
        <v>34</v>
      </c>
      <c r="M1889" s="31">
        <v>317</v>
      </c>
      <c r="N1889" s="31">
        <v>2014</v>
      </c>
      <c r="O1889" s="31">
        <v>278</v>
      </c>
      <c r="P1889" s="31"/>
      <c r="Q1889" s="31"/>
      <c r="R1889" s="33"/>
      <c r="S1889" s="34" t="str">
        <f>HYPERLINK("http://www.cnpol.ru/covers/15512.jpg","фото на сайте")</f>
        <v>фото на сайте</v>
      </c>
    </row>
    <row r="1890" spans="1:19" ht="50.1" customHeight="1">
      <c r="A1890" s="31" t="s">
        <v>43</v>
      </c>
      <c r="B1890" s="32" t="s">
        <v>7458</v>
      </c>
      <c r="C1890" s="31" t="s">
        <v>7459</v>
      </c>
      <c r="D1890" s="31" t="s">
        <v>7460</v>
      </c>
      <c r="E1890" s="31" t="s">
        <v>7461</v>
      </c>
      <c r="F1890" s="31" t="s">
        <v>31</v>
      </c>
      <c r="G1890" s="35">
        <v>1943</v>
      </c>
      <c r="H1890" s="31">
        <v>10</v>
      </c>
      <c r="I1890" s="31">
        <v>3</v>
      </c>
      <c r="J1890" s="31" t="s">
        <v>7462</v>
      </c>
      <c r="K1890" s="31" t="s">
        <v>33</v>
      </c>
      <c r="L1890" s="31" t="s">
        <v>34</v>
      </c>
      <c r="M1890" s="31">
        <v>991</v>
      </c>
      <c r="N1890" s="31">
        <v>2025</v>
      </c>
      <c r="O1890" s="31">
        <v>860</v>
      </c>
      <c r="P1890" s="31"/>
      <c r="Q1890" s="31"/>
      <c r="R1890" s="33" t="s">
        <v>7463</v>
      </c>
      <c r="S1890" s="34" t="str">
        <f>HYPERLINK("http://www.cnpol.ru/covers/21646.jpg","фото на сайте")</f>
        <v>фото на сайте</v>
      </c>
    </row>
    <row r="1891" spans="1:19" ht="50.1" customHeight="1">
      <c r="A1891" s="31"/>
      <c r="B1891" s="32" t="s">
        <v>7464</v>
      </c>
      <c r="C1891" s="31" t="s">
        <v>143</v>
      </c>
      <c r="D1891" s="31" t="s">
        <v>1041</v>
      </c>
      <c r="E1891" s="31" t="s">
        <v>7465</v>
      </c>
      <c r="F1891" s="31" t="s">
        <v>31</v>
      </c>
      <c r="G1891" s="31">
        <v>802</v>
      </c>
      <c r="H1891" s="31">
        <v>10</v>
      </c>
      <c r="I1891" s="31">
        <v>12</v>
      </c>
      <c r="J1891" s="31" t="s">
        <v>7466</v>
      </c>
      <c r="K1891" s="31" t="s">
        <v>33</v>
      </c>
      <c r="L1891" s="31" t="s">
        <v>34</v>
      </c>
      <c r="M1891" s="31">
        <v>319</v>
      </c>
      <c r="N1891" s="31">
        <v>2023</v>
      </c>
      <c r="O1891" s="31">
        <v>367</v>
      </c>
      <c r="P1891" s="31"/>
      <c r="Q1891" s="31"/>
      <c r="R1891" s="33" t="s">
        <v>7467</v>
      </c>
      <c r="S1891" s="34" t="str">
        <f>HYPERLINK("http://www.cnpol.ru/covers/20859.jpg","фото на сайте")</f>
        <v>фото на сайте</v>
      </c>
    </row>
    <row r="1892" spans="1:19" ht="50.1" customHeight="1">
      <c r="A1892" s="31"/>
      <c r="B1892" s="32" t="s">
        <v>7468</v>
      </c>
      <c r="C1892" s="31" t="s">
        <v>390</v>
      </c>
      <c r="D1892" s="31" t="s">
        <v>7469</v>
      </c>
      <c r="E1892" s="31" t="s">
        <v>7470</v>
      </c>
      <c r="F1892" s="31">
        <v>326</v>
      </c>
      <c r="G1892" s="31">
        <v>86</v>
      </c>
      <c r="H1892" s="31">
        <v>10</v>
      </c>
      <c r="I1892" s="31">
        <v>30</v>
      </c>
      <c r="J1892" s="31" t="s">
        <v>7471</v>
      </c>
      <c r="K1892" s="31" t="s">
        <v>123</v>
      </c>
      <c r="L1892" s="31" t="s">
        <v>56</v>
      </c>
      <c r="M1892" s="31">
        <v>158</v>
      </c>
      <c r="N1892" s="31">
        <v>2013</v>
      </c>
      <c r="O1892" s="31">
        <v>76</v>
      </c>
      <c r="P1892" s="31"/>
      <c r="Q1892" s="31"/>
      <c r="R1892" s="33"/>
      <c r="S1892" s="34" t="str">
        <f>HYPERLINK("http://www.cnpol.ru/covers/14375.jpg","фото на сайте")</f>
        <v>фото на сайте</v>
      </c>
    </row>
    <row r="1893" spans="1:19" ht="50.1" customHeight="1">
      <c r="A1893" s="31"/>
      <c r="B1893" s="32" t="s">
        <v>7472</v>
      </c>
      <c r="C1893" s="31" t="s">
        <v>1102</v>
      </c>
      <c r="D1893" s="31" t="s">
        <v>7473</v>
      </c>
      <c r="E1893" s="31" t="s">
        <v>7474</v>
      </c>
      <c r="F1893" s="31" t="s">
        <v>31</v>
      </c>
      <c r="G1893" s="31">
        <v>807</v>
      </c>
      <c r="H1893" s="31">
        <v>10</v>
      </c>
      <c r="I1893" s="31">
        <v>6</v>
      </c>
      <c r="J1893" s="31" t="s">
        <v>7475</v>
      </c>
      <c r="K1893" s="31" t="s">
        <v>33</v>
      </c>
      <c r="L1893" s="31" t="s">
        <v>34</v>
      </c>
      <c r="M1893" s="31">
        <v>699</v>
      </c>
      <c r="N1893" s="31">
        <v>2020</v>
      </c>
      <c r="O1893" s="31">
        <v>506</v>
      </c>
      <c r="P1893" s="31"/>
      <c r="Q1893" s="31"/>
      <c r="R1893" s="33"/>
      <c r="S1893" s="34" t="str">
        <f>HYPERLINK("http://www.cnpol.ru/covers/19189.jpg","фото на сайте")</f>
        <v>фото на сайте</v>
      </c>
    </row>
    <row r="1894" spans="1:19" ht="50.1" customHeight="1">
      <c r="A1894" s="31"/>
      <c r="B1894" s="32" t="s">
        <v>7476</v>
      </c>
      <c r="C1894" s="31" t="s">
        <v>3229</v>
      </c>
      <c r="D1894" s="31" t="s">
        <v>7477</v>
      </c>
      <c r="E1894" s="31" t="s">
        <v>7478</v>
      </c>
      <c r="F1894" s="31" t="s">
        <v>31</v>
      </c>
      <c r="G1894" s="31">
        <v>675</v>
      </c>
      <c r="H1894" s="31">
        <v>10</v>
      </c>
      <c r="I1894" s="31">
        <v>10</v>
      </c>
      <c r="J1894" s="31" t="s">
        <v>7479</v>
      </c>
      <c r="K1894" s="31" t="s">
        <v>33</v>
      </c>
      <c r="L1894" s="31" t="s">
        <v>34</v>
      </c>
      <c r="M1894" s="31">
        <v>480</v>
      </c>
      <c r="N1894" s="31">
        <v>2015</v>
      </c>
      <c r="O1894" s="31">
        <v>450</v>
      </c>
      <c r="P1894" s="31"/>
      <c r="Q1894" s="31"/>
      <c r="R1894" s="33"/>
      <c r="S1894" s="34" t="str">
        <f>HYPERLINK("http://www.cnpol.ru/covers/15825.jpg","фото на сайте")</f>
        <v>фото на сайте</v>
      </c>
    </row>
    <row r="1895" spans="1:19" ht="50.1" customHeight="1">
      <c r="A1895" s="31" t="s">
        <v>43</v>
      </c>
      <c r="B1895" s="32" t="s">
        <v>7480</v>
      </c>
      <c r="C1895" s="31" t="s">
        <v>37</v>
      </c>
      <c r="D1895" s="31" t="s">
        <v>7481</v>
      </c>
      <c r="E1895" s="31" t="s">
        <v>7482</v>
      </c>
      <c r="F1895" s="31" t="s">
        <v>31</v>
      </c>
      <c r="G1895" s="35">
        <v>1055</v>
      </c>
      <c r="H1895" s="31">
        <v>10</v>
      </c>
      <c r="I1895" s="31">
        <v>5</v>
      </c>
      <c r="J1895" s="31" t="s">
        <v>7483</v>
      </c>
      <c r="K1895" s="31" t="s">
        <v>33</v>
      </c>
      <c r="L1895" s="31" t="s">
        <v>34</v>
      </c>
      <c r="M1895" s="31">
        <v>391</v>
      </c>
      <c r="N1895" s="31">
        <v>2022</v>
      </c>
      <c r="O1895" s="31">
        <v>320</v>
      </c>
      <c r="P1895" s="31"/>
      <c r="Q1895" s="31"/>
      <c r="R1895" s="33" t="s">
        <v>7484</v>
      </c>
      <c r="S1895" s="34" t="str">
        <f>HYPERLINK("http://www.cnpol.ru/covers/21688.jpg","фото на сайте")</f>
        <v>фото на сайте</v>
      </c>
    </row>
    <row r="1896" spans="1:19" ht="50.1" customHeight="1">
      <c r="A1896" s="31"/>
      <c r="B1896" s="32" t="s">
        <v>7485</v>
      </c>
      <c r="C1896" s="31" t="s">
        <v>1003</v>
      </c>
      <c r="D1896" s="31" t="s">
        <v>1004</v>
      </c>
      <c r="E1896" s="31" t="s">
        <v>7486</v>
      </c>
      <c r="F1896" s="31" t="s">
        <v>31</v>
      </c>
      <c r="G1896" s="31">
        <v>122</v>
      </c>
      <c r="H1896" s="31">
        <v>10</v>
      </c>
      <c r="I1896" s="31">
        <v>20</v>
      </c>
      <c r="J1896" s="31" t="s">
        <v>7487</v>
      </c>
      <c r="K1896" s="31" t="s">
        <v>123</v>
      </c>
      <c r="L1896" s="31" t="s">
        <v>56</v>
      </c>
      <c r="M1896" s="31">
        <v>128</v>
      </c>
      <c r="N1896" s="31">
        <v>2017</v>
      </c>
      <c r="O1896" s="31">
        <v>60</v>
      </c>
      <c r="P1896" s="31"/>
      <c r="Q1896" s="31"/>
      <c r="R1896" s="33"/>
      <c r="S1896" s="34" t="str">
        <f>HYPERLINK("http://www.cnpol.ru/covers/17592.jpg","фото на сайте")</f>
        <v>фото на сайте</v>
      </c>
    </row>
    <row r="1897" spans="1:19" ht="50.1" customHeight="1">
      <c r="A1897" s="31" t="s">
        <v>43</v>
      </c>
      <c r="B1897" s="32" t="s">
        <v>7488</v>
      </c>
      <c r="C1897" s="31" t="s">
        <v>37</v>
      </c>
      <c r="D1897" s="31" t="s">
        <v>7489</v>
      </c>
      <c r="E1897" s="31" t="s">
        <v>7490</v>
      </c>
      <c r="F1897" s="31">
        <v>1</v>
      </c>
      <c r="G1897" s="35">
        <v>1588</v>
      </c>
      <c r="H1897" s="31">
        <v>10</v>
      </c>
      <c r="I1897" s="31">
        <v>6</v>
      </c>
      <c r="J1897" s="31" t="s">
        <v>7491</v>
      </c>
      <c r="K1897" s="31" t="s">
        <v>41</v>
      </c>
      <c r="L1897" s="31" t="s">
        <v>34</v>
      </c>
      <c r="M1897" s="31">
        <v>607</v>
      </c>
      <c r="N1897" s="31">
        <v>2024</v>
      </c>
      <c r="O1897" s="31">
        <v>697</v>
      </c>
      <c r="P1897" s="31"/>
      <c r="Q1897" s="31"/>
      <c r="R1897" s="33" t="s">
        <v>7492</v>
      </c>
      <c r="S1897" s="34" t="str">
        <f>HYPERLINK("http://www.cnpol.ru/covers/21191.jpg","фото на сайте")</f>
        <v>фото на сайте</v>
      </c>
    </row>
    <row r="1898" spans="1:19" ht="50.1" customHeight="1">
      <c r="A1898" s="31" t="s">
        <v>43</v>
      </c>
      <c r="B1898" s="32" t="s">
        <v>7493</v>
      </c>
      <c r="C1898" s="31" t="s">
        <v>37</v>
      </c>
      <c r="D1898" s="31" t="s">
        <v>7489</v>
      </c>
      <c r="E1898" s="31" t="s">
        <v>7494</v>
      </c>
      <c r="F1898" s="31">
        <v>2</v>
      </c>
      <c r="G1898" s="35">
        <v>1327</v>
      </c>
      <c r="H1898" s="31">
        <v>10</v>
      </c>
      <c r="I1898" s="31">
        <v>8</v>
      </c>
      <c r="J1898" s="31" t="s">
        <v>7495</v>
      </c>
      <c r="K1898" s="31" t="s">
        <v>41</v>
      </c>
      <c r="L1898" s="31" t="s">
        <v>34</v>
      </c>
      <c r="M1898" s="31">
        <v>479</v>
      </c>
      <c r="N1898" s="31">
        <v>2024</v>
      </c>
      <c r="O1898" s="31">
        <v>571</v>
      </c>
      <c r="P1898" s="31"/>
      <c r="Q1898" s="31"/>
      <c r="R1898" s="33" t="s">
        <v>7496</v>
      </c>
      <c r="S1898" s="34" t="str">
        <f>HYPERLINK("http://www.cnpol.ru/covers/21192.jpg","фото на сайте")</f>
        <v>фото на сайте</v>
      </c>
    </row>
    <row r="1899" spans="1:19" ht="50.1" customHeight="1">
      <c r="A1899" s="31" t="s">
        <v>43</v>
      </c>
      <c r="B1899" s="32" t="s">
        <v>7497</v>
      </c>
      <c r="C1899" s="31" t="s">
        <v>1206</v>
      </c>
      <c r="D1899" s="31" t="s">
        <v>1207</v>
      </c>
      <c r="E1899" s="31" t="s">
        <v>7498</v>
      </c>
      <c r="F1899" s="31" t="s">
        <v>31</v>
      </c>
      <c r="G1899" s="31">
        <v>672</v>
      </c>
      <c r="H1899" s="31">
        <v>10</v>
      </c>
      <c r="I1899" s="31">
        <v>10</v>
      </c>
      <c r="J1899" s="31" t="s">
        <v>7499</v>
      </c>
      <c r="K1899" s="31" t="s">
        <v>739</v>
      </c>
      <c r="L1899" s="31" t="s">
        <v>34</v>
      </c>
      <c r="M1899" s="31">
        <v>364</v>
      </c>
      <c r="N1899" s="31">
        <v>2025</v>
      </c>
      <c r="O1899" s="31">
        <v>180</v>
      </c>
      <c r="P1899" s="31"/>
      <c r="Q1899" s="31"/>
      <c r="R1899" s="33" t="s">
        <v>7500</v>
      </c>
      <c r="S1899" s="34" t="str">
        <f>HYPERLINK("http://www.cnpol.ru/covers/21541.jpg","фото на сайте")</f>
        <v>фото на сайте</v>
      </c>
    </row>
    <row r="1900" spans="1:19" ht="50.1" customHeight="1">
      <c r="A1900" s="31"/>
      <c r="B1900" s="32" t="s">
        <v>7501</v>
      </c>
      <c r="C1900" s="31" t="s">
        <v>400</v>
      </c>
      <c r="D1900" s="31" t="s">
        <v>7502</v>
      </c>
      <c r="E1900" s="31" t="s">
        <v>7503</v>
      </c>
      <c r="F1900" s="31" t="s">
        <v>31</v>
      </c>
      <c r="G1900" s="31">
        <v>503</v>
      </c>
      <c r="H1900" s="31">
        <v>10</v>
      </c>
      <c r="I1900" s="31">
        <v>14</v>
      </c>
      <c r="J1900" s="31" t="s">
        <v>7504</v>
      </c>
      <c r="K1900" s="31" t="s">
        <v>33</v>
      </c>
      <c r="L1900" s="31" t="s">
        <v>34</v>
      </c>
      <c r="M1900" s="31">
        <v>288</v>
      </c>
      <c r="N1900" s="31">
        <v>2017</v>
      </c>
      <c r="O1900" s="31">
        <v>232</v>
      </c>
      <c r="P1900" s="31"/>
      <c r="Q1900" s="31"/>
      <c r="R1900" s="33"/>
      <c r="S1900" s="34" t="str">
        <f>HYPERLINK("http://www.cnpol.ru/covers/17308.jpg","фото на сайте")</f>
        <v>фото на сайте</v>
      </c>
    </row>
    <row r="1901" spans="1:19" ht="50.1" customHeight="1">
      <c r="A1901" s="31"/>
      <c r="B1901" s="32" t="s">
        <v>7505</v>
      </c>
      <c r="C1901" s="31" t="s">
        <v>400</v>
      </c>
      <c r="D1901" s="31" t="s">
        <v>7506</v>
      </c>
      <c r="E1901" s="31" t="s">
        <v>7507</v>
      </c>
      <c r="F1901" s="31" t="s">
        <v>31</v>
      </c>
      <c r="G1901" s="31">
        <v>503</v>
      </c>
      <c r="H1901" s="31">
        <v>10</v>
      </c>
      <c r="I1901" s="31">
        <v>14</v>
      </c>
      <c r="J1901" s="31" t="s">
        <v>7508</v>
      </c>
      <c r="K1901" s="31" t="s">
        <v>33</v>
      </c>
      <c r="L1901" s="31" t="s">
        <v>34</v>
      </c>
      <c r="M1901" s="31">
        <v>320</v>
      </c>
      <c r="N1901" s="31">
        <v>2019</v>
      </c>
      <c r="O1901" s="31">
        <v>276</v>
      </c>
      <c r="P1901" s="31"/>
      <c r="Q1901" s="31"/>
      <c r="R1901" s="33"/>
      <c r="S1901" s="34" t="str">
        <f>HYPERLINK("http://www.cnpol.ru/covers/18449.jpg","фото на сайте")</f>
        <v>фото на сайте</v>
      </c>
    </row>
    <row r="1902" spans="1:19" ht="50.1" customHeight="1">
      <c r="A1902" s="31"/>
      <c r="B1902" s="32" t="s">
        <v>7509</v>
      </c>
      <c r="C1902" s="31" t="s">
        <v>400</v>
      </c>
      <c r="D1902" s="31" t="s">
        <v>7510</v>
      </c>
      <c r="E1902" s="31" t="s">
        <v>7511</v>
      </c>
      <c r="F1902" s="31" t="s">
        <v>31</v>
      </c>
      <c r="G1902" s="31">
        <v>503</v>
      </c>
      <c r="H1902" s="31">
        <v>10</v>
      </c>
      <c r="I1902" s="31">
        <v>14</v>
      </c>
      <c r="J1902" s="31" t="s">
        <v>7512</v>
      </c>
      <c r="K1902" s="31" t="s">
        <v>33</v>
      </c>
      <c r="L1902" s="31" t="s">
        <v>34</v>
      </c>
      <c r="M1902" s="31">
        <v>287</v>
      </c>
      <c r="N1902" s="31">
        <v>2021</v>
      </c>
      <c r="O1902" s="31">
        <v>250</v>
      </c>
      <c r="P1902" s="31"/>
      <c r="Q1902" s="31"/>
      <c r="R1902" s="33"/>
      <c r="S1902" s="34" t="str">
        <f>HYPERLINK("http://www.cnpol.ru/covers/19545.jpg","фото на сайте")</f>
        <v>фото на сайте</v>
      </c>
    </row>
    <row r="1903" spans="1:19" ht="50.1" customHeight="1">
      <c r="A1903" s="31"/>
      <c r="B1903" s="32" t="s">
        <v>7513</v>
      </c>
      <c r="C1903" s="31" t="s">
        <v>400</v>
      </c>
      <c r="D1903" s="31" t="s">
        <v>7514</v>
      </c>
      <c r="E1903" s="31" t="s">
        <v>7515</v>
      </c>
      <c r="F1903" s="31" t="s">
        <v>31</v>
      </c>
      <c r="G1903" s="31">
        <v>503</v>
      </c>
      <c r="H1903" s="31">
        <v>10</v>
      </c>
      <c r="I1903" s="31">
        <v>12</v>
      </c>
      <c r="J1903" s="31" t="s">
        <v>7516</v>
      </c>
      <c r="K1903" s="31" t="s">
        <v>33</v>
      </c>
      <c r="L1903" s="31" t="s">
        <v>34</v>
      </c>
      <c r="M1903" s="31">
        <v>352</v>
      </c>
      <c r="N1903" s="31">
        <v>2020</v>
      </c>
      <c r="O1903" s="31">
        <v>294</v>
      </c>
      <c r="P1903" s="31"/>
      <c r="Q1903" s="31"/>
      <c r="R1903" s="33"/>
      <c r="S1903" s="34" t="str">
        <f>HYPERLINK("http://www.cnpol.ru/covers/19433.jpg","фото на сайте")</f>
        <v>фото на сайте</v>
      </c>
    </row>
    <row r="1904" spans="1:19" ht="50.1" customHeight="1">
      <c r="A1904" s="31" t="s">
        <v>35</v>
      </c>
      <c r="B1904" s="32" t="s">
        <v>7517</v>
      </c>
      <c r="C1904" s="31" t="s">
        <v>143</v>
      </c>
      <c r="D1904" s="31" t="s">
        <v>980</v>
      </c>
      <c r="E1904" s="31" t="s">
        <v>7518</v>
      </c>
      <c r="F1904" s="31" t="s">
        <v>31</v>
      </c>
      <c r="G1904" s="31">
        <v>898</v>
      </c>
      <c r="H1904" s="31">
        <v>10</v>
      </c>
      <c r="I1904" s="31">
        <v>4</v>
      </c>
      <c r="J1904" s="31" t="s">
        <v>7519</v>
      </c>
      <c r="K1904" s="31" t="s">
        <v>33</v>
      </c>
      <c r="L1904" s="31" t="s">
        <v>34</v>
      </c>
      <c r="M1904" s="31">
        <v>334</v>
      </c>
      <c r="N1904" s="31">
        <v>2025</v>
      </c>
      <c r="O1904" s="31" t="s">
        <v>220</v>
      </c>
      <c r="P1904" s="31"/>
      <c r="Q1904" s="31"/>
      <c r="R1904" s="33" t="s">
        <v>7520</v>
      </c>
      <c r="S1904" s="34" t="str">
        <f>HYPERLINK("http://www.cnpol.ru/covers/21861.jpg","фото на сайте")</f>
        <v>фото на сайте</v>
      </c>
    </row>
    <row r="1905" spans="1:19" ht="50.1" customHeight="1">
      <c r="A1905" s="31"/>
      <c r="B1905" s="32" t="s">
        <v>7521</v>
      </c>
      <c r="C1905" s="31" t="s">
        <v>663</v>
      </c>
      <c r="D1905" s="31" t="s">
        <v>7522</v>
      </c>
      <c r="E1905" s="31" t="s">
        <v>7523</v>
      </c>
      <c r="F1905" s="31" t="s">
        <v>31</v>
      </c>
      <c r="G1905" s="31">
        <v>692</v>
      </c>
      <c r="H1905" s="31">
        <v>10</v>
      </c>
      <c r="I1905" s="31">
        <v>20</v>
      </c>
      <c r="J1905" s="31" t="s">
        <v>7524</v>
      </c>
      <c r="K1905" s="31" t="s">
        <v>33</v>
      </c>
      <c r="L1905" s="31" t="s">
        <v>34</v>
      </c>
      <c r="M1905" s="31">
        <v>191</v>
      </c>
      <c r="N1905" s="31">
        <v>2022</v>
      </c>
      <c r="O1905" s="31">
        <v>188</v>
      </c>
      <c r="P1905" s="31"/>
      <c r="Q1905" s="31"/>
      <c r="R1905" s="33" t="s">
        <v>7525</v>
      </c>
      <c r="S1905" s="34" t="str">
        <f>HYPERLINK("http://www.cnpol.ru/covers/20401.jpg","фото на сайте")</f>
        <v>фото на сайте</v>
      </c>
    </row>
    <row r="1906" spans="1:19" ht="50.1" customHeight="1">
      <c r="A1906" s="31"/>
      <c r="B1906" s="32" t="s">
        <v>7526</v>
      </c>
      <c r="C1906" s="31" t="s">
        <v>119</v>
      </c>
      <c r="D1906" s="31" t="s">
        <v>1573</v>
      </c>
      <c r="E1906" s="31" t="s">
        <v>7527</v>
      </c>
      <c r="F1906" s="31" t="s">
        <v>31</v>
      </c>
      <c r="G1906" s="31">
        <v>503</v>
      </c>
      <c r="H1906" s="31">
        <v>10</v>
      </c>
      <c r="I1906" s="31">
        <v>16</v>
      </c>
      <c r="J1906" s="31" t="s">
        <v>7528</v>
      </c>
      <c r="K1906" s="31" t="s">
        <v>194</v>
      </c>
      <c r="L1906" s="31" t="s">
        <v>34</v>
      </c>
      <c r="M1906" s="31">
        <v>160</v>
      </c>
      <c r="N1906" s="31">
        <v>2017</v>
      </c>
      <c r="O1906" s="31">
        <v>186</v>
      </c>
      <c r="P1906" s="31"/>
      <c r="Q1906" s="31"/>
      <c r="R1906" s="33"/>
      <c r="S1906" s="34" t="str">
        <f>HYPERLINK("http://www.cnpol.ru/covers/17500.jpg","фото на сайте")</f>
        <v>фото на сайте</v>
      </c>
    </row>
    <row r="1907" spans="1:19" ht="50.1" customHeight="1">
      <c r="A1907" s="31"/>
      <c r="B1907" s="32" t="s">
        <v>7529</v>
      </c>
      <c r="C1907" s="31" t="s">
        <v>45</v>
      </c>
      <c r="D1907" s="31" t="s">
        <v>7530</v>
      </c>
      <c r="E1907" s="31" t="s">
        <v>7531</v>
      </c>
      <c r="F1907" s="31" t="s">
        <v>31</v>
      </c>
      <c r="G1907" s="31">
        <v>746</v>
      </c>
      <c r="H1907" s="31">
        <v>10</v>
      </c>
      <c r="I1907" s="31">
        <v>14</v>
      </c>
      <c r="J1907" s="31" t="s">
        <v>7532</v>
      </c>
      <c r="K1907" s="31" t="s">
        <v>33</v>
      </c>
      <c r="L1907" s="31" t="s">
        <v>34</v>
      </c>
      <c r="M1907" s="31">
        <v>349</v>
      </c>
      <c r="N1907" s="31">
        <v>2011</v>
      </c>
      <c r="O1907" s="31">
        <v>404</v>
      </c>
      <c r="P1907" s="31"/>
      <c r="Q1907" s="31"/>
      <c r="R1907" s="33"/>
      <c r="S1907" s="34" t="str">
        <f>HYPERLINK("http://www.cnpol.ru/covers/12684.jpg","фото на сайте")</f>
        <v>фото на сайте</v>
      </c>
    </row>
    <row r="1908" spans="1:19" ht="50.1" customHeight="1">
      <c r="A1908" s="31"/>
      <c r="B1908" s="32" t="s">
        <v>7533</v>
      </c>
      <c r="C1908" s="31" t="s">
        <v>413</v>
      </c>
      <c r="D1908" s="31" t="s">
        <v>2285</v>
      </c>
      <c r="E1908" s="31" t="s">
        <v>7534</v>
      </c>
      <c r="F1908" s="31">
        <v>141</v>
      </c>
      <c r="G1908" s="31">
        <v>117</v>
      </c>
      <c r="H1908" s="31">
        <v>10</v>
      </c>
      <c r="I1908" s="31">
        <v>36</v>
      </c>
      <c r="J1908" s="31" t="s">
        <v>7535</v>
      </c>
      <c r="K1908" s="31" t="s">
        <v>123</v>
      </c>
      <c r="L1908" s="31" t="s">
        <v>56</v>
      </c>
      <c r="M1908" s="31">
        <v>192</v>
      </c>
      <c r="N1908" s="31">
        <v>2017</v>
      </c>
      <c r="O1908" s="31">
        <v>90</v>
      </c>
      <c r="P1908" s="31"/>
      <c r="Q1908" s="31"/>
      <c r="R1908" s="33"/>
      <c r="S1908" s="34" t="str">
        <f>HYPERLINK("http://www.cnpol.ru/covers/17431.jpg","фото на сайте")</f>
        <v>фото на сайте</v>
      </c>
    </row>
    <row r="1909" spans="1:19" ht="50.1" customHeight="1">
      <c r="A1909" s="31"/>
      <c r="B1909" s="32" t="s">
        <v>7536</v>
      </c>
      <c r="C1909" s="31" t="s">
        <v>1940</v>
      </c>
      <c r="D1909" s="31" t="s">
        <v>1935</v>
      </c>
      <c r="E1909" s="31" t="s">
        <v>7537</v>
      </c>
      <c r="F1909" s="31" t="s">
        <v>31</v>
      </c>
      <c r="G1909" s="31">
        <v>154</v>
      </c>
      <c r="H1909" s="31">
        <v>10</v>
      </c>
      <c r="I1909" s="31">
        <v>16</v>
      </c>
      <c r="J1909" s="31" t="s">
        <v>7538</v>
      </c>
      <c r="K1909" s="31" t="s">
        <v>55</v>
      </c>
      <c r="L1909" s="31" t="s">
        <v>56</v>
      </c>
      <c r="M1909" s="31">
        <v>351</v>
      </c>
      <c r="N1909" s="31">
        <v>2010</v>
      </c>
      <c r="O1909" s="31">
        <v>146</v>
      </c>
      <c r="P1909" s="31"/>
      <c r="Q1909" s="31"/>
      <c r="R1909" s="33"/>
      <c r="S1909" s="34" t="str">
        <f>HYPERLINK("http://www.cnpol.ru/covers/11904.jpg","фото на сайте")</f>
        <v>фото на сайте</v>
      </c>
    </row>
    <row r="1910" spans="1:19" ht="50.1" customHeight="1">
      <c r="A1910" s="31"/>
      <c r="B1910" s="32" t="s">
        <v>7539</v>
      </c>
      <c r="C1910" s="31" t="s">
        <v>495</v>
      </c>
      <c r="D1910" s="31" t="s">
        <v>7540</v>
      </c>
      <c r="E1910" s="31" t="s">
        <v>7541</v>
      </c>
      <c r="F1910" s="31" t="s">
        <v>31</v>
      </c>
      <c r="G1910" s="35">
        <v>3641</v>
      </c>
      <c r="H1910" s="31">
        <v>10</v>
      </c>
      <c r="I1910" s="31">
        <v>5</v>
      </c>
      <c r="J1910" s="31" t="s">
        <v>7542</v>
      </c>
      <c r="K1910" s="31" t="s">
        <v>319</v>
      </c>
      <c r="L1910" s="31" t="s">
        <v>34</v>
      </c>
      <c r="M1910" s="31">
        <v>312</v>
      </c>
      <c r="N1910" s="31">
        <v>2016</v>
      </c>
      <c r="O1910" s="31">
        <v>1272</v>
      </c>
      <c r="P1910" s="31"/>
      <c r="Q1910" s="31"/>
      <c r="R1910" s="33"/>
      <c r="S1910" s="34" t="str">
        <f>HYPERLINK("http://www.cnpol.ru/covers/16864.jpg","фото на сайте")</f>
        <v>фото на сайте</v>
      </c>
    </row>
    <row r="1911" spans="1:19" ht="50.1" customHeight="1">
      <c r="A1911" s="31"/>
      <c r="B1911" s="32" t="s">
        <v>7543</v>
      </c>
      <c r="C1911" s="31" t="s">
        <v>413</v>
      </c>
      <c r="D1911" s="31" t="s">
        <v>3099</v>
      </c>
      <c r="E1911" s="31" t="s">
        <v>7544</v>
      </c>
      <c r="F1911" s="31">
        <v>55</v>
      </c>
      <c r="G1911" s="31">
        <v>117</v>
      </c>
      <c r="H1911" s="31">
        <v>10</v>
      </c>
      <c r="I1911" s="31">
        <v>36</v>
      </c>
      <c r="J1911" s="31" t="s">
        <v>7545</v>
      </c>
      <c r="K1911" s="31" t="s">
        <v>123</v>
      </c>
      <c r="L1911" s="31" t="s">
        <v>56</v>
      </c>
      <c r="M1911" s="31">
        <v>190</v>
      </c>
      <c r="N1911" s="31">
        <v>2015</v>
      </c>
      <c r="O1911" s="31">
        <v>90</v>
      </c>
      <c r="P1911" s="31"/>
      <c r="Q1911" s="31"/>
      <c r="R1911" s="33"/>
      <c r="S1911" s="34" t="str">
        <f>HYPERLINK("http://www.cnpol.ru/covers/15988.jpg","фото на сайте")</f>
        <v>фото на сайте</v>
      </c>
    </row>
    <row r="1912" spans="1:19" ht="50.1" customHeight="1">
      <c r="A1912" s="31"/>
      <c r="B1912" s="32" t="s">
        <v>7546</v>
      </c>
      <c r="C1912" s="31" t="s">
        <v>390</v>
      </c>
      <c r="D1912" s="31" t="s">
        <v>1660</v>
      </c>
      <c r="E1912" s="31" t="s">
        <v>7547</v>
      </c>
      <c r="F1912" s="31">
        <v>560</v>
      </c>
      <c r="G1912" s="31">
        <v>86</v>
      </c>
      <c r="H1912" s="31">
        <v>10</v>
      </c>
      <c r="I1912" s="31">
        <v>30</v>
      </c>
      <c r="J1912" s="31" t="s">
        <v>7548</v>
      </c>
      <c r="K1912" s="31" t="s">
        <v>123</v>
      </c>
      <c r="L1912" s="31" t="s">
        <v>56</v>
      </c>
      <c r="M1912" s="31">
        <v>158</v>
      </c>
      <c r="N1912" s="31">
        <v>2015</v>
      </c>
      <c r="O1912" s="31">
        <v>76</v>
      </c>
      <c r="P1912" s="31"/>
      <c r="Q1912" s="31"/>
      <c r="R1912" s="33"/>
      <c r="S1912" s="34" t="str">
        <f>HYPERLINK("http://www.cnpol.ru/covers/16327.jpg","фото на сайте")</f>
        <v>фото на сайте</v>
      </c>
    </row>
    <row r="1913" spans="1:19" ht="50.1" customHeight="1">
      <c r="A1913" s="31"/>
      <c r="B1913" s="32" t="s">
        <v>7549</v>
      </c>
      <c r="C1913" s="31" t="s">
        <v>390</v>
      </c>
      <c r="D1913" s="31" t="s">
        <v>7550</v>
      </c>
      <c r="E1913" s="31" t="s">
        <v>7551</v>
      </c>
      <c r="F1913" s="31">
        <v>656</v>
      </c>
      <c r="G1913" s="31">
        <v>86</v>
      </c>
      <c r="H1913" s="31">
        <v>10</v>
      </c>
      <c r="I1913" s="31">
        <v>30</v>
      </c>
      <c r="J1913" s="31" t="s">
        <v>7552</v>
      </c>
      <c r="K1913" s="31" t="s">
        <v>123</v>
      </c>
      <c r="L1913" s="31" t="s">
        <v>56</v>
      </c>
      <c r="M1913" s="31">
        <v>160</v>
      </c>
      <c r="N1913" s="31">
        <v>2016</v>
      </c>
      <c r="O1913" s="31">
        <v>76</v>
      </c>
      <c r="P1913" s="31"/>
      <c r="Q1913" s="31"/>
      <c r="R1913" s="33"/>
      <c r="S1913" s="34" t="str">
        <f>HYPERLINK("http://www.cnpol.ru/covers/17039.jpg","фото на сайте")</f>
        <v>фото на сайте</v>
      </c>
    </row>
    <row r="1914" spans="1:19" ht="50.1" customHeight="1">
      <c r="A1914" s="31"/>
      <c r="B1914" s="32" t="s">
        <v>7553</v>
      </c>
      <c r="C1914" s="31" t="s">
        <v>413</v>
      </c>
      <c r="D1914" s="31" t="s">
        <v>1754</v>
      </c>
      <c r="E1914" s="31" t="s">
        <v>7554</v>
      </c>
      <c r="F1914" s="31">
        <v>169</v>
      </c>
      <c r="G1914" s="31">
        <v>117</v>
      </c>
      <c r="H1914" s="31">
        <v>10</v>
      </c>
      <c r="I1914" s="31">
        <v>30</v>
      </c>
      <c r="J1914" s="31" t="s">
        <v>7555</v>
      </c>
      <c r="K1914" s="31" t="s">
        <v>123</v>
      </c>
      <c r="L1914" s="31" t="s">
        <v>56</v>
      </c>
      <c r="M1914" s="31">
        <v>192</v>
      </c>
      <c r="N1914" s="31">
        <v>2019</v>
      </c>
      <c r="O1914" s="31">
        <v>90</v>
      </c>
      <c r="P1914" s="31"/>
      <c r="Q1914" s="31"/>
      <c r="R1914" s="33"/>
      <c r="S1914" s="34" t="str">
        <f>HYPERLINK("http://www.cnpol.ru/covers/18892.jpg","фото на сайте")</f>
        <v>фото на сайте</v>
      </c>
    </row>
    <row r="1915" spans="1:19" ht="50.1" customHeight="1">
      <c r="A1915" s="31"/>
      <c r="B1915" s="32" t="s">
        <v>7556</v>
      </c>
      <c r="C1915" s="31" t="s">
        <v>546</v>
      </c>
      <c r="D1915" s="31" t="s">
        <v>7377</v>
      </c>
      <c r="E1915" s="31" t="s">
        <v>7557</v>
      </c>
      <c r="F1915" s="31">
        <v>248</v>
      </c>
      <c r="G1915" s="31">
        <v>93</v>
      </c>
      <c r="H1915" s="31">
        <v>10</v>
      </c>
      <c r="I1915" s="31">
        <v>30</v>
      </c>
      <c r="J1915" s="31" t="s">
        <v>7558</v>
      </c>
      <c r="K1915" s="31" t="s">
        <v>123</v>
      </c>
      <c r="L1915" s="31" t="s">
        <v>56</v>
      </c>
      <c r="M1915" s="31">
        <v>160</v>
      </c>
      <c r="N1915" s="31">
        <v>2017</v>
      </c>
      <c r="O1915" s="31">
        <v>76</v>
      </c>
      <c r="P1915" s="31"/>
      <c r="Q1915" s="31"/>
      <c r="R1915" s="33"/>
      <c r="S1915" s="34" t="str">
        <f>HYPERLINK("http://www.cnpol.ru/covers/17845.jpg","фото на сайте")</f>
        <v>фото на сайте</v>
      </c>
    </row>
    <row r="1916" spans="1:19" ht="50.1" customHeight="1">
      <c r="A1916" s="31" t="s">
        <v>35</v>
      </c>
      <c r="B1916" s="32" t="s">
        <v>7559</v>
      </c>
      <c r="C1916" s="31" t="s">
        <v>2124</v>
      </c>
      <c r="D1916" s="31" t="s">
        <v>2125</v>
      </c>
      <c r="E1916" s="31" t="s">
        <v>7560</v>
      </c>
      <c r="F1916" s="31" t="s">
        <v>31</v>
      </c>
      <c r="G1916" s="31">
        <v>366</v>
      </c>
      <c r="H1916" s="31">
        <v>10</v>
      </c>
      <c r="I1916" s="31">
        <v>6</v>
      </c>
      <c r="J1916" s="31" t="s">
        <v>7561</v>
      </c>
      <c r="K1916" s="31" t="s">
        <v>123</v>
      </c>
      <c r="L1916" s="31" t="s">
        <v>56</v>
      </c>
      <c r="M1916" s="31">
        <v>477</v>
      </c>
      <c r="N1916" s="31">
        <v>2024</v>
      </c>
      <c r="O1916" s="31">
        <v>222</v>
      </c>
      <c r="P1916" s="31"/>
      <c r="Q1916" s="31"/>
      <c r="R1916" s="33" t="s">
        <v>7562</v>
      </c>
      <c r="S1916" s="34" t="str">
        <f>HYPERLINK("http://www.cnpol.ru/covers/21242.jpg","фото на сайте")</f>
        <v>фото на сайте</v>
      </c>
    </row>
    <row r="1917" spans="1:19" ht="50.1" customHeight="1">
      <c r="A1917" s="31"/>
      <c r="B1917" s="32" t="s">
        <v>7563</v>
      </c>
      <c r="C1917" s="31" t="s">
        <v>576</v>
      </c>
      <c r="D1917" s="31" t="s">
        <v>577</v>
      </c>
      <c r="E1917" s="31" t="s">
        <v>7564</v>
      </c>
      <c r="F1917" s="31" t="s">
        <v>31</v>
      </c>
      <c r="G1917" s="31">
        <v>226</v>
      </c>
      <c r="H1917" s="31">
        <v>10</v>
      </c>
      <c r="I1917" s="31">
        <v>24</v>
      </c>
      <c r="J1917" s="31" t="s">
        <v>7565</v>
      </c>
      <c r="K1917" s="31" t="s">
        <v>123</v>
      </c>
      <c r="L1917" s="31" t="s">
        <v>56</v>
      </c>
      <c r="M1917" s="31">
        <v>288</v>
      </c>
      <c r="N1917" s="31">
        <v>2019</v>
      </c>
      <c r="O1917" s="31">
        <v>134</v>
      </c>
      <c r="P1917" s="31"/>
      <c r="Q1917" s="31"/>
      <c r="R1917" s="33"/>
      <c r="S1917" s="34" t="str">
        <f>HYPERLINK("http://www.cnpol.ru/covers/18991.jpg","фото на сайте")</f>
        <v>фото на сайте</v>
      </c>
    </row>
    <row r="1918" spans="1:19" ht="50.1" customHeight="1">
      <c r="A1918" s="31"/>
      <c r="B1918" s="32" t="s">
        <v>7566</v>
      </c>
      <c r="C1918" s="31" t="s">
        <v>413</v>
      </c>
      <c r="D1918" s="31" t="s">
        <v>3170</v>
      </c>
      <c r="E1918" s="31" t="s">
        <v>7567</v>
      </c>
      <c r="F1918" s="31">
        <v>134</v>
      </c>
      <c r="G1918" s="31">
        <v>117</v>
      </c>
      <c r="H1918" s="31">
        <v>10</v>
      </c>
      <c r="I1918" s="31">
        <v>30</v>
      </c>
      <c r="J1918" s="31" t="s">
        <v>7568</v>
      </c>
      <c r="K1918" s="31" t="s">
        <v>123</v>
      </c>
      <c r="L1918" s="31" t="s">
        <v>56</v>
      </c>
      <c r="M1918" s="31">
        <v>192</v>
      </c>
      <c r="N1918" s="31">
        <v>2016</v>
      </c>
      <c r="O1918" s="31">
        <v>90</v>
      </c>
      <c r="P1918" s="31"/>
      <c r="Q1918" s="31"/>
      <c r="R1918" s="33"/>
      <c r="S1918" s="34" t="str">
        <f>HYPERLINK("http://www.cnpol.ru/covers/17203.jpg","фото на сайте")</f>
        <v>фото на сайте</v>
      </c>
    </row>
    <row r="1919" spans="1:19" ht="50.1" customHeight="1">
      <c r="A1919" s="31"/>
      <c r="B1919" s="32" t="s">
        <v>7569</v>
      </c>
      <c r="C1919" s="31" t="s">
        <v>37</v>
      </c>
      <c r="D1919" s="31" t="s">
        <v>7570</v>
      </c>
      <c r="E1919" s="31" t="s">
        <v>7571</v>
      </c>
      <c r="F1919" s="31" t="s">
        <v>31</v>
      </c>
      <c r="G1919" s="31">
        <v>611</v>
      </c>
      <c r="H1919" s="31">
        <v>10</v>
      </c>
      <c r="I1919" s="31">
        <v>8</v>
      </c>
      <c r="J1919" s="31" t="s">
        <v>7572</v>
      </c>
      <c r="K1919" s="31" t="s">
        <v>33</v>
      </c>
      <c r="L1919" s="31" t="s">
        <v>34</v>
      </c>
      <c r="M1919" s="31">
        <v>512</v>
      </c>
      <c r="N1919" s="31">
        <v>2019</v>
      </c>
      <c r="O1919" s="31">
        <v>402</v>
      </c>
      <c r="P1919" s="31"/>
      <c r="Q1919" s="31"/>
      <c r="R1919" s="33"/>
      <c r="S1919" s="34" t="str">
        <f>HYPERLINK("http://www.cnpol.ru/covers/18743.jpg","фото на сайте")</f>
        <v>фото на сайте</v>
      </c>
    </row>
    <row r="1920" spans="1:19" ht="50.1" customHeight="1">
      <c r="A1920" s="31" t="s">
        <v>43</v>
      </c>
      <c r="B1920" s="32" t="s">
        <v>7573</v>
      </c>
      <c r="C1920" s="31" t="s">
        <v>1016</v>
      </c>
      <c r="D1920" s="31" t="s">
        <v>7574</v>
      </c>
      <c r="E1920" s="31" t="s">
        <v>7575</v>
      </c>
      <c r="F1920" s="31" t="s">
        <v>31</v>
      </c>
      <c r="G1920" s="31">
        <v>832</v>
      </c>
      <c r="H1920" s="31">
        <v>10</v>
      </c>
      <c r="I1920" s="31">
        <v>10</v>
      </c>
      <c r="J1920" s="31" t="s">
        <v>7576</v>
      </c>
      <c r="K1920" s="31" t="s">
        <v>33</v>
      </c>
      <c r="L1920" s="31" t="s">
        <v>34</v>
      </c>
      <c r="M1920" s="31">
        <v>254</v>
      </c>
      <c r="N1920" s="31">
        <v>2025</v>
      </c>
      <c r="O1920" s="31" t="s">
        <v>220</v>
      </c>
      <c r="P1920" s="31"/>
      <c r="Q1920" s="31"/>
      <c r="R1920" s="33" t="s">
        <v>7577</v>
      </c>
      <c r="S1920" s="34" t="str">
        <f>HYPERLINK("http://www.cnpol.ru/covers/21879.jpg","фото на сайте")</f>
        <v>фото на сайте</v>
      </c>
    </row>
    <row r="1921" spans="1:19" ht="50.1" customHeight="1">
      <c r="A1921" s="31" t="s">
        <v>43</v>
      </c>
      <c r="B1921" s="32" t="s">
        <v>7578</v>
      </c>
      <c r="C1921" s="31" t="s">
        <v>37</v>
      </c>
      <c r="D1921" s="31" t="s">
        <v>1504</v>
      </c>
      <c r="E1921" s="31" t="s">
        <v>7579</v>
      </c>
      <c r="F1921" s="31" t="s">
        <v>31</v>
      </c>
      <c r="G1921" s="35">
        <v>1610</v>
      </c>
      <c r="H1921" s="31">
        <v>10</v>
      </c>
      <c r="I1921" s="31">
        <v>6</v>
      </c>
      <c r="J1921" s="31" t="s">
        <v>7580</v>
      </c>
      <c r="K1921" s="31" t="s">
        <v>41</v>
      </c>
      <c r="L1921" s="31" t="s">
        <v>34</v>
      </c>
      <c r="M1921" s="31">
        <v>687</v>
      </c>
      <c r="N1921" s="31">
        <v>2025</v>
      </c>
      <c r="O1921" s="31" t="s">
        <v>220</v>
      </c>
      <c r="P1921" s="31"/>
      <c r="Q1921" s="31"/>
      <c r="R1921" s="33" t="s">
        <v>7581</v>
      </c>
      <c r="S1921" s="34" t="str">
        <f>HYPERLINK("http://www.cnpol.ru/covers/21790.jpg","фото на сайте")</f>
        <v>фото на сайте</v>
      </c>
    </row>
    <row r="1922" spans="1:19" ht="50.1" customHeight="1">
      <c r="A1922" s="31"/>
      <c r="B1922" s="32" t="s">
        <v>7582</v>
      </c>
      <c r="C1922" s="31" t="s">
        <v>413</v>
      </c>
      <c r="D1922" s="31" t="s">
        <v>1435</v>
      </c>
      <c r="E1922" s="31" t="s">
        <v>7583</v>
      </c>
      <c r="F1922" s="31">
        <v>41</v>
      </c>
      <c r="G1922" s="31">
        <v>117</v>
      </c>
      <c r="H1922" s="31">
        <v>10</v>
      </c>
      <c r="I1922" s="31">
        <v>30</v>
      </c>
      <c r="J1922" s="31" t="s">
        <v>7584</v>
      </c>
      <c r="K1922" s="31" t="s">
        <v>123</v>
      </c>
      <c r="L1922" s="31" t="s">
        <v>56</v>
      </c>
      <c r="M1922" s="31">
        <v>190</v>
      </c>
      <c r="N1922" s="31">
        <v>2015</v>
      </c>
      <c r="O1922" s="31">
        <v>92</v>
      </c>
      <c r="P1922" s="31"/>
      <c r="Q1922" s="31"/>
      <c r="R1922" s="33"/>
      <c r="S1922" s="34" t="str">
        <f>HYPERLINK("http://www.cnpol.ru/covers/15782.jpg","фото на сайте")</f>
        <v>фото на сайте</v>
      </c>
    </row>
    <row r="1923" spans="1:19" ht="50.1" customHeight="1">
      <c r="A1923" s="31" t="s">
        <v>43</v>
      </c>
      <c r="B1923" s="32" t="s">
        <v>7585</v>
      </c>
      <c r="C1923" s="31" t="s">
        <v>3218</v>
      </c>
      <c r="D1923" s="31" t="s">
        <v>7586</v>
      </c>
      <c r="E1923" s="31" t="s">
        <v>7587</v>
      </c>
      <c r="F1923" s="31" t="s">
        <v>31</v>
      </c>
      <c r="G1923" s="35">
        <v>1332</v>
      </c>
      <c r="H1923" s="31">
        <v>10</v>
      </c>
      <c r="I1923" s="31">
        <v>8</v>
      </c>
      <c r="J1923" s="31" t="s">
        <v>7588</v>
      </c>
      <c r="K1923" s="31" t="s">
        <v>33</v>
      </c>
      <c r="L1923" s="31" t="s">
        <v>34</v>
      </c>
      <c r="M1923" s="31">
        <v>575</v>
      </c>
      <c r="N1923" s="31">
        <v>2024</v>
      </c>
      <c r="O1923" s="31">
        <v>587</v>
      </c>
      <c r="P1923" s="31"/>
      <c r="Q1923" s="31"/>
      <c r="R1923" s="33" t="s">
        <v>7589</v>
      </c>
      <c r="S1923" s="34" t="str">
        <f>HYPERLINK("http://www.cnpol.ru/covers/21112.jpg","фото на сайте")</f>
        <v>фото на сайте</v>
      </c>
    </row>
    <row r="1924" spans="1:19" ht="50.1" customHeight="1">
      <c r="A1924" s="31"/>
      <c r="B1924" s="32" t="s">
        <v>7590</v>
      </c>
      <c r="C1924" s="31" t="s">
        <v>37</v>
      </c>
      <c r="D1924" s="31" t="s">
        <v>2546</v>
      </c>
      <c r="E1924" s="31" t="s">
        <v>7591</v>
      </c>
      <c r="F1924" s="31" t="s">
        <v>31</v>
      </c>
      <c r="G1924" s="35">
        <v>1491</v>
      </c>
      <c r="H1924" s="31">
        <v>10</v>
      </c>
      <c r="I1924" s="31">
        <v>8</v>
      </c>
      <c r="J1924" s="31" t="s">
        <v>7592</v>
      </c>
      <c r="K1924" s="31" t="s">
        <v>41</v>
      </c>
      <c r="L1924" s="31" t="s">
        <v>34</v>
      </c>
      <c r="M1924" s="31">
        <v>543</v>
      </c>
      <c r="N1924" s="31">
        <v>2023</v>
      </c>
      <c r="O1924" s="31">
        <v>540</v>
      </c>
      <c r="P1924" s="31"/>
      <c r="Q1924" s="31"/>
      <c r="R1924" s="33" t="s">
        <v>7593</v>
      </c>
      <c r="S1924" s="34" t="str">
        <f>HYPERLINK("http://www.cnpol.ru/covers/20670.jpg","фото на сайте")</f>
        <v>фото на сайте</v>
      </c>
    </row>
    <row r="1925" spans="1:19" ht="50.1" customHeight="1">
      <c r="A1925" s="31"/>
      <c r="B1925" s="32" t="s">
        <v>7594</v>
      </c>
      <c r="C1925" s="31" t="s">
        <v>4834</v>
      </c>
      <c r="D1925" s="31" t="s">
        <v>7595</v>
      </c>
      <c r="E1925" s="31" t="s">
        <v>7596</v>
      </c>
      <c r="F1925" s="31" t="s">
        <v>31</v>
      </c>
      <c r="G1925" s="31">
        <v>290</v>
      </c>
      <c r="H1925" s="31">
        <v>10</v>
      </c>
      <c r="I1925" s="31">
        <v>24</v>
      </c>
      <c r="J1925" s="31" t="s">
        <v>7597</v>
      </c>
      <c r="K1925" s="31" t="s">
        <v>300</v>
      </c>
      <c r="L1925" s="31" t="s">
        <v>56</v>
      </c>
      <c r="M1925" s="31">
        <v>255</v>
      </c>
      <c r="N1925" s="31">
        <v>2023</v>
      </c>
      <c r="O1925" s="31">
        <v>250</v>
      </c>
      <c r="P1925" s="31"/>
      <c r="Q1925" s="31"/>
      <c r="R1925" s="33" t="s">
        <v>7598</v>
      </c>
      <c r="S1925" s="34" t="str">
        <f>HYPERLINK("http://www.cnpol.ru/covers/20625.jpg","фото на сайте")</f>
        <v>фото на сайте</v>
      </c>
    </row>
    <row r="1926" spans="1:19" ht="50.1" customHeight="1">
      <c r="A1926" s="31" t="s">
        <v>43</v>
      </c>
      <c r="B1926" s="32" t="s">
        <v>7599</v>
      </c>
      <c r="C1926" s="31" t="s">
        <v>4205</v>
      </c>
      <c r="D1926" s="31" t="s">
        <v>7600</v>
      </c>
      <c r="E1926" s="31" t="s">
        <v>7601</v>
      </c>
      <c r="F1926" s="31" t="s">
        <v>31</v>
      </c>
      <c r="G1926" s="35">
        <v>1076</v>
      </c>
      <c r="H1926" s="31">
        <v>10</v>
      </c>
      <c r="I1926" s="31">
        <v>10</v>
      </c>
      <c r="J1926" s="31" t="s">
        <v>7602</v>
      </c>
      <c r="K1926" s="31" t="s">
        <v>33</v>
      </c>
      <c r="L1926" s="31" t="s">
        <v>34</v>
      </c>
      <c r="M1926" s="31">
        <v>383</v>
      </c>
      <c r="N1926" s="31">
        <v>2024</v>
      </c>
      <c r="O1926" s="31">
        <v>441</v>
      </c>
      <c r="P1926" s="31"/>
      <c r="Q1926" s="31"/>
      <c r="R1926" s="33" t="s">
        <v>7603</v>
      </c>
      <c r="S1926" s="34" t="str">
        <f>HYPERLINK("http://www.cnpol.ru/covers/21343.jpg","фото на сайте")</f>
        <v>фото на сайте</v>
      </c>
    </row>
    <row r="1927" spans="1:19" ht="50.1" customHeight="1">
      <c r="A1927" s="31"/>
      <c r="B1927" s="32" t="s">
        <v>7604</v>
      </c>
      <c r="C1927" s="31" t="s">
        <v>390</v>
      </c>
      <c r="D1927" s="31" t="s">
        <v>1187</v>
      </c>
      <c r="E1927" s="31" t="s">
        <v>7605</v>
      </c>
      <c r="F1927" s="31">
        <v>700</v>
      </c>
      <c r="G1927" s="31">
        <v>86</v>
      </c>
      <c r="H1927" s="31">
        <v>10</v>
      </c>
      <c r="I1927" s="31">
        <v>30</v>
      </c>
      <c r="J1927" s="31" t="s">
        <v>7606</v>
      </c>
      <c r="K1927" s="31" t="s">
        <v>123</v>
      </c>
      <c r="L1927" s="31" t="s">
        <v>56</v>
      </c>
      <c r="M1927" s="31">
        <v>160</v>
      </c>
      <c r="N1927" s="31">
        <v>2017</v>
      </c>
      <c r="O1927" s="31">
        <v>76</v>
      </c>
      <c r="P1927" s="31"/>
      <c r="Q1927" s="31"/>
      <c r="R1927" s="33"/>
      <c r="S1927" s="34" t="str">
        <f>HYPERLINK("http://www.cnpol.ru/covers/17360.jpg","фото на сайте")</f>
        <v>фото на сайте</v>
      </c>
    </row>
    <row r="1928" spans="1:19" ht="50.1" customHeight="1">
      <c r="A1928" s="31"/>
      <c r="B1928" s="32" t="s">
        <v>7607</v>
      </c>
      <c r="C1928" s="31" t="s">
        <v>520</v>
      </c>
      <c r="D1928" s="31" t="s">
        <v>3091</v>
      </c>
      <c r="E1928" s="31" t="s">
        <v>7605</v>
      </c>
      <c r="F1928" s="31">
        <v>64</v>
      </c>
      <c r="G1928" s="31">
        <v>117</v>
      </c>
      <c r="H1928" s="31">
        <v>10</v>
      </c>
      <c r="I1928" s="31">
        <v>30</v>
      </c>
      <c r="J1928" s="31" t="s">
        <v>7608</v>
      </c>
      <c r="K1928" s="31" t="s">
        <v>123</v>
      </c>
      <c r="L1928" s="31" t="s">
        <v>56</v>
      </c>
      <c r="M1928" s="31">
        <v>192</v>
      </c>
      <c r="N1928" s="31">
        <v>2019</v>
      </c>
      <c r="O1928" s="31">
        <v>90</v>
      </c>
      <c r="P1928" s="31"/>
      <c r="Q1928" s="31"/>
      <c r="R1928" s="33"/>
      <c r="S1928" s="34" t="str">
        <f>HYPERLINK("http://www.cnpol.ru/covers/18553.jpg","фото на сайте")</f>
        <v>фото на сайте</v>
      </c>
    </row>
    <row r="1929" spans="1:19" ht="50.1" customHeight="1">
      <c r="A1929" s="31"/>
      <c r="B1929" s="32" t="s">
        <v>7609</v>
      </c>
      <c r="C1929" s="31" t="s">
        <v>7610</v>
      </c>
      <c r="D1929" s="31" t="s">
        <v>7611</v>
      </c>
      <c r="E1929" s="31" t="s">
        <v>7612</v>
      </c>
      <c r="F1929" s="31" t="s">
        <v>31</v>
      </c>
      <c r="G1929" s="31">
        <v>611</v>
      </c>
      <c r="H1929" s="31">
        <v>10</v>
      </c>
      <c r="I1929" s="31">
        <v>14</v>
      </c>
      <c r="J1929" s="31" t="s">
        <v>7613</v>
      </c>
      <c r="K1929" s="31" t="s">
        <v>41</v>
      </c>
      <c r="L1929" s="31" t="s">
        <v>34</v>
      </c>
      <c r="M1929" s="31">
        <v>319</v>
      </c>
      <c r="N1929" s="31">
        <v>2010</v>
      </c>
      <c r="O1929" s="31">
        <v>384</v>
      </c>
      <c r="P1929" s="31"/>
      <c r="Q1929" s="31"/>
      <c r="R1929" s="33"/>
      <c r="S1929" s="34" t="str">
        <f>HYPERLINK("http://www.cnpol.ru/covers/11674.jpg","фото на сайте")</f>
        <v>фото на сайте</v>
      </c>
    </row>
    <row r="1930" spans="1:19" ht="50.1" customHeight="1">
      <c r="A1930" s="31"/>
      <c r="B1930" s="32" t="s">
        <v>7614</v>
      </c>
      <c r="C1930" s="31" t="s">
        <v>3446</v>
      </c>
      <c r="D1930" s="31" t="s">
        <v>7615</v>
      </c>
      <c r="E1930" s="31" t="s">
        <v>7616</v>
      </c>
      <c r="F1930" s="31" t="s">
        <v>31</v>
      </c>
      <c r="G1930" s="31">
        <v>486</v>
      </c>
      <c r="H1930" s="31">
        <v>10</v>
      </c>
      <c r="I1930" s="31">
        <v>12</v>
      </c>
      <c r="J1930" s="31" t="s">
        <v>7617</v>
      </c>
      <c r="K1930" s="31" t="s">
        <v>33</v>
      </c>
      <c r="L1930" s="31" t="s">
        <v>34</v>
      </c>
      <c r="M1930" s="31">
        <v>384</v>
      </c>
      <c r="N1930" s="31">
        <v>2011</v>
      </c>
      <c r="O1930" s="31">
        <v>354</v>
      </c>
      <c r="P1930" s="31"/>
      <c r="Q1930" s="31"/>
      <c r="R1930" s="33"/>
      <c r="S1930" s="34" t="str">
        <f>HYPERLINK("http://www.cnpol.ru/covers/12921.jpg","фото на сайте")</f>
        <v>фото на сайте</v>
      </c>
    </row>
    <row r="1931" spans="1:19" ht="50.1" customHeight="1">
      <c r="A1931" s="31"/>
      <c r="B1931" s="32" t="s">
        <v>7618</v>
      </c>
      <c r="C1931" s="31" t="s">
        <v>1247</v>
      </c>
      <c r="D1931" s="31" t="s">
        <v>1248</v>
      </c>
      <c r="E1931" s="31" t="s">
        <v>7619</v>
      </c>
      <c r="F1931" s="31" t="s">
        <v>31</v>
      </c>
      <c r="G1931" s="31">
        <v>105</v>
      </c>
      <c r="H1931" s="31">
        <v>10</v>
      </c>
      <c r="I1931" s="31">
        <v>40</v>
      </c>
      <c r="J1931" s="31" t="s">
        <v>7620</v>
      </c>
      <c r="K1931" s="31" t="s">
        <v>123</v>
      </c>
      <c r="L1931" s="31" t="s">
        <v>56</v>
      </c>
      <c r="M1931" s="31">
        <v>125</v>
      </c>
      <c r="N1931" s="31">
        <v>2013</v>
      </c>
      <c r="O1931" s="31">
        <v>62</v>
      </c>
      <c r="P1931" s="31"/>
      <c r="Q1931" s="31"/>
      <c r="R1931" s="33"/>
      <c r="S1931" s="34" t="str">
        <f>HYPERLINK("http://www.cnpol.ru/covers/14471.jpg","фото на сайте")</f>
        <v>фото на сайте</v>
      </c>
    </row>
    <row r="1932" spans="1:19" ht="50.1" customHeight="1">
      <c r="A1932" s="31"/>
      <c r="B1932" s="32" t="s">
        <v>7621</v>
      </c>
      <c r="C1932" s="31" t="s">
        <v>1247</v>
      </c>
      <c r="D1932" s="31" t="s">
        <v>1248</v>
      </c>
      <c r="E1932" s="31" t="s">
        <v>7619</v>
      </c>
      <c r="F1932" s="31" t="s">
        <v>31</v>
      </c>
      <c r="G1932" s="31">
        <v>96</v>
      </c>
      <c r="H1932" s="31">
        <v>10</v>
      </c>
      <c r="I1932" s="31">
        <v>56</v>
      </c>
      <c r="J1932" s="31" t="s">
        <v>7620</v>
      </c>
      <c r="K1932" s="31" t="s">
        <v>123</v>
      </c>
      <c r="L1932" s="31" t="s">
        <v>56</v>
      </c>
      <c r="M1932" s="31">
        <v>125</v>
      </c>
      <c r="N1932" s="31">
        <v>2013</v>
      </c>
      <c r="O1932" s="31">
        <v>64</v>
      </c>
      <c r="P1932" s="31"/>
      <c r="Q1932" s="31"/>
      <c r="R1932" s="33"/>
      <c r="S1932" s="34" t="str">
        <f>HYPERLINK("http://www.cnpol.ru/covers/14545.jpg","фото на сайте")</f>
        <v>фото на сайте</v>
      </c>
    </row>
    <row r="1933" spans="1:19" ht="50.1" customHeight="1">
      <c r="A1933" s="31"/>
      <c r="B1933" s="32" t="s">
        <v>7622</v>
      </c>
      <c r="C1933" s="31" t="s">
        <v>2223</v>
      </c>
      <c r="D1933" s="31" t="s">
        <v>236</v>
      </c>
      <c r="E1933" s="31" t="s">
        <v>7623</v>
      </c>
      <c r="F1933" s="31" t="s">
        <v>31</v>
      </c>
      <c r="G1933" s="31">
        <v>275</v>
      </c>
      <c r="H1933" s="31">
        <v>10</v>
      </c>
      <c r="I1933" s="31">
        <v>12</v>
      </c>
      <c r="J1933" s="31" t="s">
        <v>7624</v>
      </c>
      <c r="K1933" s="31" t="s">
        <v>130</v>
      </c>
      <c r="L1933" s="31" t="s">
        <v>56</v>
      </c>
      <c r="M1933" s="31">
        <v>320</v>
      </c>
      <c r="N1933" s="31">
        <v>2019</v>
      </c>
      <c r="O1933" s="31">
        <v>186</v>
      </c>
      <c r="P1933" s="31"/>
      <c r="Q1933" s="31"/>
      <c r="R1933" s="33"/>
      <c r="S1933" s="34" t="str">
        <f>HYPERLINK("http://www.cnpol.ru/covers/18718.jpg","фото на сайте")</f>
        <v>фото на сайте</v>
      </c>
    </row>
    <row r="1934" spans="1:19" ht="50.1" customHeight="1">
      <c r="A1934" s="31"/>
      <c r="B1934" s="32" t="s">
        <v>7625</v>
      </c>
      <c r="C1934" s="31" t="s">
        <v>2228</v>
      </c>
      <c r="D1934" s="31" t="s">
        <v>213</v>
      </c>
      <c r="E1934" s="31" t="s">
        <v>7626</v>
      </c>
      <c r="F1934" s="31">
        <v>2</v>
      </c>
      <c r="G1934" s="31">
        <v>503</v>
      </c>
      <c r="H1934" s="31">
        <v>10</v>
      </c>
      <c r="I1934" s="31">
        <v>20</v>
      </c>
      <c r="J1934" s="31" t="s">
        <v>7627</v>
      </c>
      <c r="K1934" s="31" t="s">
        <v>2231</v>
      </c>
      <c r="L1934" s="31" t="s">
        <v>34</v>
      </c>
      <c r="M1934" s="31">
        <v>160</v>
      </c>
      <c r="N1934" s="31">
        <v>2020</v>
      </c>
      <c r="O1934" s="31">
        <v>324</v>
      </c>
      <c r="P1934" s="31"/>
      <c r="Q1934" s="31"/>
      <c r="R1934" s="33"/>
      <c r="S1934" s="34" t="str">
        <f>HYPERLINK("http://www.cnpol.ru/covers/19302.jpg","фото на сайте")</f>
        <v>фото на сайте</v>
      </c>
    </row>
    <row r="1935" spans="1:19" ht="50.1" customHeight="1">
      <c r="A1935" s="31"/>
      <c r="B1935" s="32" t="s">
        <v>7628</v>
      </c>
      <c r="C1935" s="31" t="s">
        <v>2228</v>
      </c>
      <c r="D1935" s="31" t="s">
        <v>213</v>
      </c>
      <c r="E1935" s="31" t="s">
        <v>7629</v>
      </c>
      <c r="F1935" s="31">
        <v>4</v>
      </c>
      <c r="G1935" s="31">
        <v>503</v>
      </c>
      <c r="H1935" s="31">
        <v>10</v>
      </c>
      <c r="I1935" s="31">
        <v>20</v>
      </c>
      <c r="J1935" s="31" t="s">
        <v>7630</v>
      </c>
      <c r="K1935" s="31" t="s">
        <v>2231</v>
      </c>
      <c r="L1935" s="31" t="s">
        <v>34</v>
      </c>
      <c r="M1935" s="31">
        <v>160</v>
      </c>
      <c r="N1935" s="31">
        <v>2020</v>
      </c>
      <c r="O1935" s="31">
        <v>324</v>
      </c>
      <c r="P1935" s="31"/>
      <c r="Q1935" s="31"/>
      <c r="R1935" s="33"/>
      <c r="S1935" s="34" t="str">
        <f>HYPERLINK("http://www.cnpol.ru/covers/19304.jpg","фото на сайте")</f>
        <v>фото на сайте</v>
      </c>
    </row>
    <row r="1936" spans="1:19" ht="50.1" customHeight="1">
      <c r="A1936" s="31"/>
      <c r="B1936" s="32" t="s">
        <v>7631</v>
      </c>
      <c r="C1936" s="31" t="s">
        <v>2228</v>
      </c>
      <c r="D1936" s="31" t="s">
        <v>213</v>
      </c>
      <c r="E1936" s="31" t="s">
        <v>7632</v>
      </c>
      <c r="F1936" s="31">
        <v>6</v>
      </c>
      <c r="G1936" s="31">
        <v>503</v>
      </c>
      <c r="H1936" s="31">
        <v>10</v>
      </c>
      <c r="I1936" s="31">
        <v>20</v>
      </c>
      <c r="J1936" s="31" t="s">
        <v>7633</v>
      </c>
      <c r="K1936" s="31" t="s">
        <v>2231</v>
      </c>
      <c r="L1936" s="31" t="s">
        <v>34</v>
      </c>
      <c r="M1936" s="31">
        <v>160</v>
      </c>
      <c r="N1936" s="31">
        <v>2020</v>
      </c>
      <c r="O1936" s="31">
        <v>324</v>
      </c>
      <c r="P1936" s="31"/>
      <c r="Q1936" s="31"/>
      <c r="R1936" s="33"/>
      <c r="S1936" s="34" t="str">
        <f>HYPERLINK("http://www.cnpol.ru/covers/19306.jpg","фото на сайте")</f>
        <v>фото на сайте</v>
      </c>
    </row>
    <row r="1937" spans="1:19" ht="50.1" customHeight="1">
      <c r="A1937" s="31"/>
      <c r="B1937" s="32" t="s">
        <v>7634</v>
      </c>
      <c r="C1937" s="31" t="s">
        <v>2228</v>
      </c>
      <c r="D1937" s="31" t="s">
        <v>213</v>
      </c>
      <c r="E1937" s="31" t="s">
        <v>7635</v>
      </c>
      <c r="F1937" s="31">
        <v>5</v>
      </c>
      <c r="G1937" s="31">
        <v>503</v>
      </c>
      <c r="H1937" s="31">
        <v>10</v>
      </c>
      <c r="I1937" s="31">
        <v>20</v>
      </c>
      <c r="J1937" s="31" t="s">
        <v>7636</v>
      </c>
      <c r="K1937" s="31" t="s">
        <v>2231</v>
      </c>
      <c r="L1937" s="31" t="s">
        <v>34</v>
      </c>
      <c r="M1937" s="31">
        <v>160</v>
      </c>
      <c r="N1937" s="31">
        <v>2020</v>
      </c>
      <c r="O1937" s="31">
        <v>324</v>
      </c>
      <c r="P1937" s="31"/>
      <c r="Q1937" s="31"/>
      <c r="R1937" s="33"/>
      <c r="S1937" s="34" t="str">
        <f>HYPERLINK("http://www.cnpol.ru/covers/19305.jpg","фото на сайте")</f>
        <v>фото на сайте</v>
      </c>
    </row>
    <row r="1938" spans="1:19" ht="50.1" customHeight="1">
      <c r="A1938" s="31"/>
      <c r="B1938" s="32" t="s">
        <v>7637</v>
      </c>
      <c r="C1938" s="31" t="s">
        <v>2228</v>
      </c>
      <c r="D1938" s="31" t="s">
        <v>213</v>
      </c>
      <c r="E1938" s="31" t="s">
        <v>7638</v>
      </c>
      <c r="F1938" s="31">
        <v>8</v>
      </c>
      <c r="G1938" s="31">
        <v>503</v>
      </c>
      <c r="H1938" s="31">
        <v>10</v>
      </c>
      <c r="I1938" s="31">
        <v>20</v>
      </c>
      <c r="J1938" s="31" t="s">
        <v>7639</v>
      </c>
      <c r="K1938" s="31" t="s">
        <v>2231</v>
      </c>
      <c r="L1938" s="31" t="s">
        <v>34</v>
      </c>
      <c r="M1938" s="31">
        <v>160</v>
      </c>
      <c r="N1938" s="31">
        <v>2019</v>
      </c>
      <c r="O1938" s="31">
        <v>324</v>
      </c>
      <c r="P1938" s="31"/>
      <c r="Q1938" s="31"/>
      <c r="R1938" s="33"/>
      <c r="S1938" s="34" t="str">
        <f>HYPERLINK("http://www.cnpol.ru/covers/19308.jpg","фото на сайте")</f>
        <v>фото на сайте</v>
      </c>
    </row>
    <row r="1939" spans="1:19" ht="50.1" customHeight="1">
      <c r="A1939" s="31"/>
      <c r="B1939" s="32" t="s">
        <v>7640</v>
      </c>
      <c r="C1939" s="31" t="s">
        <v>2228</v>
      </c>
      <c r="D1939" s="31" t="s">
        <v>213</v>
      </c>
      <c r="E1939" s="31" t="s">
        <v>7641</v>
      </c>
      <c r="F1939" s="31">
        <v>3</v>
      </c>
      <c r="G1939" s="31">
        <v>389</v>
      </c>
      <c r="H1939" s="31">
        <v>10</v>
      </c>
      <c r="I1939" s="31">
        <v>16</v>
      </c>
      <c r="J1939" s="31" t="s">
        <v>7642</v>
      </c>
      <c r="K1939" s="31" t="s">
        <v>2231</v>
      </c>
      <c r="L1939" s="31" t="s">
        <v>34</v>
      </c>
      <c r="M1939" s="31">
        <v>160</v>
      </c>
      <c r="N1939" s="31">
        <v>2016</v>
      </c>
      <c r="O1939" s="31">
        <v>324</v>
      </c>
      <c r="P1939" s="31"/>
      <c r="Q1939" s="31"/>
      <c r="R1939" s="33"/>
      <c r="S1939" s="34" t="str">
        <f>HYPERLINK("http://www.cnpol.ru/covers/16601.jpg","фото на сайте")</f>
        <v>фото на сайте</v>
      </c>
    </row>
    <row r="1940" spans="1:19" ht="50.1" customHeight="1">
      <c r="A1940" s="31"/>
      <c r="B1940" s="32" t="s">
        <v>7643</v>
      </c>
      <c r="C1940" s="31" t="s">
        <v>464</v>
      </c>
      <c r="D1940" s="31" t="s">
        <v>2607</v>
      </c>
      <c r="E1940" s="31" t="s">
        <v>7644</v>
      </c>
      <c r="F1940" s="31" t="s">
        <v>31</v>
      </c>
      <c r="G1940" s="31">
        <v>137</v>
      </c>
      <c r="H1940" s="31">
        <v>10</v>
      </c>
      <c r="I1940" s="31">
        <v>50</v>
      </c>
      <c r="J1940" s="31" t="s">
        <v>7645</v>
      </c>
      <c r="K1940" s="31" t="s">
        <v>468</v>
      </c>
      <c r="L1940" s="31" t="s">
        <v>56</v>
      </c>
      <c r="M1940" s="31">
        <v>18</v>
      </c>
      <c r="N1940" s="31">
        <v>2005</v>
      </c>
      <c r="O1940" s="31">
        <v>84</v>
      </c>
      <c r="P1940" s="31"/>
      <c r="Q1940" s="31"/>
      <c r="R1940" s="33"/>
      <c r="S1940" s="34" t="str">
        <f>HYPERLINK("http://www.cnpol.ru/covers/5726.jpg","фото на сайте")</f>
        <v>фото на сайте</v>
      </c>
    </row>
    <row r="1941" spans="1:19" ht="50.1" customHeight="1">
      <c r="A1941" s="31"/>
      <c r="B1941" s="32" t="s">
        <v>7646</v>
      </c>
      <c r="C1941" s="31" t="s">
        <v>2228</v>
      </c>
      <c r="D1941" s="31" t="s">
        <v>213</v>
      </c>
      <c r="E1941" s="31" t="s">
        <v>7647</v>
      </c>
      <c r="F1941" s="31">
        <v>6</v>
      </c>
      <c r="G1941" s="31">
        <v>486</v>
      </c>
      <c r="H1941" s="31">
        <v>10</v>
      </c>
      <c r="I1941" s="31">
        <v>20</v>
      </c>
      <c r="J1941" s="31" t="s">
        <v>7648</v>
      </c>
      <c r="K1941" s="31" t="s">
        <v>2231</v>
      </c>
      <c r="L1941" s="31" t="s">
        <v>34</v>
      </c>
      <c r="M1941" s="31">
        <v>160</v>
      </c>
      <c r="N1941" s="31">
        <v>2019</v>
      </c>
      <c r="O1941" s="31">
        <v>324</v>
      </c>
      <c r="P1941" s="31"/>
      <c r="Q1941" s="31"/>
      <c r="R1941" s="33"/>
      <c r="S1941" s="34" t="str">
        <f>HYPERLINK("http://www.cnpol.ru/covers/18598.jpg","фото на сайте")</f>
        <v>фото на сайте</v>
      </c>
    </row>
    <row r="1942" spans="1:19" ht="50.1" customHeight="1">
      <c r="A1942" s="31"/>
      <c r="B1942" s="32" t="s">
        <v>7649</v>
      </c>
      <c r="C1942" s="31" t="s">
        <v>423</v>
      </c>
      <c r="D1942" s="31" t="s">
        <v>7403</v>
      </c>
      <c r="E1942" s="31" t="s">
        <v>7650</v>
      </c>
      <c r="F1942" s="31" t="s">
        <v>31</v>
      </c>
      <c r="G1942" s="31">
        <v>154</v>
      </c>
      <c r="H1942" s="31">
        <v>10</v>
      </c>
      <c r="I1942" s="31">
        <v>24</v>
      </c>
      <c r="J1942" s="31" t="s">
        <v>7651</v>
      </c>
      <c r="K1942" s="31" t="s">
        <v>3388</v>
      </c>
      <c r="L1942" s="31" t="s">
        <v>56</v>
      </c>
      <c r="M1942" s="31">
        <v>381</v>
      </c>
      <c r="N1942" s="31">
        <v>2008</v>
      </c>
      <c r="O1942" s="31" t="s">
        <v>220</v>
      </c>
      <c r="P1942" s="31"/>
      <c r="Q1942" s="31"/>
      <c r="R1942" s="33"/>
      <c r="S1942" s="34" t="str">
        <f>HYPERLINK("http://www.cnpol.ru/covers/74.jpg","фото на сайте")</f>
        <v>фото на сайте</v>
      </c>
    </row>
    <row r="1943" spans="1:19" ht="50.1" customHeight="1">
      <c r="A1943" s="31" t="s">
        <v>43</v>
      </c>
      <c r="B1943" s="32" t="s">
        <v>7652</v>
      </c>
      <c r="C1943" s="31" t="s">
        <v>119</v>
      </c>
      <c r="D1943" s="31" t="s">
        <v>236</v>
      </c>
      <c r="E1943" s="31" t="s">
        <v>7653</v>
      </c>
      <c r="F1943" s="31" t="s">
        <v>31</v>
      </c>
      <c r="G1943" s="31">
        <v>637</v>
      </c>
      <c r="H1943" s="31">
        <v>10</v>
      </c>
      <c r="I1943" s="31">
        <v>18</v>
      </c>
      <c r="J1943" s="31" t="s">
        <v>7654</v>
      </c>
      <c r="K1943" s="31" t="s">
        <v>194</v>
      </c>
      <c r="L1943" s="31" t="s">
        <v>34</v>
      </c>
      <c r="M1943" s="31">
        <v>287</v>
      </c>
      <c r="N1943" s="31">
        <v>2024</v>
      </c>
      <c r="O1943" s="31">
        <v>260</v>
      </c>
      <c r="P1943" s="31"/>
      <c r="Q1943" s="31"/>
      <c r="R1943" s="33" t="s">
        <v>7655</v>
      </c>
      <c r="S1943" s="34" t="str">
        <f>HYPERLINK("http://www.cnpol.ru/covers/21161.jpg","фото на сайте")</f>
        <v>фото на сайте</v>
      </c>
    </row>
    <row r="1944" spans="1:19" ht="50.1" customHeight="1">
      <c r="A1944" s="31"/>
      <c r="B1944" s="32" t="s">
        <v>7656</v>
      </c>
      <c r="C1944" s="31" t="s">
        <v>854</v>
      </c>
      <c r="D1944" s="31" t="s">
        <v>855</v>
      </c>
      <c r="E1944" s="31" t="s">
        <v>7657</v>
      </c>
      <c r="F1944" s="31" t="s">
        <v>31</v>
      </c>
      <c r="G1944" s="31">
        <v>154</v>
      </c>
      <c r="H1944" s="31">
        <v>10</v>
      </c>
      <c r="I1944" s="31">
        <v>28</v>
      </c>
      <c r="J1944" s="31" t="s">
        <v>7658</v>
      </c>
      <c r="K1944" s="31" t="s">
        <v>55</v>
      </c>
      <c r="L1944" s="31" t="s">
        <v>56</v>
      </c>
      <c r="M1944" s="31">
        <v>270</v>
      </c>
      <c r="N1944" s="31">
        <v>2008</v>
      </c>
      <c r="O1944" s="31">
        <v>104</v>
      </c>
      <c r="P1944" s="31"/>
      <c r="Q1944" s="31"/>
      <c r="R1944" s="33"/>
      <c r="S1944" s="34" t="str">
        <f>HYPERLINK("http://www.cnpol.ru/covers/7607.jpg","фото на сайте")</f>
        <v>фото на сайте</v>
      </c>
    </row>
    <row r="1945" spans="1:19" ht="50.1" customHeight="1">
      <c r="A1945" s="31"/>
      <c r="B1945" s="32" t="s">
        <v>7659</v>
      </c>
      <c r="C1945" s="31" t="s">
        <v>1102</v>
      </c>
      <c r="D1945" s="31" t="s">
        <v>7660</v>
      </c>
      <c r="E1945" s="31" t="s">
        <v>7661</v>
      </c>
      <c r="F1945" s="31" t="s">
        <v>31</v>
      </c>
      <c r="G1945" s="31">
        <v>593</v>
      </c>
      <c r="H1945" s="31">
        <v>10</v>
      </c>
      <c r="I1945" s="31">
        <v>12</v>
      </c>
      <c r="J1945" s="31" t="s">
        <v>7662</v>
      </c>
      <c r="K1945" s="31" t="s">
        <v>33</v>
      </c>
      <c r="L1945" s="31" t="s">
        <v>34</v>
      </c>
      <c r="M1945" s="31">
        <v>288</v>
      </c>
      <c r="N1945" s="31">
        <v>2020</v>
      </c>
      <c r="O1945" s="31">
        <v>242</v>
      </c>
      <c r="P1945" s="31"/>
      <c r="Q1945" s="31"/>
      <c r="R1945" s="33"/>
      <c r="S1945" s="34" t="str">
        <f>HYPERLINK("http://www.cnpol.ru/covers/19441.jpg","фото на сайте")</f>
        <v>фото на сайте</v>
      </c>
    </row>
    <row r="1946" spans="1:19" ht="50.1" customHeight="1">
      <c r="A1946" s="31"/>
      <c r="B1946" s="32" t="s">
        <v>7663</v>
      </c>
      <c r="C1946" s="31" t="s">
        <v>2420</v>
      </c>
      <c r="D1946" s="31" t="s">
        <v>7664</v>
      </c>
      <c r="E1946" s="31" t="s">
        <v>7665</v>
      </c>
      <c r="F1946" s="31" t="s">
        <v>31</v>
      </c>
      <c r="G1946" s="31">
        <v>88</v>
      </c>
      <c r="H1946" s="31">
        <v>10</v>
      </c>
      <c r="I1946" s="31">
        <v>30</v>
      </c>
      <c r="J1946" s="31" t="s">
        <v>7666</v>
      </c>
      <c r="K1946" s="31" t="s">
        <v>123</v>
      </c>
      <c r="L1946" s="31" t="s">
        <v>56</v>
      </c>
      <c r="M1946" s="31">
        <v>223</v>
      </c>
      <c r="N1946" s="31">
        <v>2005</v>
      </c>
      <c r="O1946" s="31">
        <v>100</v>
      </c>
      <c r="P1946" s="31"/>
      <c r="Q1946" s="31"/>
      <c r="R1946" s="33"/>
      <c r="S1946" s="34" t="str">
        <f>HYPERLINK("http://www.cnpol.ru/covers/5352.jpg","фото на сайте")</f>
        <v>фото на сайте</v>
      </c>
    </row>
    <row r="1947" spans="1:19" ht="50.1" customHeight="1">
      <c r="A1947" s="31"/>
      <c r="B1947" s="32" t="s">
        <v>7667</v>
      </c>
      <c r="C1947" s="31" t="s">
        <v>390</v>
      </c>
      <c r="D1947" s="31" t="s">
        <v>2106</v>
      </c>
      <c r="E1947" s="31" t="s">
        <v>7668</v>
      </c>
      <c r="F1947" s="31">
        <v>703</v>
      </c>
      <c r="G1947" s="31">
        <v>86</v>
      </c>
      <c r="H1947" s="31">
        <v>10</v>
      </c>
      <c r="I1947" s="31">
        <v>30</v>
      </c>
      <c r="J1947" s="31" t="s">
        <v>7669</v>
      </c>
      <c r="K1947" s="31" t="s">
        <v>123</v>
      </c>
      <c r="L1947" s="31" t="s">
        <v>56</v>
      </c>
      <c r="M1947" s="31">
        <v>160</v>
      </c>
      <c r="N1947" s="31">
        <v>2017</v>
      </c>
      <c r="O1947" s="31">
        <v>76</v>
      </c>
      <c r="P1947" s="31"/>
      <c r="Q1947" s="31"/>
      <c r="R1947" s="33"/>
      <c r="S1947" s="34" t="str">
        <f>HYPERLINK("http://www.cnpol.ru/covers/17379.jpg","фото на сайте")</f>
        <v>фото на сайте</v>
      </c>
    </row>
    <row r="1948" spans="1:19" ht="50.1" customHeight="1">
      <c r="A1948" s="31"/>
      <c r="B1948" s="32" t="s">
        <v>7670</v>
      </c>
      <c r="C1948" s="31" t="s">
        <v>413</v>
      </c>
      <c r="D1948" s="31" t="s">
        <v>859</v>
      </c>
      <c r="E1948" s="31" t="s">
        <v>7671</v>
      </c>
      <c r="F1948" s="31">
        <v>32</v>
      </c>
      <c r="G1948" s="31">
        <v>117</v>
      </c>
      <c r="H1948" s="31">
        <v>10</v>
      </c>
      <c r="I1948" s="31">
        <v>36</v>
      </c>
      <c r="J1948" s="31" t="s">
        <v>7672</v>
      </c>
      <c r="K1948" s="31" t="s">
        <v>123</v>
      </c>
      <c r="L1948" s="31" t="s">
        <v>56</v>
      </c>
      <c r="M1948" s="31">
        <v>190</v>
      </c>
      <c r="N1948" s="31">
        <v>2014</v>
      </c>
      <c r="O1948" s="31">
        <v>90</v>
      </c>
      <c r="P1948" s="31"/>
      <c r="Q1948" s="31"/>
      <c r="R1948" s="33"/>
      <c r="S1948" s="34" t="str">
        <f>HYPERLINK("http://www.cnpol.ru/covers/15610.jpg","фото на сайте")</f>
        <v>фото на сайте</v>
      </c>
    </row>
    <row r="1949" spans="1:19" ht="50.1" customHeight="1">
      <c r="A1949" s="31"/>
      <c r="B1949" s="32" t="s">
        <v>7673</v>
      </c>
      <c r="C1949" s="31" t="s">
        <v>413</v>
      </c>
      <c r="D1949" s="31" t="s">
        <v>1656</v>
      </c>
      <c r="E1949" s="31" t="s">
        <v>7674</v>
      </c>
      <c r="F1949" s="31">
        <v>138</v>
      </c>
      <c r="G1949" s="31">
        <v>117</v>
      </c>
      <c r="H1949" s="31">
        <v>10</v>
      </c>
      <c r="I1949" s="31">
        <v>36</v>
      </c>
      <c r="J1949" s="31" t="s">
        <v>7675</v>
      </c>
      <c r="K1949" s="31" t="s">
        <v>123</v>
      </c>
      <c r="L1949" s="31" t="s">
        <v>56</v>
      </c>
      <c r="M1949" s="31">
        <v>192</v>
      </c>
      <c r="N1949" s="31">
        <v>2017</v>
      </c>
      <c r="O1949" s="31">
        <v>96</v>
      </c>
      <c r="P1949" s="31"/>
      <c r="Q1949" s="31"/>
      <c r="R1949" s="33"/>
      <c r="S1949" s="34" t="str">
        <f>HYPERLINK("http://www.cnpol.ru/covers/17329.jpg","фото на сайте")</f>
        <v>фото на сайте</v>
      </c>
    </row>
    <row r="1950" spans="1:19" ht="50.1" customHeight="1">
      <c r="A1950" s="31"/>
      <c r="B1950" s="32" t="s">
        <v>7676</v>
      </c>
      <c r="C1950" s="31" t="s">
        <v>400</v>
      </c>
      <c r="D1950" s="31" t="s">
        <v>2366</v>
      </c>
      <c r="E1950" s="31" t="s">
        <v>7677</v>
      </c>
      <c r="F1950" s="31" t="s">
        <v>31</v>
      </c>
      <c r="G1950" s="31">
        <v>503</v>
      </c>
      <c r="H1950" s="31">
        <v>10</v>
      </c>
      <c r="I1950" s="31">
        <v>12</v>
      </c>
      <c r="J1950" s="31" t="s">
        <v>7678</v>
      </c>
      <c r="K1950" s="31" t="s">
        <v>33</v>
      </c>
      <c r="L1950" s="31" t="s">
        <v>34</v>
      </c>
      <c r="M1950" s="31">
        <v>320</v>
      </c>
      <c r="N1950" s="31">
        <v>2016</v>
      </c>
      <c r="O1950" s="31">
        <v>262</v>
      </c>
      <c r="P1950" s="31"/>
      <c r="Q1950" s="31"/>
      <c r="R1950" s="33"/>
      <c r="S1950" s="34" t="str">
        <f>HYPERLINK("http://www.cnpol.ru/covers/17033.jpg","фото на сайте")</f>
        <v>фото на сайте</v>
      </c>
    </row>
    <row r="1951" spans="1:19" ht="50.1" customHeight="1">
      <c r="A1951" s="31"/>
      <c r="B1951" s="32" t="s">
        <v>7679</v>
      </c>
      <c r="C1951" s="31" t="s">
        <v>993</v>
      </c>
      <c r="D1951" s="31" t="s">
        <v>7680</v>
      </c>
      <c r="E1951" s="31" t="s">
        <v>7681</v>
      </c>
      <c r="F1951" s="31" t="s">
        <v>31</v>
      </c>
      <c r="G1951" s="31">
        <v>88</v>
      </c>
      <c r="H1951" s="31">
        <v>10</v>
      </c>
      <c r="I1951" s="31">
        <v>40</v>
      </c>
      <c r="J1951" s="31" t="s">
        <v>7682</v>
      </c>
      <c r="K1951" s="31" t="s">
        <v>123</v>
      </c>
      <c r="L1951" s="31" t="s">
        <v>56</v>
      </c>
      <c r="M1951" s="31">
        <v>125</v>
      </c>
      <c r="N1951" s="31">
        <v>2008</v>
      </c>
      <c r="O1951" s="31">
        <v>62</v>
      </c>
      <c r="P1951" s="31"/>
      <c r="Q1951" s="31"/>
      <c r="R1951" s="33"/>
      <c r="S1951" s="34" t="str">
        <f>HYPERLINK("http://www.cnpol.ru/covers/7039.jpg","фото на сайте")</f>
        <v>фото на сайте</v>
      </c>
    </row>
    <row r="1952" spans="1:19" ht="50.1" customHeight="1">
      <c r="A1952" s="31"/>
      <c r="B1952" s="32" t="s">
        <v>7683</v>
      </c>
      <c r="C1952" s="31" t="s">
        <v>45</v>
      </c>
      <c r="D1952" s="31" t="s">
        <v>7684</v>
      </c>
      <c r="E1952" s="31" t="s">
        <v>7685</v>
      </c>
      <c r="F1952" s="31" t="s">
        <v>31</v>
      </c>
      <c r="G1952" s="35">
        <v>1041</v>
      </c>
      <c r="H1952" s="31">
        <v>10</v>
      </c>
      <c r="I1952" s="31">
        <v>8</v>
      </c>
      <c r="J1952" s="31" t="s">
        <v>7686</v>
      </c>
      <c r="K1952" s="31" t="s">
        <v>33</v>
      </c>
      <c r="L1952" s="31" t="s">
        <v>34</v>
      </c>
      <c r="M1952" s="31">
        <v>608</v>
      </c>
      <c r="N1952" s="31">
        <v>2016</v>
      </c>
      <c r="O1952" s="31">
        <v>560</v>
      </c>
      <c r="P1952" s="31"/>
      <c r="Q1952" s="31"/>
      <c r="R1952" s="33"/>
      <c r="S1952" s="34" t="str">
        <f>HYPERLINK("http://www.cnpol.ru/covers/16968.jpg","фото на сайте")</f>
        <v>фото на сайте</v>
      </c>
    </row>
    <row r="1953" spans="1:19" ht="50.1" customHeight="1">
      <c r="A1953" s="31"/>
      <c r="B1953" s="32" t="s">
        <v>7687</v>
      </c>
      <c r="C1953" s="31" t="s">
        <v>528</v>
      </c>
      <c r="D1953" s="31" t="s">
        <v>529</v>
      </c>
      <c r="E1953" s="31" t="s">
        <v>7688</v>
      </c>
      <c r="F1953" s="31" t="s">
        <v>31</v>
      </c>
      <c r="G1953" s="31">
        <v>137</v>
      </c>
      <c r="H1953" s="31">
        <v>10</v>
      </c>
      <c r="I1953" s="31">
        <v>30</v>
      </c>
      <c r="J1953" s="31" t="s">
        <v>7689</v>
      </c>
      <c r="K1953" s="31" t="s">
        <v>55</v>
      </c>
      <c r="L1953" s="31" t="s">
        <v>56</v>
      </c>
      <c r="M1953" s="31">
        <v>159</v>
      </c>
      <c r="N1953" s="31">
        <v>2013</v>
      </c>
      <c r="O1953" s="31">
        <v>70</v>
      </c>
      <c r="P1953" s="31"/>
      <c r="Q1953" s="31"/>
      <c r="R1953" s="33"/>
      <c r="S1953" s="34" t="str">
        <f>HYPERLINK("http://www.cnpol.ru/covers/14288.jpg","фото на сайте")</f>
        <v>фото на сайте</v>
      </c>
    </row>
    <row r="1954" spans="1:19" ht="50.1" customHeight="1">
      <c r="A1954" s="31" t="s">
        <v>35</v>
      </c>
      <c r="B1954" s="32" t="s">
        <v>7690</v>
      </c>
      <c r="C1954" s="31" t="s">
        <v>1206</v>
      </c>
      <c r="D1954" s="31" t="s">
        <v>1207</v>
      </c>
      <c r="E1954" s="31" t="s">
        <v>7691</v>
      </c>
      <c r="F1954" s="31" t="s">
        <v>31</v>
      </c>
      <c r="G1954" s="31">
        <v>672</v>
      </c>
      <c r="H1954" s="31">
        <v>10</v>
      </c>
      <c r="I1954" s="31">
        <v>14</v>
      </c>
      <c r="J1954" s="31" t="s">
        <v>7692</v>
      </c>
      <c r="K1954" s="31" t="s">
        <v>739</v>
      </c>
      <c r="L1954" s="31" t="s">
        <v>34</v>
      </c>
      <c r="M1954" s="31">
        <v>223</v>
      </c>
      <c r="N1954" s="31" t="s">
        <v>431</v>
      </c>
      <c r="O1954" s="31">
        <v>120</v>
      </c>
      <c r="P1954" s="31"/>
      <c r="Q1954" s="31"/>
      <c r="R1954" s="33" t="s">
        <v>7693</v>
      </c>
      <c r="S1954" s="34" t="str">
        <f>HYPERLINK("http://www.cnpol.ru/covers/21421.jpg","фото на сайте")</f>
        <v>фото на сайте</v>
      </c>
    </row>
    <row r="1955" spans="1:19" ht="50.1" customHeight="1">
      <c r="A1955" s="31" t="s">
        <v>43</v>
      </c>
      <c r="B1955" s="32" t="s">
        <v>7694</v>
      </c>
      <c r="C1955" s="31" t="s">
        <v>37</v>
      </c>
      <c r="D1955" s="31" t="s">
        <v>7695</v>
      </c>
      <c r="E1955" s="31" t="s">
        <v>7696</v>
      </c>
      <c r="F1955" s="31" t="s">
        <v>31</v>
      </c>
      <c r="G1955" s="31">
        <v>887</v>
      </c>
      <c r="H1955" s="31">
        <v>10</v>
      </c>
      <c r="I1955" s="31">
        <v>10</v>
      </c>
      <c r="J1955" s="31" t="s">
        <v>7697</v>
      </c>
      <c r="K1955" s="31" t="s">
        <v>33</v>
      </c>
      <c r="L1955" s="31" t="s">
        <v>34</v>
      </c>
      <c r="M1955" s="31">
        <v>286</v>
      </c>
      <c r="N1955" s="31">
        <v>2026</v>
      </c>
      <c r="O1955" s="31" t="s">
        <v>220</v>
      </c>
      <c r="P1955" s="31"/>
      <c r="Q1955" s="31"/>
      <c r="R1955" s="33" t="s">
        <v>7698</v>
      </c>
      <c r="S1955" s="34" t="str">
        <f>HYPERLINK("http://www.cnpol.ru/covers/21877.jpg","фото на сайте")</f>
        <v>фото на сайте</v>
      </c>
    </row>
    <row r="1956" spans="1:19" ht="50.1" customHeight="1">
      <c r="A1956" s="31"/>
      <c r="B1956" s="32" t="s">
        <v>7699</v>
      </c>
      <c r="C1956" s="31" t="s">
        <v>37</v>
      </c>
      <c r="D1956" s="31" t="s">
        <v>7700</v>
      </c>
      <c r="E1956" s="31" t="s">
        <v>7701</v>
      </c>
      <c r="F1956" s="31" t="s">
        <v>31</v>
      </c>
      <c r="G1956" s="35">
        <v>1149</v>
      </c>
      <c r="H1956" s="31">
        <v>10</v>
      </c>
      <c r="I1956" s="31">
        <v>10</v>
      </c>
      <c r="J1956" s="31" t="s">
        <v>7702</v>
      </c>
      <c r="K1956" s="31" t="s">
        <v>33</v>
      </c>
      <c r="L1956" s="31" t="s">
        <v>34</v>
      </c>
      <c r="M1956" s="31">
        <v>464</v>
      </c>
      <c r="N1956" s="31">
        <v>2022</v>
      </c>
      <c r="O1956" s="31">
        <v>376</v>
      </c>
      <c r="P1956" s="31"/>
      <c r="Q1956" s="31"/>
      <c r="R1956" s="33"/>
      <c r="S1956" s="34" t="str">
        <f>HYPERLINK("http://www.cnpol.ru/covers/20129.jpg","фото на сайте")</f>
        <v>фото на сайте</v>
      </c>
    </row>
    <row r="1957" spans="1:19" ht="50.1" customHeight="1">
      <c r="A1957" s="31"/>
      <c r="B1957" s="32" t="s">
        <v>7703</v>
      </c>
      <c r="C1957" s="31" t="s">
        <v>37</v>
      </c>
      <c r="D1957" s="31" t="s">
        <v>7704</v>
      </c>
      <c r="E1957" s="31" t="s">
        <v>7705</v>
      </c>
      <c r="F1957" s="31" t="s">
        <v>31</v>
      </c>
      <c r="G1957" s="35">
        <v>1046</v>
      </c>
      <c r="H1957" s="31">
        <v>10</v>
      </c>
      <c r="I1957" s="31">
        <v>10</v>
      </c>
      <c r="J1957" s="31" t="s">
        <v>7706</v>
      </c>
      <c r="K1957" s="31" t="s">
        <v>33</v>
      </c>
      <c r="L1957" s="31" t="s">
        <v>34</v>
      </c>
      <c r="M1957" s="31">
        <v>382</v>
      </c>
      <c r="N1957" s="31">
        <v>2022</v>
      </c>
      <c r="O1957" s="31">
        <v>370</v>
      </c>
      <c r="P1957" s="31"/>
      <c r="Q1957" s="31"/>
      <c r="R1957" s="33"/>
      <c r="S1957" s="34" t="str">
        <f>HYPERLINK("http://www.cnpol.ru/covers/20252.jpg","фото на сайте")</f>
        <v>фото на сайте</v>
      </c>
    </row>
    <row r="1958" spans="1:19" ht="50.1" customHeight="1">
      <c r="A1958" s="31"/>
      <c r="B1958" s="32" t="s">
        <v>7707</v>
      </c>
      <c r="C1958" s="31" t="s">
        <v>1301</v>
      </c>
      <c r="D1958" s="31" t="s">
        <v>7708</v>
      </c>
      <c r="E1958" s="31" t="s">
        <v>7709</v>
      </c>
      <c r="F1958" s="31" t="s">
        <v>31</v>
      </c>
      <c r="G1958" s="31">
        <v>896</v>
      </c>
      <c r="H1958" s="31">
        <v>10</v>
      </c>
      <c r="I1958" s="31">
        <v>4</v>
      </c>
      <c r="J1958" s="31" t="s">
        <v>7710</v>
      </c>
      <c r="K1958" s="31" t="s">
        <v>33</v>
      </c>
      <c r="L1958" s="31" t="s">
        <v>34</v>
      </c>
      <c r="M1958" s="31">
        <v>832</v>
      </c>
      <c r="N1958" s="31">
        <v>2023</v>
      </c>
      <c r="O1958" s="31">
        <v>681</v>
      </c>
      <c r="P1958" s="31"/>
      <c r="Q1958" s="31"/>
      <c r="R1958" s="33" t="s">
        <v>7711</v>
      </c>
      <c r="S1958" s="34" t="str">
        <f>HYPERLINK("http://www.cnpol.ru/covers/20887.jpg","фото на сайте")</f>
        <v>фото на сайте</v>
      </c>
    </row>
    <row r="1959" spans="1:19" ht="50.1" customHeight="1">
      <c r="A1959" s="31" t="s">
        <v>35</v>
      </c>
      <c r="B1959" s="32" t="s">
        <v>7712</v>
      </c>
      <c r="C1959" s="31" t="s">
        <v>1206</v>
      </c>
      <c r="D1959" s="31" t="s">
        <v>1207</v>
      </c>
      <c r="E1959" s="31" t="s">
        <v>7713</v>
      </c>
      <c r="F1959" s="31" t="s">
        <v>31</v>
      </c>
      <c r="G1959" s="31">
        <v>672</v>
      </c>
      <c r="H1959" s="31">
        <v>10</v>
      </c>
      <c r="I1959" s="31">
        <v>10</v>
      </c>
      <c r="J1959" s="31" t="s">
        <v>7714</v>
      </c>
      <c r="K1959" s="31" t="s">
        <v>739</v>
      </c>
      <c r="L1959" s="31" t="s">
        <v>34</v>
      </c>
      <c r="M1959" s="31">
        <v>318</v>
      </c>
      <c r="N1959" s="31">
        <v>2024</v>
      </c>
      <c r="O1959" s="31">
        <v>248</v>
      </c>
      <c r="P1959" s="31"/>
      <c r="Q1959" s="31"/>
      <c r="R1959" s="33" t="s">
        <v>7715</v>
      </c>
      <c r="S1959" s="34" t="str">
        <f>HYPERLINK("http://www.cnpol.ru/covers/21378.jpg","фото на сайте")</f>
        <v>фото на сайте</v>
      </c>
    </row>
    <row r="1960" spans="1:19" ht="50.1" customHeight="1">
      <c r="A1960" s="31"/>
      <c r="B1960" s="32" t="s">
        <v>7716</v>
      </c>
      <c r="C1960" s="31" t="s">
        <v>613</v>
      </c>
      <c r="D1960" s="31" t="s">
        <v>614</v>
      </c>
      <c r="E1960" s="31" t="s">
        <v>7717</v>
      </c>
      <c r="F1960" s="31" t="s">
        <v>31</v>
      </c>
      <c r="G1960" s="31">
        <v>658</v>
      </c>
      <c r="H1960" s="31">
        <v>10</v>
      </c>
      <c r="I1960" s="31">
        <v>12</v>
      </c>
      <c r="J1960" s="31" t="s">
        <v>7718</v>
      </c>
      <c r="K1960" s="31" t="s">
        <v>33</v>
      </c>
      <c r="L1960" s="31" t="s">
        <v>34</v>
      </c>
      <c r="M1960" s="31">
        <v>416</v>
      </c>
      <c r="N1960" s="31">
        <v>2016</v>
      </c>
      <c r="O1960" s="31">
        <v>406</v>
      </c>
      <c r="P1960" s="31"/>
      <c r="Q1960" s="31"/>
      <c r="R1960" s="33"/>
      <c r="S1960" s="34" t="str">
        <f>HYPERLINK("http://www.cnpol.ru/covers/17109.jpg","фото на сайте")</f>
        <v>фото на сайте</v>
      </c>
    </row>
    <row r="1961" spans="1:19" ht="50.1" customHeight="1">
      <c r="A1961" s="31"/>
      <c r="B1961" s="32" t="s">
        <v>7719</v>
      </c>
      <c r="C1961" s="31" t="s">
        <v>746</v>
      </c>
      <c r="D1961" s="31" t="s">
        <v>7720</v>
      </c>
      <c r="E1961" s="31" t="s">
        <v>7721</v>
      </c>
      <c r="F1961" s="31" t="s">
        <v>31</v>
      </c>
      <c r="G1961" s="31">
        <v>539</v>
      </c>
      <c r="H1961" s="31">
        <v>10</v>
      </c>
      <c r="I1961" s="31">
        <v>14</v>
      </c>
      <c r="J1961" s="31" t="s">
        <v>7722</v>
      </c>
      <c r="K1961" s="31" t="s">
        <v>33</v>
      </c>
      <c r="L1961" s="31" t="s">
        <v>34</v>
      </c>
      <c r="M1961" s="31">
        <v>384</v>
      </c>
      <c r="N1961" s="31">
        <v>2012</v>
      </c>
      <c r="O1961" s="31">
        <v>330</v>
      </c>
      <c r="P1961" s="31"/>
      <c r="Q1961" s="31"/>
      <c r="R1961" s="33"/>
      <c r="S1961" s="34" t="str">
        <f>HYPERLINK("http://www.cnpol.ru/covers/14070.jpg","фото на сайте")</f>
        <v>фото на сайте</v>
      </c>
    </row>
    <row r="1962" spans="1:19" ht="50.1" customHeight="1">
      <c r="A1962" s="31" t="s">
        <v>43</v>
      </c>
      <c r="B1962" s="32" t="s">
        <v>7723</v>
      </c>
      <c r="C1962" s="31" t="s">
        <v>37</v>
      </c>
      <c r="D1962" s="31" t="s">
        <v>7724</v>
      </c>
      <c r="E1962" s="31" t="s">
        <v>7725</v>
      </c>
      <c r="F1962" s="31" t="s">
        <v>31</v>
      </c>
      <c r="G1962" s="31">
        <v>766</v>
      </c>
      <c r="H1962" s="31">
        <v>10</v>
      </c>
      <c r="I1962" s="31">
        <v>16</v>
      </c>
      <c r="J1962" s="31" t="s">
        <v>7726</v>
      </c>
      <c r="K1962" s="31" t="s">
        <v>33</v>
      </c>
      <c r="L1962" s="31" t="s">
        <v>34</v>
      </c>
      <c r="M1962" s="31">
        <v>220</v>
      </c>
      <c r="N1962" s="31">
        <v>2025</v>
      </c>
      <c r="O1962" s="31">
        <v>310</v>
      </c>
      <c r="P1962" s="31"/>
      <c r="Q1962" s="31"/>
      <c r="R1962" s="33" t="s">
        <v>7727</v>
      </c>
      <c r="S1962" s="34" t="str">
        <f>HYPERLINK("http://www.cnpol.ru/covers/21498.jpg","фото на сайте")</f>
        <v>фото на сайте</v>
      </c>
    </row>
    <row r="1963" spans="1:19" ht="50.1" customHeight="1">
      <c r="A1963" s="31"/>
      <c r="B1963" s="32" t="s">
        <v>7728</v>
      </c>
      <c r="C1963" s="31" t="s">
        <v>1016</v>
      </c>
      <c r="D1963" s="31" t="s">
        <v>7729</v>
      </c>
      <c r="E1963" s="31" t="s">
        <v>7730</v>
      </c>
      <c r="F1963" s="31" t="s">
        <v>31</v>
      </c>
      <c r="G1963" s="31">
        <v>777</v>
      </c>
      <c r="H1963" s="31">
        <v>10</v>
      </c>
      <c r="I1963" s="31">
        <v>16</v>
      </c>
      <c r="J1963" s="31" t="s">
        <v>7731</v>
      </c>
      <c r="K1963" s="31" t="s">
        <v>33</v>
      </c>
      <c r="L1963" s="31" t="s">
        <v>34</v>
      </c>
      <c r="M1963" s="31">
        <v>224</v>
      </c>
      <c r="N1963" s="31">
        <v>2022</v>
      </c>
      <c r="O1963" s="31">
        <v>326</v>
      </c>
      <c r="P1963" s="31"/>
      <c r="Q1963" s="31"/>
      <c r="R1963" s="33"/>
      <c r="S1963" s="34" t="str">
        <f>HYPERLINK("http://www.cnpol.ru/covers/20127.jpg","фото на сайте")</f>
        <v>фото на сайте</v>
      </c>
    </row>
    <row r="1964" spans="1:19" ht="50.1" customHeight="1">
      <c r="A1964" s="31"/>
      <c r="B1964" s="32" t="s">
        <v>7732</v>
      </c>
      <c r="C1964" s="31" t="s">
        <v>709</v>
      </c>
      <c r="D1964" s="31" t="s">
        <v>7733</v>
      </c>
      <c r="E1964" s="31" t="s">
        <v>7734</v>
      </c>
      <c r="F1964" s="31" t="s">
        <v>31</v>
      </c>
      <c r="G1964" s="31">
        <v>425</v>
      </c>
      <c r="H1964" s="31">
        <v>10</v>
      </c>
      <c r="I1964" s="31">
        <v>14</v>
      </c>
      <c r="J1964" s="31" t="s">
        <v>7735</v>
      </c>
      <c r="K1964" s="31" t="s">
        <v>33</v>
      </c>
      <c r="L1964" s="31" t="s">
        <v>34</v>
      </c>
      <c r="M1964" s="31">
        <v>319</v>
      </c>
      <c r="N1964" s="31">
        <v>2008</v>
      </c>
      <c r="O1964" s="31">
        <v>324</v>
      </c>
      <c r="P1964" s="31"/>
      <c r="Q1964" s="31"/>
      <c r="R1964" s="33"/>
      <c r="S1964" s="34" t="str">
        <f>HYPERLINK("http://www.cnpol.ru/covers/8652.jpg","фото на сайте")</f>
        <v>фото на сайте</v>
      </c>
    </row>
    <row r="1965" spans="1:19" ht="50.1" customHeight="1">
      <c r="A1965" s="31"/>
      <c r="B1965" s="32" t="s">
        <v>7736</v>
      </c>
      <c r="C1965" s="31" t="s">
        <v>28</v>
      </c>
      <c r="D1965" s="31" t="s">
        <v>2822</v>
      </c>
      <c r="E1965" s="31" t="s">
        <v>7737</v>
      </c>
      <c r="F1965" s="31" t="s">
        <v>31</v>
      </c>
      <c r="G1965" s="31">
        <v>862</v>
      </c>
      <c r="H1965" s="31">
        <v>10</v>
      </c>
      <c r="I1965" s="31">
        <v>12</v>
      </c>
      <c r="J1965" s="31" t="s">
        <v>7738</v>
      </c>
      <c r="K1965" s="31" t="s">
        <v>33</v>
      </c>
      <c r="L1965" s="31" t="s">
        <v>34</v>
      </c>
      <c r="M1965" s="31">
        <v>576</v>
      </c>
      <c r="N1965" s="31">
        <v>2015</v>
      </c>
      <c r="O1965" s="31">
        <v>566</v>
      </c>
      <c r="P1965" s="31"/>
      <c r="Q1965" s="31"/>
      <c r="R1965" s="33"/>
      <c r="S1965" s="34" t="str">
        <f>HYPERLINK("http://www.cnpol.ru/covers/15866.jpg","фото на сайте")</f>
        <v>фото на сайте</v>
      </c>
    </row>
    <row r="1966" spans="1:19" ht="50.1" customHeight="1">
      <c r="A1966" s="31"/>
      <c r="B1966" s="32" t="s">
        <v>7739</v>
      </c>
      <c r="C1966" s="31" t="s">
        <v>3144</v>
      </c>
      <c r="D1966" s="31" t="s">
        <v>2408</v>
      </c>
      <c r="E1966" s="31" t="s">
        <v>7740</v>
      </c>
      <c r="F1966" s="31" t="s">
        <v>31</v>
      </c>
      <c r="G1966" s="31">
        <v>559</v>
      </c>
      <c r="H1966" s="31">
        <v>10</v>
      </c>
      <c r="I1966" s="31">
        <v>12</v>
      </c>
      <c r="J1966" s="31" t="s">
        <v>7741</v>
      </c>
      <c r="K1966" s="31" t="s">
        <v>33</v>
      </c>
      <c r="L1966" s="31" t="s">
        <v>34</v>
      </c>
      <c r="M1966" s="31">
        <v>408</v>
      </c>
      <c r="N1966" s="31">
        <v>2016</v>
      </c>
      <c r="O1966" s="31">
        <v>336</v>
      </c>
      <c r="P1966" s="31"/>
      <c r="Q1966" s="31"/>
      <c r="R1966" s="33"/>
      <c r="S1966" s="34" t="str">
        <f>HYPERLINK("http://www.cnpol.ru/covers/16777.jpg","фото на сайте")</f>
        <v>фото на сайте</v>
      </c>
    </row>
    <row r="1967" spans="1:19" ht="50.1" customHeight="1">
      <c r="A1967" s="31"/>
      <c r="B1967" s="32" t="s">
        <v>7742</v>
      </c>
      <c r="C1967" s="31" t="s">
        <v>1003</v>
      </c>
      <c r="D1967" s="31" t="s">
        <v>1004</v>
      </c>
      <c r="E1967" s="31" t="s">
        <v>7743</v>
      </c>
      <c r="F1967" s="31" t="s">
        <v>31</v>
      </c>
      <c r="G1967" s="31">
        <v>122</v>
      </c>
      <c r="H1967" s="31">
        <v>10</v>
      </c>
      <c r="I1967" s="31">
        <v>28</v>
      </c>
      <c r="J1967" s="31" t="s">
        <v>7744</v>
      </c>
      <c r="K1967" s="31" t="s">
        <v>123</v>
      </c>
      <c r="L1967" s="31" t="s">
        <v>56</v>
      </c>
      <c r="M1967" s="31">
        <v>128</v>
      </c>
      <c r="N1967" s="31">
        <v>2017</v>
      </c>
      <c r="O1967" s="31">
        <v>60</v>
      </c>
      <c r="P1967" s="31"/>
      <c r="Q1967" s="31"/>
      <c r="R1967" s="33"/>
      <c r="S1967" s="34" t="str">
        <f>HYPERLINK("http://www.cnpol.ru/covers/17363.jpg","фото на сайте")</f>
        <v>фото на сайте</v>
      </c>
    </row>
    <row r="1968" spans="1:19" ht="50.1" customHeight="1">
      <c r="A1968" s="31" t="s">
        <v>35</v>
      </c>
      <c r="B1968" s="32" t="s">
        <v>7745</v>
      </c>
      <c r="C1968" s="31" t="s">
        <v>779</v>
      </c>
      <c r="D1968" s="31" t="s">
        <v>7746</v>
      </c>
      <c r="E1968" s="31" t="s">
        <v>7747</v>
      </c>
      <c r="F1968" s="31" t="s">
        <v>31</v>
      </c>
      <c r="G1968" s="31">
        <v>807</v>
      </c>
      <c r="H1968" s="31">
        <v>10</v>
      </c>
      <c r="I1968" s="31">
        <v>14</v>
      </c>
      <c r="J1968" s="31" t="s">
        <v>7748</v>
      </c>
      <c r="K1968" s="31" t="s">
        <v>33</v>
      </c>
      <c r="L1968" s="31" t="s">
        <v>34</v>
      </c>
      <c r="M1968" s="31">
        <v>256</v>
      </c>
      <c r="N1968" s="31">
        <v>2024</v>
      </c>
      <c r="O1968" s="31">
        <v>316</v>
      </c>
      <c r="P1968" s="31"/>
      <c r="Q1968" s="31"/>
      <c r="R1968" s="33" t="s">
        <v>7749</v>
      </c>
      <c r="S1968" s="34" t="str">
        <f>HYPERLINK("http://www.cnpol.ru/covers/21120.jpg","фото на сайте")</f>
        <v>фото на сайте</v>
      </c>
    </row>
    <row r="1969" spans="1:19" ht="50.1" customHeight="1">
      <c r="A1969" s="31"/>
      <c r="B1969" s="32" t="s">
        <v>7750</v>
      </c>
      <c r="C1969" s="31" t="s">
        <v>400</v>
      </c>
      <c r="D1969" s="31" t="s">
        <v>460</v>
      </c>
      <c r="E1969" s="31" t="s">
        <v>7751</v>
      </c>
      <c r="F1969" s="31" t="s">
        <v>31</v>
      </c>
      <c r="G1969" s="31">
        <v>503</v>
      </c>
      <c r="H1969" s="31">
        <v>10</v>
      </c>
      <c r="I1969" s="31">
        <v>14</v>
      </c>
      <c r="J1969" s="31" t="s">
        <v>7752</v>
      </c>
      <c r="K1969" s="31" t="s">
        <v>33</v>
      </c>
      <c r="L1969" s="31" t="s">
        <v>34</v>
      </c>
      <c r="M1969" s="31">
        <v>288</v>
      </c>
      <c r="N1969" s="31">
        <v>2014</v>
      </c>
      <c r="O1969" s="31">
        <v>244</v>
      </c>
      <c r="P1969" s="31"/>
      <c r="Q1969" s="31"/>
      <c r="R1969" s="33"/>
      <c r="S1969" s="34" t="str">
        <f>HYPERLINK("http://www.cnpol.ru/covers/15631.jpg","фото на сайте")</f>
        <v>фото на сайте</v>
      </c>
    </row>
    <row r="1970" spans="1:19" ht="50.1" customHeight="1">
      <c r="A1970" s="31" t="s">
        <v>35</v>
      </c>
      <c r="B1970" s="32" t="s">
        <v>7753</v>
      </c>
      <c r="C1970" s="31" t="s">
        <v>37</v>
      </c>
      <c r="D1970" s="31" t="s">
        <v>7754</v>
      </c>
      <c r="E1970" s="31" t="s">
        <v>7755</v>
      </c>
      <c r="F1970" s="31" t="s">
        <v>31</v>
      </c>
      <c r="G1970" s="35">
        <v>1547</v>
      </c>
      <c r="H1970" s="31">
        <v>10</v>
      </c>
      <c r="I1970" s="31">
        <v>3</v>
      </c>
      <c r="J1970" s="31" t="s">
        <v>7756</v>
      </c>
      <c r="K1970" s="31" t="s">
        <v>33</v>
      </c>
      <c r="L1970" s="31" t="s">
        <v>34</v>
      </c>
      <c r="M1970" s="31">
        <v>733</v>
      </c>
      <c r="N1970" s="31">
        <v>2025</v>
      </c>
      <c r="O1970" s="31" t="s">
        <v>220</v>
      </c>
      <c r="P1970" s="31"/>
      <c r="Q1970" s="31"/>
      <c r="R1970" s="33" t="s">
        <v>7757</v>
      </c>
      <c r="S1970" s="34" t="str">
        <f>HYPERLINK("http://www.cnpol.ru/covers/21862.jpg","фото на сайте")</f>
        <v>фото на сайте</v>
      </c>
    </row>
    <row r="1971" spans="1:19" ht="50.1" customHeight="1">
      <c r="A1971" s="31"/>
      <c r="B1971" s="32" t="s">
        <v>7758</v>
      </c>
      <c r="C1971" s="31" t="s">
        <v>302</v>
      </c>
      <c r="D1971" s="31" t="s">
        <v>5115</v>
      </c>
      <c r="E1971" s="31" t="s">
        <v>7759</v>
      </c>
      <c r="F1971" s="31" t="s">
        <v>31</v>
      </c>
      <c r="G1971" s="31">
        <v>977</v>
      </c>
      <c r="H1971" s="31">
        <v>10</v>
      </c>
      <c r="I1971" s="31">
        <v>12</v>
      </c>
      <c r="J1971" s="31" t="s">
        <v>7760</v>
      </c>
      <c r="K1971" s="31" t="s">
        <v>41</v>
      </c>
      <c r="L1971" s="31" t="s">
        <v>304</v>
      </c>
      <c r="M1971" s="31">
        <v>416</v>
      </c>
      <c r="N1971" s="31">
        <v>2022</v>
      </c>
      <c r="O1971" s="31">
        <v>534</v>
      </c>
      <c r="P1971" s="31"/>
      <c r="Q1971" s="31"/>
      <c r="R1971" s="33" t="s">
        <v>7761</v>
      </c>
      <c r="S1971" s="34" t="str">
        <f>HYPERLINK("http://www.cnpol.ru/covers/20432.jpg","фото на сайте")</f>
        <v>фото на сайте</v>
      </c>
    </row>
    <row r="1972" spans="1:19" ht="50.1" customHeight="1">
      <c r="A1972" s="31" t="s">
        <v>35</v>
      </c>
      <c r="B1972" s="32" t="s">
        <v>7762</v>
      </c>
      <c r="C1972" s="31" t="s">
        <v>297</v>
      </c>
      <c r="D1972" s="31" t="s">
        <v>5115</v>
      </c>
      <c r="E1972" s="31" t="s">
        <v>7759</v>
      </c>
      <c r="F1972" s="31" t="s">
        <v>31</v>
      </c>
      <c r="G1972" s="31">
        <v>341</v>
      </c>
      <c r="H1972" s="31">
        <v>10</v>
      </c>
      <c r="I1972" s="31">
        <v>7</v>
      </c>
      <c r="J1972" s="31" t="s">
        <v>7763</v>
      </c>
      <c r="K1972" s="31" t="s">
        <v>300</v>
      </c>
      <c r="L1972" s="31" t="s">
        <v>56</v>
      </c>
      <c r="M1972" s="31">
        <v>415</v>
      </c>
      <c r="N1972" s="31">
        <v>2024</v>
      </c>
      <c r="O1972" s="31">
        <v>131</v>
      </c>
      <c r="P1972" s="31"/>
      <c r="Q1972" s="31"/>
      <c r="R1972" s="33" t="s">
        <v>7761</v>
      </c>
      <c r="S1972" s="34" t="str">
        <f>HYPERLINK("http://www.cnpol.ru/covers/21241.jpg","фото на сайте")</f>
        <v>фото на сайте</v>
      </c>
    </row>
    <row r="1973" spans="1:19" ht="50.1" customHeight="1">
      <c r="A1973" s="31"/>
      <c r="B1973" s="32" t="s">
        <v>7764</v>
      </c>
      <c r="C1973" s="31" t="s">
        <v>1102</v>
      </c>
      <c r="D1973" s="31" t="s">
        <v>7765</v>
      </c>
      <c r="E1973" s="31" t="s">
        <v>7766</v>
      </c>
      <c r="F1973" s="31" t="s">
        <v>31</v>
      </c>
      <c r="G1973" s="31">
        <v>640</v>
      </c>
      <c r="H1973" s="31">
        <v>10</v>
      </c>
      <c r="I1973" s="31">
        <v>12</v>
      </c>
      <c r="J1973" s="31" t="s">
        <v>7767</v>
      </c>
      <c r="K1973" s="31" t="s">
        <v>33</v>
      </c>
      <c r="L1973" s="31" t="s">
        <v>34</v>
      </c>
      <c r="M1973" s="31">
        <v>384</v>
      </c>
      <c r="N1973" s="31">
        <v>2015</v>
      </c>
      <c r="O1973" s="31">
        <v>304</v>
      </c>
      <c r="P1973" s="31"/>
      <c r="Q1973" s="31"/>
      <c r="R1973" s="33"/>
      <c r="S1973" s="34" t="str">
        <f>HYPERLINK("http://www.cnpol.ru/covers/16323.jpg","фото на сайте")</f>
        <v>фото на сайте</v>
      </c>
    </row>
    <row r="1974" spans="1:19" ht="50.1" customHeight="1">
      <c r="A1974" s="31"/>
      <c r="B1974" s="32" t="s">
        <v>7768</v>
      </c>
      <c r="C1974" s="31" t="s">
        <v>1237</v>
      </c>
      <c r="D1974" s="31" t="s">
        <v>1238</v>
      </c>
      <c r="E1974" s="31" t="s">
        <v>7769</v>
      </c>
      <c r="F1974" s="31" t="s">
        <v>31</v>
      </c>
      <c r="G1974" s="31">
        <v>807</v>
      </c>
      <c r="H1974" s="31">
        <v>10</v>
      </c>
      <c r="I1974" s="31">
        <v>12</v>
      </c>
      <c r="J1974" s="31" t="s">
        <v>7770</v>
      </c>
      <c r="K1974" s="31" t="s">
        <v>33</v>
      </c>
      <c r="L1974" s="31" t="s">
        <v>34</v>
      </c>
      <c r="M1974" s="31">
        <v>384</v>
      </c>
      <c r="N1974" s="31">
        <v>2020</v>
      </c>
      <c r="O1974" s="31">
        <v>476</v>
      </c>
      <c r="P1974" s="31"/>
      <c r="Q1974" s="31"/>
      <c r="R1974" s="33"/>
      <c r="S1974" s="34" t="str">
        <f>HYPERLINK("http://www.cnpol.ru/covers/19056.jpg","фото на сайте")</f>
        <v>фото на сайте</v>
      </c>
    </row>
    <row r="1975" spans="1:19" ht="50.1" customHeight="1">
      <c r="A1975" s="31" t="s">
        <v>43</v>
      </c>
      <c r="B1975" s="32" t="s">
        <v>7771</v>
      </c>
      <c r="C1975" s="31" t="s">
        <v>37</v>
      </c>
      <c r="D1975" s="31" t="s">
        <v>7772</v>
      </c>
      <c r="E1975" s="31" t="s">
        <v>7773</v>
      </c>
      <c r="F1975" s="31" t="s">
        <v>31</v>
      </c>
      <c r="G1975" s="35">
        <v>1038</v>
      </c>
      <c r="H1975" s="31">
        <v>10</v>
      </c>
      <c r="I1975" s="31">
        <v>10</v>
      </c>
      <c r="J1975" s="31" t="s">
        <v>7774</v>
      </c>
      <c r="K1975" s="31" t="s">
        <v>33</v>
      </c>
      <c r="L1975" s="31" t="s">
        <v>34</v>
      </c>
      <c r="M1975" s="31">
        <v>413</v>
      </c>
      <c r="N1975" s="31">
        <v>2024</v>
      </c>
      <c r="O1975" s="31">
        <v>465</v>
      </c>
      <c r="P1975" s="31"/>
      <c r="Q1975" s="31"/>
      <c r="R1975" s="33" t="s">
        <v>7775</v>
      </c>
      <c r="S1975" s="34" t="str">
        <f>HYPERLINK("http://www.cnpol.ru/covers/21070.jpg","фото на сайте")</f>
        <v>фото на сайте</v>
      </c>
    </row>
    <row r="1976" spans="1:19" ht="50.1" customHeight="1">
      <c r="A1976" s="31"/>
      <c r="B1976" s="32" t="s">
        <v>7776</v>
      </c>
      <c r="C1976" s="31" t="s">
        <v>1323</v>
      </c>
      <c r="D1976" s="31" t="s">
        <v>2347</v>
      </c>
      <c r="E1976" s="31" t="s">
        <v>7777</v>
      </c>
      <c r="F1976" s="31" t="s">
        <v>31</v>
      </c>
      <c r="G1976" s="31">
        <v>169</v>
      </c>
      <c r="H1976" s="31">
        <v>10</v>
      </c>
      <c r="I1976" s="31">
        <v>10</v>
      </c>
      <c r="J1976" s="31" t="s">
        <v>7778</v>
      </c>
      <c r="K1976" s="31" t="s">
        <v>55</v>
      </c>
      <c r="L1976" s="31" t="s">
        <v>56</v>
      </c>
      <c r="M1976" s="31">
        <v>288</v>
      </c>
      <c r="N1976" s="31">
        <v>2021</v>
      </c>
      <c r="O1976" s="31">
        <v>122</v>
      </c>
      <c r="P1976" s="31"/>
      <c r="Q1976" s="31"/>
      <c r="R1976" s="33"/>
      <c r="S1976" s="34" t="str">
        <f>HYPERLINK("http://www.cnpol.ru/covers/19617.jpg","фото на сайте")</f>
        <v>фото на сайте</v>
      </c>
    </row>
    <row r="1977" spans="1:19" ht="50.1" customHeight="1">
      <c r="A1977" s="31"/>
      <c r="B1977" s="32" t="s">
        <v>7779</v>
      </c>
      <c r="C1977" s="31" t="s">
        <v>297</v>
      </c>
      <c r="D1977" s="31" t="s">
        <v>7349</v>
      </c>
      <c r="E1977" s="31" t="s">
        <v>7780</v>
      </c>
      <c r="F1977" s="31" t="s">
        <v>31</v>
      </c>
      <c r="G1977" s="31">
        <v>356</v>
      </c>
      <c r="H1977" s="31">
        <v>10</v>
      </c>
      <c r="I1977" s="31">
        <v>12</v>
      </c>
      <c r="J1977" s="31" t="s">
        <v>7781</v>
      </c>
      <c r="K1977" s="31" t="s">
        <v>300</v>
      </c>
      <c r="L1977" s="31" t="s">
        <v>56</v>
      </c>
      <c r="M1977" s="31">
        <v>576</v>
      </c>
      <c r="N1977" s="31">
        <v>2017</v>
      </c>
      <c r="O1977" s="31">
        <v>280</v>
      </c>
      <c r="P1977" s="31"/>
      <c r="Q1977" s="31"/>
      <c r="R1977" s="33"/>
      <c r="S1977" s="34" t="str">
        <f>HYPERLINK("http://www.cnpol.ru/covers/17296.jpg","фото на сайте")</f>
        <v>фото на сайте</v>
      </c>
    </row>
    <row r="1978" spans="1:19" ht="50.1" customHeight="1">
      <c r="A1978" s="31"/>
      <c r="B1978" s="32" t="s">
        <v>7782</v>
      </c>
      <c r="C1978" s="31" t="s">
        <v>400</v>
      </c>
      <c r="D1978" s="31" t="s">
        <v>7783</v>
      </c>
      <c r="E1978" s="31" t="s">
        <v>7784</v>
      </c>
      <c r="F1978" s="31" t="s">
        <v>31</v>
      </c>
      <c r="G1978" s="31">
        <v>503</v>
      </c>
      <c r="H1978" s="31">
        <v>10</v>
      </c>
      <c r="I1978" s="31">
        <v>14</v>
      </c>
      <c r="J1978" s="31" t="s">
        <v>7785</v>
      </c>
      <c r="K1978" s="31" t="s">
        <v>33</v>
      </c>
      <c r="L1978" s="31" t="s">
        <v>34</v>
      </c>
      <c r="M1978" s="31">
        <v>288</v>
      </c>
      <c r="N1978" s="31">
        <v>2020</v>
      </c>
      <c r="O1978" s="31">
        <v>252</v>
      </c>
      <c r="P1978" s="31"/>
      <c r="Q1978" s="31"/>
      <c r="R1978" s="33"/>
      <c r="S1978" s="34" t="str">
        <f>HYPERLINK("http://www.cnpol.ru/covers/19315.jpg","фото на сайте")</f>
        <v>фото на сайте</v>
      </c>
    </row>
    <row r="1979" spans="1:19" ht="50.1" customHeight="1">
      <c r="A1979" s="31" t="s">
        <v>35</v>
      </c>
      <c r="B1979" s="32" t="s">
        <v>7786</v>
      </c>
      <c r="C1979" s="31" t="s">
        <v>45</v>
      </c>
      <c r="D1979" s="31" t="s">
        <v>7787</v>
      </c>
      <c r="E1979" s="31" t="s">
        <v>7788</v>
      </c>
      <c r="F1979" s="31" t="s">
        <v>31</v>
      </c>
      <c r="G1979" s="35">
        <v>1547</v>
      </c>
      <c r="H1979" s="31">
        <v>10</v>
      </c>
      <c r="I1979" s="31">
        <v>4</v>
      </c>
      <c r="J1979" s="31" t="s">
        <v>7789</v>
      </c>
      <c r="K1979" s="31" t="s">
        <v>33</v>
      </c>
      <c r="L1979" s="31" t="s">
        <v>34</v>
      </c>
      <c r="M1979" s="31">
        <v>703</v>
      </c>
      <c r="N1979" s="31">
        <v>2025</v>
      </c>
      <c r="O1979" s="31">
        <v>614</v>
      </c>
      <c r="P1979" s="31"/>
      <c r="Q1979" s="31"/>
      <c r="R1979" s="33" t="s">
        <v>7790</v>
      </c>
      <c r="S1979" s="34" t="str">
        <f>HYPERLINK("http://www.cnpol.ru/covers/21475.jpg","фото на сайте")</f>
        <v>фото на сайте</v>
      </c>
    </row>
    <row r="1980" spans="1:19" ht="50.1" customHeight="1">
      <c r="A1980" s="31"/>
      <c r="B1980" s="32" t="s">
        <v>7791</v>
      </c>
      <c r="C1980" s="31" t="s">
        <v>423</v>
      </c>
      <c r="D1980" s="31" t="s">
        <v>5713</v>
      </c>
      <c r="E1980" s="31" t="s">
        <v>7792</v>
      </c>
      <c r="F1980" s="31" t="s">
        <v>31</v>
      </c>
      <c r="G1980" s="31">
        <v>154</v>
      </c>
      <c r="H1980" s="31">
        <v>10</v>
      </c>
      <c r="I1980" s="31">
        <v>28</v>
      </c>
      <c r="J1980" s="31" t="s">
        <v>7793</v>
      </c>
      <c r="K1980" s="31" t="s">
        <v>55</v>
      </c>
      <c r="L1980" s="31" t="s">
        <v>56</v>
      </c>
      <c r="M1980" s="31">
        <v>318</v>
      </c>
      <c r="N1980" s="31">
        <v>2009</v>
      </c>
      <c r="O1980" s="31">
        <v>142</v>
      </c>
      <c r="P1980" s="31"/>
      <c r="Q1980" s="31"/>
      <c r="R1980" s="33"/>
      <c r="S1980" s="34" t="str">
        <f>HYPERLINK("http://www.cnpol.ru/covers/11228.jpg","фото на сайте")</f>
        <v>фото на сайте</v>
      </c>
    </row>
    <row r="1981" spans="1:19" ht="50.1" customHeight="1">
      <c r="A1981" s="31"/>
      <c r="B1981" s="32" t="s">
        <v>7794</v>
      </c>
      <c r="C1981" s="31" t="s">
        <v>390</v>
      </c>
      <c r="D1981" s="31" t="s">
        <v>1801</v>
      </c>
      <c r="E1981" s="31" t="s">
        <v>7795</v>
      </c>
      <c r="F1981" s="31">
        <v>676</v>
      </c>
      <c r="G1981" s="31">
        <v>86</v>
      </c>
      <c r="H1981" s="31">
        <v>10</v>
      </c>
      <c r="I1981" s="31">
        <v>30</v>
      </c>
      <c r="J1981" s="31" t="s">
        <v>7796</v>
      </c>
      <c r="K1981" s="31" t="s">
        <v>123</v>
      </c>
      <c r="L1981" s="31" t="s">
        <v>56</v>
      </c>
      <c r="M1981" s="31">
        <v>160</v>
      </c>
      <c r="N1981" s="31">
        <v>2016</v>
      </c>
      <c r="O1981" s="31">
        <v>76</v>
      </c>
      <c r="P1981" s="31"/>
      <c r="Q1981" s="31"/>
      <c r="R1981" s="33"/>
      <c r="S1981" s="34" t="str">
        <f>HYPERLINK("http://www.cnpol.ru/covers/17200.jpg","фото на сайте")</f>
        <v>фото на сайте</v>
      </c>
    </row>
    <row r="1982" spans="1:19" ht="50.1" customHeight="1">
      <c r="A1982" s="31" t="s">
        <v>43</v>
      </c>
      <c r="B1982" s="32" t="s">
        <v>7797</v>
      </c>
      <c r="C1982" s="31" t="s">
        <v>37</v>
      </c>
      <c r="D1982" s="31" t="s">
        <v>7798</v>
      </c>
      <c r="E1982" s="31" t="s">
        <v>7799</v>
      </c>
      <c r="F1982" s="31" t="s">
        <v>31</v>
      </c>
      <c r="G1982" s="31">
        <v>851</v>
      </c>
      <c r="H1982" s="31">
        <v>10</v>
      </c>
      <c r="I1982" s="31">
        <v>14</v>
      </c>
      <c r="J1982" s="31" t="s">
        <v>7800</v>
      </c>
      <c r="K1982" s="31" t="s">
        <v>33</v>
      </c>
      <c r="L1982" s="31" t="s">
        <v>34</v>
      </c>
      <c r="M1982" s="31">
        <v>286</v>
      </c>
      <c r="N1982" s="31">
        <v>2024</v>
      </c>
      <c r="O1982" s="31">
        <v>266</v>
      </c>
      <c r="P1982" s="31"/>
      <c r="Q1982" s="31"/>
      <c r="R1982" s="33" t="s">
        <v>7801</v>
      </c>
      <c r="S1982" s="34" t="str">
        <f>HYPERLINK("http://www.cnpol.ru/covers/21306.jpg","фото на сайте")</f>
        <v>фото на сайте</v>
      </c>
    </row>
    <row r="1983" spans="1:19" ht="50.1" customHeight="1">
      <c r="A1983" s="31"/>
      <c r="B1983" s="32" t="s">
        <v>7802</v>
      </c>
      <c r="C1983" s="31" t="s">
        <v>4799</v>
      </c>
      <c r="D1983" s="31" t="s">
        <v>7803</v>
      </c>
      <c r="E1983" s="31" t="s">
        <v>7804</v>
      </c>
      <c r="F1983" s="31" t="s">
        <v>31</v>
      </c>
      <c r="G1983" s="31">
        <v>194</v>
      </c>
      <c r="H1983" s="31">
        <v>10</v>
      </c>
      <c r="I1983" s="31">
        <v>10</v>
      </c>
      <c r="J1983" s="31" t="s">
        <v>7805</v>
      </c>
      <c r="K1983" s="31" t="s">
        <v>130</v>
      </c>
      <c r="L1983" s="31" t="s">
        <v>56</v>
      </c>
      <c r="M1983" s="31">
        <v>223</v>
      </c>
      <c r="N1983" s="31">
        <v>2012</v>
      </c>
      <c r="O1983" s="31">
        <v>112</v>
      </c>
      <c r="P1983" s="31"/>
      <c r="Q1983" s="31"/>
      <c r="R1983" s="33"/>
      <c r="S1983" s="34" t="str">
        <f>HYPERLINK("http://www.cnpol.ru/covers/13249.jpg","фото на сайте")</f>
        <v>фото на сайте</v>
      </c>
    </row>
    <row r="1984" spans="1:19" ht="50.1" customHeight="1">
      <c r="A1984" s="31"/>
      <c r="B1984" s="32" t="s">
        <v>7806</v>
      </c>
      <c r="C1984" s="31" t="s">
        <v>538</v>
      </c>
      <c r="D1984" s="31" t="s">
        <v>7807</v>
      </c>
      <c r="E1984" s="31" t="s">
        <v>7804</v>
      </c>
      <c r="F1984" s="31" t="s">
        <v>31</v>
      </c>
      <c r="G1984" s="31">
        <v>559</v>
      </c>
      <c r="H1984" s="31">
        <v>10</v>
      </c>
      <c r="I1984" s="31">
        <v>16</v>
      </c>
      <c r="J1984" s="31" t="s">
        <v>7808</v>
      </c>
      <c r="K1984" s="31" t="s">
        <v>33</v>
      </c>
      <c r="L1984" s="31" t="s">
        <v>34</v>
      </c>
      <c r="M1984" s="31">
        <v>223</v>
      </c>
      <c r="N1984" s="31">
        <v>2009</v>
      </c>
      <c r="O1984" s="31">
        <v>248</v>
      </c>
      <c r="P1984" s="31"/>
      <c r="Q1984" s="31"/>
      <c r="R1984" s="33"/>
      <c r="S1984" s="34" t="str">
        <f>HYPERLINK("http://www.cnpol.ru/covers/11214.jpg","фото на сайте")</f>
        <v>фото на сайте</v>
      </c>
    </row>
    <row r="1985" spans="1:19" ht="50.1" customHeight="1">
      <c r="A1985" s="31"/>
      <c r="B1985" s="32" t="s">
        <v>7809</v>
      </c>
      <c r="C1985" s="31" t="s">
        <v>143</v>
      </c>
      <c r="D1985" s="31" t="s">
        <v>7810</v>
      </c>
      <c r="E1985" s="31" t="s">
        <v>7811</v>
      </c>
      <c r="F1985" s="31" t="s">
        <v>31</v>
      </c>
      <c r="G1985" s="31">
        <v>461</v>
      </c>
      <c r="H1985" s="31">
        <v>10</v>
      </c>
      <c r="I1985" s="31">
        <v>16</v>
      </c>
      <c r="J1985" s="31" t="s">
        <v>7812</v>
      </c>
      <c r="K1985" s="31" t="s">
        <v>33</v>
      </c>
      <c r="L1985" s="31" t="s">
        <v>34</v>
      </c>
      <c r="M1985" s="31">
        <v>255</v>
      </c>
      <c r="N1985" s="31">
        <v>2023</v>
      </c>
      <c r="O1985" s="31">
        <v>236</v>
      </c>
      <c r="P1985" s="31"/>
      <c r="Q1985" s="31"/>
      <c r="R1985" s="33" t="s">
        <v>7813</v>
      </c>
      <c r="S1985" s="34" t="str">
        <f>HYPERLINK("http://www.cnpol.ru/covers/20686.jpg","фото на сайте")</f>
        <v>фото на сайте</v>
      </c>
    </row>
    <row r="1986" spans="1:19" ht="50.1" customHeight="1">
      <c r="A1986" s="31" t="s">
        <v>43</v>
      </c>
      <c r="B1986" s="32" t="s">
        <v>7814</v>
      </c>
      <c r="C1986" s="31" t="s">
        <v>143</v>
      </c>
      <c r="D1986" s="31" t="s">
        <v>7815</v>
      </c>
      <c r="E1986" s="31" t="s">
        <v>7816</v>
      </c>
      <c r="F1986" s="31" t="s">
        <v>31</v>
      </c>
      <c r="G1986" s="35">
        <v>1149</v>
      </c>
      <c r="H1986" s="31">
        <v>10</v>
      </c>
      <c r="I1986" s="31">
        <v>8</v>
      </c>
      <c r="J1986" s="31" t="s">
        <v>7817</v>
      </c>
      <c r="K1986" s="31" t="s">
        <v>33</v>
      </c>
      <c r="L1986" s="31" t="s">
        <v>34</v>
      </c>
      <c r="M1986" s="31">
        <v>447</v>
      </c>
      <c r="N1986" s="31">
        <v>2024</v>
      </c>
      <c r="O1986" s="31">
        <v>301</v>
      </c>
      <c r="P1986" s="31"/>
      <c r="Q1986" s="31"/>
      <c r="R1986" s="33" t="s">
        <v>7818</v>
      </c>
      <c r="S1986" s="34" t="str">
        <f>HYPERLINK("http://www.cnpol.ru/covers/21269.jpg","фото на сайте")</f>
        <v>фото на сайте</v>
      </c>
    </row>
    <row r="1987" spans="1:19" ht="50.1" customHeight="1">
      <c r="A1987" s="31" t="s">
        <v>35</v>
      </c>
      <c r="B1987" s="32" t="s">
        <v>7819</v>
      </c>
      <c r="C1987" s="31" t="s">
        <v>37</v>
      </c>
      <c r="D1987" s="31" t="s">
        <v>7820</v>
      </c>
      <c r="E1987" s="31" t="s">
        <v>7821</v>
      </c>
      <c r="F1987" s="31" t="s">
        <v>31</v>
      </c>
      <c r="G1987" s="31">
        <v>807</v>
      </c>
      <c r="H1987" s="31">
        <v>10</v>
      </c>
      <c r="I1987" s="31">
        <v>14</v>
      </c>
      <c r="J1987" s="31" t="s">
        <v>7822</v>
      </c>
      <c r="K1987" s="31" t="s">
        <v>33</v>
      </c>
      <c r="L1987" s="31" t="s">
        <v>34</v>
      </c>
      <c r="M1987" s="31">
        <v>255</v>
      </c>
      <c r="N1987" s="31">
        <v>2024</v>
      </c>
      <c r="O1987" s="31">
        <v>319</v>
      </c>
      <c r="P1987" s="31"/>
      <c r="Q1987" s="31"/>
      <c r="R1987" s="33" t="s">
        <v>7823</v>
      </c>
      <c r="S1987" s="34" t="str">
        <f>HYPERLINK("http://www.cnpol.ru/covers/21198.jpg","фото на сайте")</f>
        <v>фото на сайте</v>
      </c>
    </row>
    <row r="1988" spans="1:19" ht="50.1" customHeight="1">
      <c r="A1988" s="31"/>
      <c r="B1988" s="32" t="s">
        <v>7824</v>
      </c>
      <c r="C1988" s="31" t="s">
        <v>1442</v>
      </c>
      <c r="D1988" s="31" t="s">
        <v>1443</v>
      </c>
      <c r="E1988" s="31" t="s">
        <v>7825</v>
      </c>
      <c r="F1988" s="31" t="s">
        <v>31</v>
      </c>
      <c r="G1988" s="35">
        <v>1022</v>
      </c>
      <c r="H1988" s="31">
        <v>10</v>
      </c>
      <c r="I1988" s="31">
        <v>10</v>
      </c>
      <c r="J1988" s="31" t="s">
        <v>7826</v>
      </c>
      <c r="K1988" s="31" t="s">
        <v>33</v>
      </c>
      <c r="L1988" s="31" t="s">
        <v>34</v>
      </c>
      <c r="M1988" s="31">
        <v>444</v>
      </c>
      <c r="N1988" s="31">
        <v>2023</v>
      </c>
      <c r="O1988" s="31">
        <v>479</v>
      </c>
      <c r="P1988" s="31"/>
      <c r="Q1988" s="31"/>
      <c r="R1988" s="33" t="s">
        <v>7827</v>
      </c>
      <c r="S1988" s="34" t="str">
        <f>HYPERLINK("http://www.cnpol.ru/covers/20779.jpg","фото на сайте")</f>
        <v>фото на сайте</v>
      </c>
    </row>
    <row r="1989" spans="1:19" ht="50.1" customHeight="1">
      <c r="A1989" s="31" t="s">
        <v>43</v>
      </c>
      <c r="B1989" s="32" t="s">
        <v>7828</v>
      </c>
      <c r="C1989" s="31" t="s">
        <v>143</v>
      </c>
      <c r="D1989" s="31" t="s">
        <v>7829</v>
      </c>
      <c r="E1989" s="31" t="s">
        <v>7830</v>
      </c>
      <c r="F1989" s="31" t="s">
        <v>31</v>
      </c>
      <c r="G1989" s="31">
        <v>887</v>
      </c>
      <c r="H1989" s="31">
        <v>10</v>
      </c>
      <c r="I1989" s="31">
        <v>12</v>
      </c>
      <c r="J1989" s="31" t="s">
        <v>7831</v>
      </c>
      <c r="K1989" s="31" t="s">
        <v>33</v>
      </c>
      <c r="L1989" s="31" t="s">
        <v>34</v>
      </c>
      <c r="M1989" s="31">
        <v>287</v>
      </c>
      <c r="N1989" s="31">
        <v>2024</v>
      </c>
      <c r="O1989" s="31">
        <v>354</v>
      </c>
      <c r="P1989" s="31"/>
      <c r="Q1989" s="31"/>
      <c r="R1989" s="33" t="s">
        <v>7832</v>
      </c>
      <c r="S1989" s="34" t="str">
        <f>HYPERLINK("http://www.cnpol.ru/covers/21139.jpg","фото на сайте")</f>
        <v>фото на сайте</v>
      </c>
    </row>
    <row r="1990" spans="1:19" ht="50.1" customHeight="1">
      <c r="A1990" s="31"/>
      <c r="B1990" s="32" t="s">
        <v>7833</v>
      </c>
      <c r="C1990" s="31" t="s">
        <v>1265</v>
      </c>
      <c r="D1990" s="31" t="s">
        <v>1266</v>
      </c>
      <c r="E1990" s="31" t="s">
        <v>7834</v>
      </c>
      <c r="F1990" s="31" t="s">
        <v>31</v>
      </c>
      <c r="G1990" s="31">
        <v>88</v>
      </c>
      <c r="H1990" s="31">
        <v>10</v>
      </c>
      <c r="I1990" s="31">
        <v>40</v>
      </c>
      <c r="J1990" s="31" t="s">
        <v>7835</v>
      </c>
      <c r="K1990" s="31" t="s">
        <v>123</v>
      </c>
      <c r="L1990" s="31" t="s">
        <v>56</v>
      </c>
      <c r="M1990" s="31">
        <v>127</v>
      </c>
      <c r="N1990" s="31">
        <v>2010</v>
      </c>
      <c r="O1990" s="31">
        <v>62</v>
      </c>
      <c r="P1990" s="31"/>
      <c r="Q1990" s="31"/>
      <c r="R1990" s="33"/>
      <c r="S1990" s="34" t="str">
        <f>HYPERLINK("http://www.cnpol.ru/covers/11791.jpg","фото на сайте")</f>
        <v>фото на сайте</v>
      </c>
    </row>
    <row r="1991" spans="1:19" ht="50.1" customHeight="1">
      <c r="A1991" s="31"/>
      <c r="B1991" s="32" t="s">
        <v>7836</v>
      </c>
      <c r="C1991" s="31" t="s">
        <v>479</v>
      </c>
      <c r="D1991" s="31" t="s">
        <v>7837</v>
      </c>
      <c r="E1991" s="31" t="s">
        <v>7838</v>
      </c>
      <c r="F1991" s="31" t="s">
        <v>31</v>
      </c>
      <c r="G1991" s="31">
        <v>316</v>
      </c>
      <c r="H1991" s="31">
        <v>10</v>
      </c>
      <c r="I1991" s="31">
        <v>12</v>
      </c>
      <c r="J1991" s="31" t="s">
        <v>7839</v>
      </c>
      <c r="K1991" s="31" t="s">
        <v>130</v>
      </c>
      <c r="L1991" s="31" t="s">
        <v>56</v>
      </c>
      <c r="M1991" s="31">
        <v>352</v>
      </c>
      <c r="N1991" s="31">
        <v>2017</v>
      </c>
      <c r="O1991" s="31">
        <v>214</v>
      </c>
      <c r="P1991" s="31"/>
      <c r="Q1991" s="31"/>
      <c r="R1991" s="33"/>
      <c r="S1991" s="34" t="str">
        <f>HYPERLINK("http://www.cnpol.ru/covers/17372.jpg","фото на сайте")</f>
        <v>фото на сайте</v>
      </c>
    </row>
    <row r="1992" spans="1:19" ht="50.1" customHeight="1">
      <c r="A1992" s="31" t="s">
        <v>35</v>
      </c>
      <c r="B1992" s="32" t="s">
        <v>7840</v>
      </c>
      <c r="C1992" s="31" t="s">
        <v>37</v>
      </c>
      <c r="D1992" s="31" t="s">
        <v>7841</v>
      </c>
      <c r="E1992" s="31" t="s">
        <v>7842</v>
      </c>
      <c r="F1992" s="31" t="s">
        <v>31</v>
      </c>
      <c r="G1992" s="31">
        <v>807</v>
      </c>
      <c r="H1992" s="31">
        <v>10</v>
      </c>
      <c r="I1992" s="31">
        <v>5</v>
      </c>
      <c r="J1992" s="31" t="s">
        <v>7843</v>
      </c>
      <c r="K1992" s="31" t="s">
        <v>33</v>
      </c>
      <c r="L1992" s="31" t="s">
        <v>34</v>
      </c>
      <c r="M1992" s="31">
        <v>255</v>
      </c>
      <c r="N1992" s="31">
        <v>2025</v>
      </c>
      <c r="O1992" s="31" t="s">
        <v>220</v>
      </c>
      <c r="P1992" s="31"/>
      <c r="Q1992" s="31"/>
      <c r="R1992" s="33" t="s">
        <v>7844</v>
      </c>
      <c r="S1992" s="34" t="str">
        <f>HYPERLINK("http://www.cnpol.ru/covers/21813.jpg","фото на сайте")</f>
        <v>фото на сайте</v>
      </c>
    </row>
    <row r="1993" spans="1:19" ht="50.1" customHeight="1">
      <c r="A1993" s="31" t="s">
        <v>43</v>
      </c>
      <c r="B1993" s="32" t="s">
        <v>7845</v>
      </c>
      <c r="C1993" s="31" t="s">
        <v>37</v>
      </c>
      <c r="D1993" s="31" t="s">
        <v>7846</v>
      </c>
      <c r="E1993" s="31" t="s">
        <v>7847</v>
      </c>
      <c r="F1993" s="31" t="s">
        <v>31</v>
      </c>
      <c r="G1993" s="31">
        <v>961</v>
      </c>
      <c r="H1993" s="31">
        <v>10</v>
      </c>
      <c r="I1993" s="31">
        <v>5</v>
      </c>
      <c r="J1993" s="31" t="s">
        <v>7848</v>
      </c>
      <c r="K1993" s="31" t="s">
        <v>33</v>
      </c>
      <c r="L1993" s="31" t="s">
        <v>34</v>
      </c>
      <c r="M1993" s="31">
        <v>348</v>
      </c>
      <c r="N1993" s="31">
        <v>2025</v>
      </c>
      <c r="O1993" s="31" t="s">
        <v>220</v>
      </c>
      <c r="P1993" s="31"/>
      <c r="Q1993" s="31"/>
      <c r="R1993" s="33" t="s">
        <v>7849</v>
      </c>
      <c r="S1993" s="34" t="str">
        <f>HYPERLINK("http://www.cnpol.ru/covers/21841.jpg","фото на сайте")</f>
        <v>фото на сайте</v>
      </c>
    </row>
    <row r="1994" spans="1:19" ht="50.1" customHeight="1">
      <c r="A1994" s="31"/>
      <c r="B1994" s="32" t="s">
        <v>7850</v>
      </c>
      <c r="C1994" s="31" t="s">
        <v>1323</v>
      </c>
      <c r="D1994" s="31" t="s">
        <v>1324</v>
      </c>
      <c r="E1994" s="31" t="s">
        <v>7851</v>
      </c>
      <c r="F1994" s="31" t="s">
        <v>31</v>
      </c>
      <c r="G1994" s="31">
        <v>169</v>
      </c>
      <c r="H1994" s="31">
        <v>10</v>
      </c>
      <c r="I1994" s="31">
        <v>40</v>
      </c>
      <c r="J1994" s="31" t="s">
        <v>7852</v>
      </c>
      <c r="K1994" s="31" t="s">
        <v>55</v>
      </c>
      <c r="L1994" s="31" t="s">
        <v>56</v>
      </c>
      <c r="M1994" s="31">
        <v>256</v>
      </c>
      <c r="N1994" s="31">
        <v>2019</v>
      </c>
      <c r="O1994" s="31">
        <v>106</v>
      </c>
      <c r="P1994" s="31"/>
      <c r="Q1994" s="31"/>
      <c r="R1994" s="33"/>
      <c r="S1994" s="34" t="str">
        <f>HYPERLINK("http://www.cnpol.ru/covers/19008.jpg","фото на сайте")</f>
        <v>фото на сайте</v>
      </c>
    </row>
    <row r="1995" spans="1:19" ht="50.1" customHeight="1">
      <c r="A1995" s="31" t="s">
        <v>43</v>
      </c>
      <c r="B1995" s="32" t="s">
        <v>7853</v>
      </c>
      <c r="C1995" s="31" t="s">
        <v>434</v>
      </c>
      <c r="D1995" s="31" t="s">
        <v>3680</v>
      </c>
      <c r="E1995" s="31" t="s">
        <v>7854</v>
      </c>
      <c r="F1995" s="31" t="s">
        <v>31</v>
      </c>
      <c r="G1995" s="31">
        <v>761</v>
      </c>
      <c r="H1995" s="31">
        <v>10</v>
      </c>
      <c r="I1995" s="31">
        <v>16</v>
      </c>
      <c r="J1995" s="31" t="s">
        <v>7855</v>
      </c>
      <c r="K1995" s="31" t="s">
        <v>33</v>
      </c>
      <c r="L1995" s="31" t="s">
        <v>34</v>
      </c>
      <c r="M1995" s="31">
        <v>222</v>
      </c>
      <c r="N1995" s="31">
        <v>2025</v>
      </c>
      <c r="O1995" s="31">
        <v>162</v>
      </c>
      <c r="P1995" s="31"/>
      <c r="Q1995" s="31"/>
      <c r="R1995" s="33" t="s">
        <v>7856</v>
      </c>
      <c r="S1995" s="34" t="str">
        <f>HYPERLINK("http://www.cnpol.ru/covers/21439.jpg","фото на сайте")</f>
        <v>фото на сайте</v>
      </c>
    </row>
    <row r="1996" spans="1:19" ht="50.1" customHeight="1">
      <c r="A1996" s="31"/>
      <c r="B1996" s="32" t="s">
        <v>7857</v>
      </c>
      <c r="C1996" s="31" t="s">
        <v>390</v>
      </c>
      <c r="D1996" s="31" t="s">
        <v>3610</v>
      </c>
      <c r="E1996" s="31" t="s">
        <v>7858</v>
      </c>
      <c r="F1996" s="31">
        <v>730</v>
      </c>
      <c r="G1996" s="31">
        <v>86</v>
      </c>
      <c r="H1996" s="31">
        <v>10</v>
      </c>
      <c r="I1996" s="31">
        <v>30</v>
      </c>
      <c r="J1996" s="31" t="s">
        <v>7859</v>
      </c>
      <c r="K1996" s="31" t="s">
        <v>123</v>
      </c>
      <c r="L1996" s="31" t="s">
        <v>56</v>
      </c>
      <c r="M1996" s="31">
        <v>160</v>
      </c>
      <c r="N1996" s="31">
        <v>2017</v>
      </c>
      <c r="O1996" s="31">
        <v>76</v>
      </c>
      <c r="P1996" s="31"/>
      <c r="Q1996" s="31"/>
      <c r="R1996" s="33"/>
      <c r="S1996" s="34" t="str">
        <f>HYPERLINK("http://www.cnpol.ru/covers/17564.jpg","фото на сайте")</f>
        <v>фото на сайте</v>
      </c>
    </row>
    <row r="1997" spans="1:19" ht="50.1" customHeight="1">
      <c r="A1997" s="31"/>
      <c r="B1997" s="32" t="s">
        <v>7860</v>
      </c>
      <c r="C1997" s="31" t="s">
        <v>385</v>
      </c>
      <c r="D1997" s="31" t="s">
        <v>386</v>
      </c>
      <c r="E1997" s="31" t="s">
        <v>7861</v>
      </c>
      <c r="F1997" s="31" t="s">
        <v>31</v>
      </c>
      <c r="G1997" s="31">
        <v>162</v>
      </c>
      <c r="H1997" s="31">
        <v>10</v>
      </c>
      <c r="I1997" s="31">
        <v>32</v>
      </c>
      <c r="J1997" s="31" t="s">
        <v>7862</v>
      </c>
      <c r="K1997" s="31" t="s">
        <v>55</v>
      </c>
      <c r="L1997" s="31" t="s">
        <v>56</v>
      </c>
      <c r="M1997" s="31">
        <v>256</v>
      </c>
      <c r="N1997" s="31">
        <v>2016</v>
      </c>
      <c r="O1997" s="31">
        <v>110</v>
      </c>
      <c r="P1997" s="31"/>
      <c r="Q1997" s="31"/>
      <c r="R1997" s="33"/>
      <c r="S1997" s="34" t="str">
        <f>HYPERLINK("http://www.cnpol.ru/covers/0140.jpg","фото на сайте")</f>
        <v>фото на сайте</v>
      </c>
    </row>
    <row r="1998" spans="1:19" ht="50.1" customHeight="1">
      <c r="A1998" s="31"/>
      <c r="B1998" s="32" t="s">
        <v>7863</v>
      </c>
      <c r="C1998" s="31" t="s">
        <v>413</v>
      </c>
      <c r="D1998" s="31" t="s">
        <v>1656</v>
      </c>
      <c r="E1998" s="31" t="s">
        <v>7864</v>
      </c>
      <c r="F1998" s="31">
        <v>108</v>
      </c>
      <c r="G1998" s="31">
        <v>117</v>
      </c>
      <c r="H1998" s="31">
        <v>10</v>
      </c>
      <c r="I1998" s="31">
        <v>36</v>
      </c>
      <c r="J1998" s="31" t="s">
        <v>7865</v>
      </c>
      <c r="K1998" s="31" t="s">
        <v>123</v>
      </c>
      <c r="L1998" s="31" t="s">
        <v>56</v>
      </c>
      <c r="M1998" s="31">
        <v>192</v>
      </c>
      <c r="N1998" s="31">
        <v>2016</v>
      </c>
      <c r="O1998" s="31">
        <v>90</v>
      </c>
      <c r="P1998" s="31"/>
      <c r="Q1998" s="31"/>
      <c r="R1998" s="33"/>
      <c r="S1998" s="34" t="str">
        <f>HYPERLINK("http://www.cnpol.ru/covers/16810.jpg","фото на сайте")</f>
        <v>фото на сайте</v>
      </c>
    </row>
    <row r="1999" spans="1:19" ht="50.1" customHeight="1">
      <c r="A1999" s="31"/>
      <c r="B1999" s="32" t="s">
        <v>7866</v>
      </c>
      <c r="C1999" s="31" t="s">
        <v>5199</v>
      </c>
      <c r="D1999" s="31" t="s">
        <v>5200</v>
      </c>
      <c r="E1999" s="31" t="s">
        <v>7867</v>
      </c>
      <c r="F1999" s="31" t="s">
        <v>31</v>
      </c>
      <c r="G1999" s="31">
        <v>539</v>
      </c>
      <c r="H1999" s="31">
        <v>10</v>
      </c>
      <c r="I1999" s="31">
        <v>14</v>
      </c>
      <c r="J1999" s="31" t="s">
        <v>7868</v>
      </c>
      <c r="K1999" s="31" t="s">
        <v>158</v>
      </c>
      <c r="L1999" s="31" t="s">
        <v>34</v>
      </c>
      <c r="M1999" s="31">
        <v>384</v>
      </c>
      <c r="N1999" s="31">
        <v>2019</v>
      </c>
      <c r="O1999" s="31">
        <v>298</v>
      </c>
      <c r="P1999" s="31"/>
      <c r="Q1999" s="31"/>
      <c r="R1999" s="33"/>
      <c r="S1999" s="34" t="str">
        <f>HYPERLINK("http://www.cnpol.ru/covers/18741.jpg","фото на сайте")</f>
        <v>фото на сайте</v>
      </c>
    </row>
    <row r="2000" spans="1:19" ht="50.1" customHeight="1">
      <c r="A2000" s="31"/>
      <c r="B2000" s="32" t="s">
        <v>7869</v>
      </c>
      <c r="C2000" s="31" t="s">
        <v>546</v>
      </c>
      <c r="D2000" s="31" t="s">
        <v>653</v>
      </c>
      <c r="E2000" s="31" t="s">
        <v>7870</v>
      </c>
      <c r="F2000" s="31">
        <v>236</v>
      </c>
      <c r="G2000" s="31">
        <v>93</v>
      </c>
      <c r="H2000" s="31">
        <v>10</v>
      </c>
      <c r="I2000" s="31">
        <v>30</v>
      </c>
      <c r="J2000" s="31" t="s">
        <v>7871</v>
      </c>
      <c r="K2000" s="31" t="s">
        <v>123</v>
      </c>
      <c r="L2000" s="31" t="s">
        <v>56</v>
      </c>
      <c r="M2000" s="31">
        <v>160</v>
      </c>
      <c r="N2000" s="31">
        <v>2017</v>
      </c>
      <c r="O2000" s="31">
        <v>76</v>
      </c>
      <c r="P2000" s="31"/>
      <c r="Q2000" s="31"/>
      <c r="R2000" s="33"/>
      <c r="S2000" s="34" t="str">
        <f>HYPERLINK("http://www.cnpol.ru/covers/17681.jpg","фото на сайте")</f>
        <v>фото на сайте</v>
      </c>
    </row>
    <row r="2001" spans="1:19" ht="50.1" customHeight="1">
      <c r="A2001" s="31"/>
      <c r="B2001" s="32" t="s">
        <v>7872</v>
      </c>
      <c r="C2001" s="31" t="s">
        <v>119</v>
      </c>
      <c r="D2001" s="31" t="s">
        <v>191</v>
      </c>
      <c r="E2001" s="31" t="s">
        <v>7873</v>
      </c>
      <c r="F2001" s="31" t="s">
        <v>31</v>
      </c>
      <c r="G2001" s="31">
        <v>673</v>
      </c>
      <c r="H2001" s="31">
        <v>10</v>
      </c>
      <c r="I2001" s="31">
        <v>12</v>
      </c>
      <c r="J2001" s="31" t="s">
        <v>7874</v>
      </c>
      <c r="K2001" s="31" t="s">
        <v>194</v>
      </c>
      <c r="L2001" s="31" t="s">
        <v>34</v>
      </c>
      <c r="M2001" s="31">
        <v>414</v>
      </c>
      <c r="N2001" s="31">
        <v>2023</v>
      </c>
      <c r="O2001" s="31">
        <v>373</v>
      </c>
      <c r="P2001" s="31"/>
      <c r="Q2001" s="31"/>
      <c r="R2001" s="33" t="s">
        <v>7875</v>
      </c>
      <c r="S2001" s="34" t="str">
        <f>HYPERLINK("http://www.cnpol.ru/covers/20896.jpg","фото на сайте")</f>
        <v>фото на сайте</v>
      </c>
    </row>
    <row r="2002" spans="1:19" ht="50.1" customHeight="1">
      <c r="A2002" s="31" t="s">
        <v>35</v>
      </c>
      <c r="B2002" s="32" t="s">
        <v>7876</v>
      </c>
      <c r="C2002" s="31" t="s">
        <v>297</v>
      </c>
      <c r="D2002" s="31" t="s">
        <v>5474</v>
      </c>
      <c r="E2002" s="31" t="s">
        <v>7877</v>
      </c>
      <c r="F2002" s="31" t="s">
        <v>31</v>
      </c>
      <c r="G2002" s="31">
        <v>300</v>
      </c>
      <c r="H2002" s="31">
        <v>10</v>
      </c>
      <c r="I2002" s="31">
        <v>24</v>
      </c>
      <c r="J2002" s="31" t="s">
        <v>7878</v>
      </c>
      <c r="K2002" s="31" t="s">
        <v>300</v>
      </c>
      <c r="L2002" s="31" t="s">
        <v>56</v>
      </c>
      <c r="M2002" s="31">
        <v>256</v>
      </c>
      <c r="N2002" s="31">
        <v>2024</v>
      </c>
      <c r="O2002" s="31">
        <v>130</v>
      </c>
      <c r="P2002" s="31"/>
      <c r="Q2002" s="31"/>
      <c r="R2002" s="33" t="s">
        <v>7879</v>
      </c>
      <c r="S2002" s="34" t="str">
        <f>HYPERLINK("http://www.cnpol.ru/covers/21046.jpg","фото на сайте")</f>
        <v>фото на сайте</v>
      </c>
    </row>
    <row r="2003" spans="1:19" ht="50.1" customHeight="1">
      <c r="A2003" s="31"/>
      <c r="B2003" s="32" t="s">
        <v>7880</v>
      </c>
      <c r="C2003" s="31" t="s">
        <v>7881</v>
      </c>
      <c r="D2003" s="31" t="s">
        <v>7882</v>
      </c>
      <c r="E2003" s="31" t="s">
        <v>7883</v>
      </c>
      <c r="F2003" s="31" t="s">
        <v>31</v>
      </c>
      <c r="G2003" s="31">
        <v>88</v>
      </c>
      <c r="H2003" s="31">
        <v>10</v>
      </c>
      <c r="I2003" s="31">
        <v>30</v>
      </c>
      <c r="J2003" s="31" t="s">
        <v>7884</v>
      </c>
      <c r="K2003" s="31" t="s">
        <v>55</v>
      </c>
      <c r="L2003" s="31" t="s">
        <v>56</v>
      </c>
      <c r="M2003" s="31">
        <v>207</v>
      </c>
      <c r="N2003" s="31">
        <v>2008</v>
      </c>
      <c r="O2003" s="31">
        <v>76</v>
      </c>
      <c r="P2003" s="31"/>
      <c r="Q2003" s="31"/>
      <c r="R2003" s="33"/>
      <c r="S2003" s="34" t="str">
        <f>HYPERLINK("http://www.cnpol.ru/covers/7146.jpg","фото на сайте")</f>
        <v>фото на сайте</v>
      </c>
    </row>
    <row r="2004" spans="1:19" ht="50.1" customHeight="1">
      <c r="A2004" s="31" t="s">
        <v>35</v>
      </c>
      <c r="B2004" s="32" t="s">
        <v>7885</v>
      </c>
      <c r="C2004" s="31" t="s">
        <v>1611</v>
      </c>
      <c r="D2004" s="31" t="s">
        <v>4418</v>
      </c>
      <c r="E2004" s="31" t="s">
        <v>7886</v>
      </c>
      <c r="F2004" s="31" t="s">
        <v>31</v>
      </c>
      <c r="G2004" s="31">
        <v>421</v>
      </c>
      <c r="H2004" s="31">
        <v>10</v>
      </c>
      <c r="I2004" s="31">
        <v>18</v>
      </c>
      <c r="J2004" s="31" t="s">
        <v>7887</v>
      </c>
      <c r="K2004" s="31" t="s">
        <v>300</v>
      </c>
      <c r="L2004" s="31" t="s">
        <v>56</v>
      </c>
      <c r="M2004" s="31">
        <v>319</v>
      </c>
      <c r="N2004" s="31">
        <v>2024</v>
      </c>
      <c r="O2004" s="31">
        <v>184</v>
      </c>
      <c r="P2004" s="31"/>
      <c r="Q2004" s="31"/>
      <c r="R2004" s="33" t="s">
        <v>7888</v>
      </c>
      <c r="S2004" s="34" t="str">
        <f>HYPERLINK("http://www.cnpol.ru/covers/21380.jpg","фото на сайте")</f>
        <v>фото на сайте</v>
      </c>
    </row>
    <row r="2005" spans="1:19" ht="50.1" customHeight="1">
      <c r="A2005" s="31" t="s">
        <v>35</v>
      </c>
      <c r="B2005" s="32" t="s">
        <v>7889</v>
      </c>
      <c r="C2005" s="31" t="s">
        <v>658</v>
      </c>
      <c r="D2005" s="31" t="s">
        <v>3849</v>
      </c>
      <c r="E2005" s="31" t="s">
        <v>7890</v>
      </c>
      <c r="F2005" s="31" t="s">
        <v>31</v>
      </c>
      <c r="G2005" s="31">
        <v>630</v>
      </c>
      <c r="H2005" s="31">
        <v>10</v>
      </c>
      <c r="I2005" s="31">
        <v>10</v>
      </c>
      <c r="J2005" s="31" t="s">
        <v>7891</v>
      </c>
      <c r="K2005" s="31" t="s">
        <v>33</v>
      </c>
      <c r="L2005" s="31" t="s">
        <v>34</v>
      </c>
      <c r="M2005" s="31">
        <v>447</v>
      </c>
      <c r="N2005" s="31">
        <v>2025</v>
      </c>
      <c r="O2005" s="31">
        <v>356</v>
      </c>
      <c r="P2005" s="31"/>
      <c r="Q2005" s="31"/>
      <c r="R2005" s="33" t="s">
        <v>7892</v>
      </c>
      <c r="S2005" s="34" t="str">
        <f>HYPERLINK("http://www.cnpol.ru/covers/21593.jpg","фото на сайте")</f>
        <v>фото на сайте</v>
      </c>
    </row>
    <row r="2006" spans="1:19" ht="50.1" customHeight="1">
      <c r="A2006" s="31" t="s">
        <v>35</v>
      </c>
      <c r="B2006" s="32" t="s">
        <v>7893</v>
      </c>
      <c r="C2006" s="31" t="s">
        <v>1611</v>
      </c>
      <c r="D2006" s="31" t="s">
        <v>7894</v>
      </c>
      <c r="E2006" s="31" t="s">
        <v>7895</v>
      </c>
      <c r="F2006" s="31" t="s">
        <v>31</v>
      </c>
      <c r="G2006" s="35">
        <v>2809</v>
      </c>
      <c r="H2006" s="31">
        <v>10</v>
      </c>
      <c r="I2006" s="31">
        <v>5</v>
      </c>
      <c r="J2006" s="31" t="s">
        <v>7896</v>
      </c>
      <c r="K2006" s="31" t="s">
        <v>147</v>
      </c>
      <c r="L2006" s="31" t="s">
        <v>34</v>
      </c>
      <c r="M2006" s="31">
        <v>879</v>
      </c>
      <c r="N2006" s="31">
        <v>2025</v>
      </c>
      <c r="O2006" s="31" t="s">
        <v>220</v>
      </c>
      <c r="P2006" s="31"/>
      <c r="Q2006" s="31"/>
      <c r="R2006" s="33" t="s">
        <v>7897</v>
      </c>
      <c r="S2006" s="34" t="str">
        <f>HYPERLINK("http://www.cnpol.ru/covers/21843.jpg","фото на сайте")</f>
        <v>фото на сайте</v>
      </c>
    </row>
    <row r="2007" spans="1:19" ht="50.1" customHeight="1">
      <c r="A2007" s="31"/>
      <c r="B2007" s="32" t="s">
        <v>7898</v>
      </c>
      <c r="C2007" s="31" t="s">
        <v>546</v>
      </c>
      <c r="D2007" s="31" t="s">
        <v>6002</v>
      </c>
      <c r="E2007" s="31" t="s">
        <v>7899</v>
      </c>
      <c r="F2007" s="31">
        <v>293</v>
      </c>
      <c r="G2007" s="31">
        <v>93</v>
      </c>
      <c r="H2007" s="31">
        <v>10</v>
      </c>
      <c r="I2007" s="31">
        <v>30</v>
      </c>
      <c r="J2007" s="31" t="s">
        <v>7900</v>
      </c>
      <c r="K2007" s="31" t="s">
        <v>123</v>
      </c>
      <c r="L2007" s="31" t="s">
        <v>56</v>
      </c>
      <c r="M2007" s="31">
        <v>160</v>
      </c>
      <c r="N2007" s="31">
        <v>2019</v>
      </c>
      <c r="O2007" s="31">
        <v>76</v>
      </c>
      <c r="P2007" s="31"/>
      <c r="Q2007" s="31"/>
      <c r="R2007" s="33"/>
      <c r="S2007" s="34" t="str">
        <f>HYPERLINK("http://www.cnpol.ru/covers/18481.jpg","фото на сайте")</f>
        <v>фото на сайте</v>
      </c>
    </row>
    <row r="2008" spans="1:19" ht="50.1" customHeight="1">
      <c r="A2008" s="31" t="s">
        <v>35</v>
      </c>
      <c r="B2008" s="32" t="s">
        <v>7901</v>
      </c>
      <c r="C2008" s="31" t="s">
        <v>37</v>
      </c>
      <c r="D2008" s="31" t="s">
        <v>7902</v>
      </c>
      <c r="E2008" s="31" t="s">
        <v>7903</v>
      </c>
      <c r="F2008" s="31" t="s">
        <v>31</v>
      </c>
      <c r="G2008" s="35">
        <v>1125</v>
      </c>
      <c r="H2008" s="31">
        <v>10</v>
      </c>
      <c r="I2008" s="31">
        <v>10</v>
      </c>
      <c r="J2008" s="31" t="s">
        <v>7904</v>
      </c>
      <c r="K2008" s="31" t="s">
        <v>33</v>
      </c>
      <c r="L2008" s="31" t="s">
        <v>34</v>
      </c>
      <c r="M2008" s="31">
        <v>414</v>
      </c>
      <c r="N2008" s="31">
        <v>2024</v>
      </c>
      <c r="O2008" s="31">
        <v>487</v>
      </c>
      <c r="P2008" s="31"/>
      <c r="Q2008" s="31"/>
      <c r="R2008" s="33" t="s">
        <v>7905</v>
      </c>
      <c r="S2008" s="34" t="str">
        <f>HYPERLINK("http://www.cnpol.ru/covers/21197.jpg","фото на сайте")</f>
        <v>фото на сайте</v>
      </c>
    </row>
    <row r="2009" spans="1:19" ht="50.1" customHeight="1">
      <c r="A2009" s="31"/>
      <c r="B2009" s="32" t="s">
        <v>7906</v>
      </c>
      <c r="C2009" s="31" t="s">
        <v>1668</v>
      </c>
      <c r="D2009" s="31" t="s">
        <v>1669</v>
      </c>
      <c r="E2009" s="31" t="s">
        <v>7907</v>
      </c>
      <c r="F2009" s="31" t="s">
        <v>31</v>
      </c>
      <c r="G2009" s="31">
        <v>575</v>
      </c>
      <c r="H2009" s="31">
        <v>10</v>
      </c>
      <c r="I2009" s="31">
        <v>12</v>
      </c>
      <c r="J2009" s="31" t="s">
        <v>7908</v>
      </c>
      <c r="K2009" s="31" t="s">
        <v>33</v>
      </c>
      <c r="L2009" s="31" t="s">
        <v>34</v>
      </c>
      <c r="M2009" s="31">
        <v>383</v>
      </c>
      <c r="N2009" s="31">
        <v>2021</v>
      </c>
      <c r="O2009" s="31">
        <v>316</v>
      </c>
      <c r="P2009" s="31"/>
      <c r="Q2009" s="31"/>
      <c r="R2009" s="33"/>
      <c r="S2009" s="34" t="str">
        <f>HYPERLINK("http://www.cnpol.ru/covers/19856.jpg","фото на сайте")</f>
        <v>фото на сайте</v>
      </c>
    </row>
    <row r="2010" spans="1:19" ht="50.1" customHeight="1">
      <c r="A2010" s="31"/>
      <c r="B2010" s="32" t="s">
        <v>7909</v>
      </c>
      <c r="C2010" s="31" t="s">
        <v>45</v>
      </c>
      <c r="D2010" s="31" t="s">
        <v>7910</v>
      </c>
      <c r="E2010" s="31" t="s">
        <v>7911</v>
      </c>
      <c r="F2010" s="31" t="s">
        <v>31</v>
      </c>
      <c r="G2010" s="31">
        <v>746</v>
      </c>
      <c r="H2010" s="31">
        <v>10</v>
      </c>
      <c r="I2010" s="31">
        <v>16</v>
      </c>
      <c r="J2010" s="31" t="s">
        <v>7912</v>
      </c>
      <c r="K2010" s="31" t="s">
        <v>33</v>
      </c>
      <c r="L2010" s="31" t="s">
        <v>34</v>
      </c>
      <c r="M2010" s="31">
        <v>348</v>
      </c>
      <c r="N2010" s="31">
        <v>2014</v>
      </c>
      <c r="O2010" s="31">
        <v>380</v>
      </c>
      <c r="P2010" s="31"/>
      <c r="Q2010" s="31"/>
      <c r="R2010" s="33"/>
      <c r="S2010" s="34" t="str">
        <f>HYPERLINK("http://www.cnpol.ru/covers/15236.jpg","фото на сайте")</f>
        <v>фото на сайте</v>
      </c>
    </row>
    <row r="2011" spans="1:19" ht="50.1" customHeight="1">
      <c r="A2011" s="31"/>
      <c r="B2011" s="32" t="s">
        <v>7913</v>
      </c>
      <c r="C2011" s="31" t="s">
        <v>400</v>
      </c>
      <c r="D2011" s="31" t="s">
        <v>7914</v>
      </c>
      <c r="E2011" s="31" t="s">
        <v>7915</v>
      </c>
      <c r="F2011" s="31" t="s">
        <v>31</v>
      </c>
      <c r="G2011" s="31">
        <v>503</v>
      </c>
      <c r="H2011" s="31">
        <v>10</v>
      </c>
      <c r="I2011" s="31">
        <v>14</v>
      </c>
      <c r="J2011" s="31" t="s">
        <v>7916</v>
      </c>
      <c r="K2011" s="31" t="s">
        <v>33</v>
      </c>
      <c r="L2011" s="31" t="s">
        <v>34</v>
      </c>
      <c r="M2011" s="31">
        <v>288</v>
      </c>
      <c r="N2011" s="31">
        <v>2019</v>
      </c>
      <c r="O2011" s="31">
        <v>250</v>
      </c>
      <c r="P2011" s="31"/>
      <c r="Q2011" s="31"/>
      <c r="R2011" s="33"/>
      <c r="S2011" s="34" t="str">
        <f>HYPERLINK("http://www.cnpol.ru/covers/18512.jpg","фото на сайте")</f>
        <v>фото на сайте</v>
      </c>
    </row>
    <row r="2012" spans="1:19" ht="50.1" customHeight="1">
      <c r="A2012" s="31"/>
      <c r="B2012" s="32" t="s">
        <v>7917</v>
      </c>
      <c r="C2012" s="31" t="s">
        <v>546</v>
      </c>
      <c r="D2012" s="31" t="s">
        <v>1846</v>
      </c>
      <c r="E2012" s="31" t="s">
        <v>7918</v>
      </c>
      <c r="F2012" s="31">
        <v>304</v>
      </c>
      <c r="G2012" s="31">
        <v>93</v>
      </c>
      <c r="H2012" s="31">
        <v>10</v>
      </c>
      <c r="I2012" s="31">
        <v>30</v>
      </c>
      <c r="J2012" s="31" t="s">
        <v>7919</v>
      </c>
      <c r="K2012" s="31" t="s">
        <v>123</v>
      </c>
      <c r="L2012" s="31" t="s">
        <v>56</v>
      </c>
      <c r="M2012" s="31">
        <v>160</v>
      </c>
      <c r="N2012" s="31">
        <v>2019</v>
      </c>
      <c r="O2012" s="31">
        <v>78</v>
      </c>
      <c r="P2012" s="31"/>
      <c r="Q2012" s="31"/>
      <c r="R2012" s="33"/>
      <c r="S2012" s="34" t="str">
        <f>HYPERLINK("http://www.cnpol.ru/covers/18628.jpg","фото на сайте")</f>
        <v>фото на сайте</v>
      </c>
    </row>
    <row r="2013" spans="1:19" ht="50.1" customHeight="1">
      <c r="A2013" s="31"/>
      <c r="B2013" s="32" t="s">
        <v>7920</v>
      </c>
      <c r="C2013" s="31" t="s">
        <v>464</v>
      </c>
      <c r="D2013" s="31" t="s">
        <v>465</v>
      </c>
      <c r="E2013" s="31" t="s">
        <v>7921</v>
      </c>
      <c r="F2013" s="31" t="s">
        <v>31</v>
      </c>
      <c r="G2013" s="31">
        <v>119</v>
      </c>
      <c r="H2013" s="31">
        <v>10</v>
      </c>
      <c r="I2013" s="31">
        <v>120</v>
      </c>
      <c r="J2013" s="31" t="s">
        <v>7922</v>
      </c>
      <c r="K2013" s="31" t="s">
        <v>3186</v>
      </c>
      <c r="L2013" s="31" t="s">
        <v>1726</v>
      </c>
      <c r="M2013" s="31">
        <v>10</v>
      </c>
      <c r="N2013" s="31">
        <v>2008</v>
      </c>
      <c r="O2013" s="31">
        <v>38</v>
      </c>
      <c r="P2013" s="31"/>
      <c r="Q2013" s="31"/>
      <c r="R2013" s="33"/>
      <c r="S2013" s="34" t="str">
        <f>HYPERLINK("http://www.cnpol.ru/covers/7518.jpg","фото на сайте")</f>
        <v>фото на сайте</v>
      </c>
    </row>
    <row r="2014" spans="1:19" ht="50.1" customHeight="1">
      <c r="A2014" s="31"/>
      <c r="B2014" s="32" t="s">
        <v>7923</v>
      </c>
      <c r="C2014" s="31" t="s">
        <v>7924</v>
      </c>
      <c r="D2014" s="31" t="s">
        <v>7925</v>
      </c>
      <c r="E2014" s="31" t="s">
        <v>7926</v>
      </c>
      <c r="F2014" s="31" t="s">
        <v>31</v>
      </c>
      <c r="G2014" s="31">
        <v>807</v>
      </c>
      <c r="H2014" s="31">
        <v>10</v>
      </c>
      <c r="I2014" s="31">
        <v>10</v>
      </c>
      <c r="J2014" s="31" t="s">
        <v>7927</v>
      </c>
      <c r="K2014" s="31" t="s">
        <v>2231</v>
      </c>
      <c r="L2014" s="31" t="s">
        <v>34</v>
      </c>
      <c r="M2014" s="31">
        <v>208</v>
      </c>
      <c r="N2014" s="31">
        <v>2015</v>
      </c>
      <c r="O2014" s="31">
        <v>386</v>
      </c>
      <c r="P2014" s="31"/>
      <c r="Q2014" s="31"/>
      <c r="R2014" s="33"/>
      <c r="S2014" s="34" t="str">
        <f>HYPERLINK("http://www.cnpol.ru/covers/16312.jpg","фото на сайте")</f>
        <v>фото на сайте</v>
      </c>
    </row>
    <row r="2015" spans="1:19" ht="50.1" customHeight="1">
      <c r="A2015" s="31"/>
      <c r="B2015" s="32" t="s">
        <v>7928</v>
      </c>
      <c r="C2015" s="31" t="s">
        <v>418</v>
      </c>
      <c r="D2015" s="31" t="s">
        <v>7929</v>
      </c>
      <c r="E2015" s="31" t="s">
        <v>7930</v>
      </c>
      <c r="F2015" s="31">
        <v>48</v>
      </c>
      <c r="G2015" s="31">
        <v>153</v>
      </c>
      <c r="H2015" s="31">
        <v>10</v>
      </c>
      <c r="I2015" s="31">
        <v>24</v>
      </c>
      <c r="J2015" s="31" t="s">
        <v>7931</v>
      </c>
      <c r="K2015" s="31" t="s">
        <v>123</v>
      </c>
      <c r="L2015" s="31" t="s">
        <v>56</v>
      </c>
      <c r="M2015" s="31">
        <v>287</v>
      </c>
      <c r="N2015" s="31">
        <v>2014</v>
      </c>
      <c r="O2015" s="31">
        <v>132</v>
      </c>
      <c r="P2015" s="31"/>
      <c r="Q2015" s="31"/>
      <c r="R2015" s="33"/>
      <c r="S2015" s="34" t="str">
        <f>HYPERLINK("http://www.cnpol.ru/covers/15171.jpg","фото на сайте")</f>
        <v>фото на сайте</v>
      </c>
    </row>
    <row r="2016" spans="1:19" ht="50.1" customHeight="1">
      <c r="A2016" s="31"/>
      <c r="B2016" s="32" t="s">
        <v>7932</v>
      </c>
      <c r="C2016" s="31" t="s">
        <v>2120</v>
      </c>
      <c r="D2016" s="31" t="s">
        <v>1449</v>
      </c>
      <c r="E2016" s="31" t="s">
        <v>7933</v>
      </c>
      <c r="F2016" s="31" t="s">
        <v>31</v>
      </c>
      <c r="G2016" s="31">
        <v>81</v>
      </c>
      <c r="H2016" s="31">
        <v>10</v>
      </c>
      <c r="I2016" s="31">
        <v>100</v>
      </c>
      <c r="J2016" s="31" t="s">
        <v>7934</v>
      </c>
      <c r="K2016" s="31" t="s">
        <v>123</v>
      </c>
      <c r="L2016" s="31" t="s">
        <v>56</v>
      </c>
      <c r="M2016" s="31">
        <v>47</v>
      </c>
      <c r="N2016" s="31">
        <v>2005</v>
      </c>
      <c r="O2016" s="31">
        <v>28</v>
      </c>
      <c r="P2016" s="31"/>
      <c r="Q2016" s="31"/>
      <c r="R2016" s="33"/>
      <c r="S2016" s="34" t="str">
        <f>HYPERLINK("http://www.cnpol.ru/covers/5769.jpg","фото на сайте")</f>
        <v>фото на сайте</v>
      </c>
    </row>
    <row r="2017" spans="1:19" ht="50.1" customHeight="1">
      <c r="A2017" s="31"/>
      <c r="B2017" s="32" t="s">
        <v>7935</v>
      </c>
      <c r="C2017" s="31" t="s">
        <v>5260</v>
      </c>
      <c r="D2017" s="31" t="s">
        <v>5256</v>
      </c>
      <c r="E2017" s="31" t="s">
        <v>7936</v>
      </c>
      <c r="F2017" s="31" t="s">
        <v>31</v>
      </c>
      <c r="G2017" s="31">
        <v>105</v>
      </c>
      <c r="H2017" s="31">
        <v>10</v>
      </c>
      <c r="I2017" s="31">
        <v>24</v>
      </c>
      <c r="J2017" s="31" t="s">
        <v>7937</v>
      </c>
      <c r="K2017" s="31" t="s">
        <v>130</v>
      </c>
      <c r="L2017" s="31" t="s">
        <v>56</v>
      </c>
      <c r="M2017" s="31">
        <v>256</v>
      </c>
      <c r="N2017" s="31">
        <v>2008</v>
      </c>
      <c r="O2017" s="31">
        <v>152</v>
      </c>
      <c r="P2017" s="31"/>
      <c r="Q2017" s="31"/>
      <c r="R2017" s="33"/>
      <c r="S2017" s="34" t="str">
        <f>HYPERLINK("http://www.cnpol.ru/covers/10197.jpg","фото на сайте")</f>
        <v>фото на сайте</v>
      </c>
    </row>
    <row r="2018" spans="1:19" ht="50.1" customHeight="1">
      <c r="A2018" s="31"/>
      <c r="B2018" s="32" t="s">
        <v>7938</v>
      </c>
      <c r="C2018" s="31" t="s">
        <v>7939</v>
      </c>
      <c r="D2018" s="31" t="s">
        <v>7940</v>
      </c>
      <c r="E2018" s="31" t="s">
        <v>7941</v>
      </c>
      <c r="F2018" s="31" t="s">
        <v>31</v>
      </c>
      <c r="G2018" s="35">
        <v>3258</v>
      </c>
      <c r="H2018" s="31">
        <v>10</v>
      </c>
      <c r="I2018" s="31">
        <v>8</v>
      </c>
      <c r="J2018" s="31" t="s">
        <v>7942</v>
      </c>
      <c r="K2018" s="31" t="s">
        <v>319</v>
      </c>
      <c r="L2018" s="31" t="s">
        <v>34</v>
      </c>
      <c r="M2018" s="31">
        <v>252</v>
      </c>
      <c r="N2018" s="31">
        <v>2010</v>
      </c>
      <c r="O2018" s="31">
        <v>842</v>
      </c>
      <c r="P2018" s="31"/>
      <c r="Q2018" s="31"/>
      <c r="R2018" s="33"/>
      <c r="S2018" s="34" t="str">
        <f>HYPERLINK("http://www.cnpol.ru/covers/12289.jpg","фото на сайте")</f>
        <v>фото на сайте</v>
      </c>
    </row>
    <row r="2019" spans="1:19" ht="50.1" customHeight="1">
      <c r="A2019" s="31" t="s">
        <v>43</v>
      </c>
      <c r="B2019" s="32" t="s">
        <v>7943</v>
      </c>
      <c r="C2019" s="31" t="s">
        <v>143</v>
      </c>
      <c r="D2019" s="31" t="s">
        <v>7944</v>
      </c>
      <c r="E2019" s="31" t="s">
        <v>7945</v>
      </c>
      <c r="F2019" s="31" t="s">
        <v>31</v>
      </c>
      <c r="G2019" s="35">
        <v>1221</v>
      </c>
      <c r="H2019" s="31">
        <v>10</v>
      </c>
      <c r="I2019" s="31">
        <v>6</v>
      </c>
      <c r="J2019" s="31" t="s">
        <v>7946</v>
      </c>
      <c r="K2019" s="31" t="s">
        <v>41</v>
      </c>
      <c r="L2019" s="31" t="s">
        <v>34</v>
      </c>
      <c r="M2019" s="31">
        <v>459</v>
      </c>
      <c r="N2019" s="31">
        <v>2024</v>
      </c>
      <c r="O2019" s="31">
        <v>603</v>
      </c>
      <c r="P2019" s="31"/>
      <c r="Q2019" s="31"/>
      <c r="R2019" s="33" t="s">
        <v>7947</v>
      </c>
      <c r="S2019" s="34" t="str">
        <f>HYPERLINK("http://www.cnpol.ru/covers/21355.jpg","фото на сайте")</f>
        <v>фото на сайте</v>
      </c>
    </row>
    <row r="2020" spans="1:19" ht="50.1" customHeight="1">
      <c r="A2020" s="31"/>
      <c r="B2020" s="32" t="s">
        <v>7948</v>
      </c>
      <c r="C2020" s="31" t="s">
        <v>464</v>
      </c>
      <c r="D2020" s="31" t="s">
        <v>465</v>
      </c>
      <c r="E2020" s="31" t="s">
        <v>7949</v>
      </c>
      <c r="F2020" s="31" t="s">
        <v>31</v>
      </c>
      <c r="G2020" s="31">
        <v>119</v>
      </c>
      <c r="H2020" s="31">
        <v>10</v>
      </c>
      <c r="I2020" s="31">
        <v>150</v>
      </c>
      <c r="J2020" s="31" t="s">
        <v>7950</v>
      </c>
      <c r="K2020" s="31" t="s">
        <v>3186</v>
      </c>
      <c r="L2020" s="31" t="s">
        <v>1726</v>
      </c>
      <c r="M2020" s="31">
        <v>10</v>
      </c>
      <c r="N2020" s="31">
        <v>2005</v>
      </c>
      <c r="O2020" s="31">
        <v>36</v>
      </c>
      <c r="P2020" s="31"/>
      <c r="Q2020" s="31"/>
      <c r="R2020" s="33"/>
      <c r="S2020" s="34" t="str">
        <f>HYPERLINK("http://www.cnpol.ru/covers/5867.jpg","фото на сайте")</f>
        <v>фото на сайте</v>
      </c>
    </row>
    <row r="2021" spans="1:19" ht="50.1" customHeight="1">
      <c r="A2021" s="31"/>
      <c r="B2021" s="32" t="s">
        <v>7951</v>
      </c>
      <c r="C2021" s="31" t="s">
        <v>7952</v>
      </c>
      <c r="D2021" s="31" t="s">
        <v>7953</v>
      </c>
      <c r="E2021" s="31" t="s">
        <v>7954</v>
      </c>
      <c r="F2021" s="31" t="s">
        <v>31</v>
      </c>
      <c r="G2021" s="31">
        <v>489</v>
      </c>
      <c r="H2021" s="31">
        <v>10</v>
      </c>
      <c r="I2021" s="31">
        <v>14</v>
      </c>
      <c r="J2021" s="31" t="s">
        <v>7955</v>
      </c>
      <c r="K2021" s="31" t="s">
        <v>33</v>
      </c>
      <c r="L2021" s="31" t="s">
        <v>34</v>
      </c>
      <c r="M2021" s="31">
        <v>319</v>
      </c>
      <c r="N2021" s="31">
        <v>2023</v>
      </c>
      <c r="O2021" s="31">
        <v>279</v>
      </c>
      <c r="P2021" s="31"/>
      <c r="Q2021" s="31"/>
      <c r="R2021" s="33" t="s">
        <v>7956</v>
      </c>
      <c r="S2021" s="34" t="str">
        <f>HYPERLINK("http://www.cnpol.ru/covers/20846.jpg","фото на сайте")</f>
        <v>фото на сайте</v>
      </c>
    </row>
    <row r="2022" spans="1:19" ht="50.1" customHeight="1">
      <c r="A2022" s="31"/>
      <c r="B2022" s="32" t="s">
        <v>7957</v>
      </c>
      <c r="C2022" s="31" t="s">
        <v>3352</v>
      </c>
      <c r="D2022" s="31" t="s">
        <v>3353</v>
      </c>
      <c r="E2022" s="31" t="s">
        <v>7958</v>
      </c>
      <c r="F2022" s="31" t="s">
        <v>31</v>
      </c>
      <c r="G2022" s="31">
        <v>144</v>
      </c>
      <c r="H2022" s="31">
        <v>10</v>
      </c>
      <c r="I2022" s="31">
        <v>40</v>
      </c>
      <c r="J2022" s="31" t="s">
        <v>7959</v>
      </c>
      <c r="K2022" s="31" t="s">
        <v>130</v>
      </c>
      <c r="L2022" s="31" t="s">
        <v>56</v>
      </c>
      <c r="M2022" s="31">
        <v>126</v>
      </c>
      <c r="N2022" s="31">
        <v>2009</v>
      </c>
      <c r="O2022" s="31">
        <v>106</v>
      </c>
      <c r="P2022" s="31"/>
      <c r="Q2022" s="31"/>
      <c r="R2022" s="33"/>
      <c r="S2022" s="34" t="str">
        <f>HYPERLINK("http://www.cnpol.ru/covers/11363.jpg","фото на сайте")</f>
        <v>фото на сайте</v>
      </c>
    </row>
    <row r="2023" spans="1:19" ht="50.1" customHeight="1">
      <c r="A2023" s="31" t="s">
        <v>35</v>
      </c>
      <c r="B2023" s="32" t="s">
        <v>7960</v>
      </c>
      <c r="C2023" s="31" t="s">
        <v>2124</v>
      </c>
      <c r="D2023" s="31" t="s">
        <v>2125</v>
      </c>
      <c r="E2023" s="31" t="s">
        <v>7961</v>
      </c>
      <c r="F2023" s="31" t="s">
        <v>31</v>
      </c>
      <c r="G2023" s="31">
        <v>366</v>
      </c>
      <c r="H2023" s="31">
        <v>10</v>
      </c>
      <c r="I2023" s="31">
        <v>12</v>
      </c>
      <c r="J2023" s="31" t="s">
        <v>7962</v>
      </c>
      <c r="K2023" s="31" t="s">
        <v>123</v>
      </c>
      <c r="L2023" s="31" t="s">
        <v>56</v>
      </c>
      <c r="M2023" s="31">
        <v>479</v>
      </c>
      <c r="N2023" s="31">
        <v>2024</v>
      </c>
      <c r="O2023" s="31" t="s">
        <v>220</v>
      </c>
      <c r="P2023" s="31"/>
      <c r="Q2023" s="31"/>
      <c r="R2023" s="33" t="s">
        <v>7963</v>
      </c>
      <c r="S2023" s="34" t="str">
        <f>HYPERLINK("http://www.cnpol.ru/covers/21177.jpg","фото на сайте")</f>
        <v>фото на сайте</v>
      </c>
    </row>
    <row r="2024" spans="1:19" ht="50.1" customHeight="1">
      <c r="A2024" s="31"/>
      <c r="B2024" s="32" t="s">
        <v>7964</v>
      </c>
      <c r="C2024" s="31" t="s">
        <v>1516</v>
      </c>
      <c r="D2024" s="31" t="s">
        <v>1758</v>
      </c>
      <c r="E2024" s="31" t="s">
        <v>7965</v>
      </c>
      <c r="F2024" s="31">
        <v>39</v>
      </c>
      <c r="G2024" s="31">
        <v>106</v>
      </c>
      <c r="H2024" s="31">
        <v>10</v>
      </c>
      <c r="I2024" s="31">
        <v>30</v>
      </c>
      <c r="J2024" s="31" t="s">
        <v>7966</v>
      </c>
      <c r="K2024" s="31" t="s">
        <v>123</v>
      </c>
      <c r="L2024" s="31" t="s">
        <v>56</v>
      </c>
      <c r="M2024" s="31">
        <v>159</v>
      </c>
      <c r="N2024" s="31">
        <v>2022</v>
      </c>
      <c r="O2024" s="31">
        <v>76</v>
      </c>
      <c r="P2024" s="31"/>
      <c r="Q2024" s="31"/>
      <c r="R2024" s="33"/>
      <c r="S2024" s="34" t="str">
        <f>HYPERLINK("http://www.cnpol.ru/covers/20225.jpg","фото на сайте")</f>
        <v>фото на сайте</v>
      </c>
    </row>
    <row r="2025" spans="1:19" ht="50.1" customHeight="1">
      <c r="A2025" s="31"/>
      <c r="B2025" s="32" t="s">
        <v>7967</v>
      </c>
      <c r="C2025" s="31" t="s">
        <v>479</v>
      </c>
      <c r="D2025" s="31" t="s">
        <v>7968</v>
      </c>
      <c r="E2025" s="31" t="s">
        <v>7969</v>
      </c>
      <c r="F2025" s="31" t="s">
        <v>31</v>
      </c>
      <c r="G2025" s="31">
        <v>843</v>
      </c>
      <c r="H2025" s="31">
        <v>10</v>
      </c>
      <c r="I2025" s="31">
        <v>12</v>
      </c>
      <c r="J2025" s="31" t="s">
        <v>7970</v>
      </c>
      <c r="K2025" s="31" t="s">
        <v>41</v>
      </c>
      <c r="L2025" s="31" t="s">
        <v>34</v>
      </c>
      <c r="M2025" s="31">
        <v>416</v>
      </c>
      <c r="N2025" s="31">
        <v>2017</v>
      </c>
      <c r="O2025" s="31">
        <v>460</v>
      </c>
      <c r="P2025" s="31"/>
      <c r="Q2025" s="31"/>
      <c r="R2025" s="33"/>
      <c r="S2025" s="34" t="str">
        <f>HYPERLINK("http://www.cnpol.ru/covers/17391.jpg","фото на сайте")</f>
        <v>фото на сайте</v>
      </c>
    </row>
    <row r="2026" spans="1:19" ht="50.1" customHeight="1">
      <c r="A2026" s="31" t="s">
        <v>35</v>
      </c>
      <c r="B2026" s="32" t="s">
        <v>7971</v>
      </c>
      <c r="C2026" s="31" t="s">
        <v>454</v>
      </c>
      <c r="D2026" s="31" t="s">
        <v>7972</v>
      </c>
      <c r="E2026" s="31" t="s">
        <v>7973</v>
      </c>
      <c r="F2026" s="31" t="s">
        <v>31</v>
      </c>
      <c r="G2026" s="31">
        <v>759</v>
      </c>
      <c r="H2026" s="31">
        <v>10</v>
      </c>
      <c r="I2026" s="31">
        <v>10</v>
      </c>
      <c r="J2026" s="31" t="s">
        <v>7974</v>
      </c>
      <c r="K2026" s="31" t="s">
        <v>33</v>
      </c>
      <c r="L2026" s="31" t="s">
        <v>34</v>
      </c>
      <c r="M2026" s="31">
        <v>222</v>
      </c>
      <c r="N2026" s="31">
        <v>2026</v>
      </c>
      <c r="O2026" s="31" t="s">
        <v>220</v>
      </c>
      <c r="P2026" s="31"/>
      <c r="Q2026" s="31"/>
      <c r="R2026" s="33" t="s">
        <v>7975</v>
      </c>
      <c r="S2026" s="34" t="str">
        <f>HYPERLINK("http://www.cnpol.ru/covers/21895.jpg","фото на сайте")</f>
        <v>фото на сайте</v>
      </c>
    </row>
    <row r="2027" spans="1:19" ht="50.1" customHeight="1">
      <c r="A2027" s="31"/>
      <c r="B2027" s="32" t="s">
        <v>7976</v>
      </c>
      <c r="C2027" s="31" t="s">
        <v>7977</v>
      </c>
      <c r="D2027" s="31" t="s">
        <v>7978</v>
      </c>
      <c r="E2027" s="31" t="s">
        <v>7979</v>
      </c>
      <c r="F2027" s="31" t="s">
        <v>31</v>
      </c>
      <c r="G2027" s="31">
        <v>693</v>
      </c>
      <c r="H2027" s="31">
        <v>10</v>
      </c>
      <c r="I2027" s="31">
        <v>20</v>
      </c>
      <c r="J2027" s="31" t="s">
        <v>7980</v>
      </c>
      <c r="K2027" s="31" t="s">
        <v>33</v>
      </c>
      <c r="L2027" s="31" t="s">
        <v>34</v>
      </c>
      <c r="M2027" s="31">
        <v>224</v>
      </c>
      <c r="N2027" s="31">
        <v>2023</v>
      </c>
      <c r="O2027" s="31">
        <v>218</v>
      </c>
      <c r="P2027" s="31"/>
      <c r="Q2027" s="31"/>
      <c r="R2027" s="33" t="s">
        <v>7981</v>
      </c>
      <c r="S2027" s="34" t="str">
        <f>HYPERLINK("http://www.cnpol.ru/covers/20503.jpg","фото на сайте")</f>
        <v>фото на сайте</v>
      </c>
    </row>
    <row r="2028" spans="1:19" ht="50.1" customHeight="1">
      <c r="A2028" s="31"/>
      <c r="B2028" s="32" t="s">
        <v>7982</v>
      </c>
      <c r="C2028" s="31" t="s">
        <v>7977</v>
      </c>
      <c r="D2028" s="31" t="s">
        <v>7983</v>
      </c>
      <c r="E2028" s="31" t="s">
        <v>7984</v>
      </c>
      <c r="F2028" s="31" t="s">
        <v>31</v>
      </c>
      <c r="G2028" s="31">
        <v>693</v>
      </c>
      <c r="H2028" s="31">
        <v>10</v>
      </c>
      <c r="I2028" s="31">
        <v>20</v>
      </c>
      <c r="J2028" s="31" t="s">
        <v>7985</v>
      </c>
      <c r="K2028" s="31" t="s">
        <v>33</v>
      </c>
      <c r="L2028" s="31" t="s">
        <v>34</v>
      </c>
      <c r="M2028" s="31">
        <v>256</v>
      </c>
      <c r="N2028" s="31">
        <v>2022</v>
      </c>
      <c r="O2028" s="31">
        <v>312</v>
      </c>
      <c r="P2028" s="31"/>
      <c r="Q2028" s="31"/>
      <c r="R2028" s="33"/>
      <c r="S2028" s="34" t="str">
        <f>HYPERLINK("http://www.cnpol.ru/covers/20286.jpg","фото на сайте")</f>
        <v>фото на сайте</v>
      </c>
    </row>
    <row r="2029" spans="1:19" ht="50.1" customHeight="1">
      <c r="A2029" s="31" t="s">
        <v>43</v>
      </c>
      <c r="B2029" s="32" t="s">
        <v>7986</v>
      </c>
      <c r="C2029" s="31" t="s">
        <v>143</v>
      </c>
      <c r="D2029" s="31" t="s">
        <v>4418</v>
      </c>
      <c r="E2029" s="31" t="s">
        <v>7987</v>
      </c>
      <c r="F2029" s="31" t="s">
        <v>31</v>
      </c>
      <c r="G2029" s="31">
        <v>771</v>
      </c>
      <c r="H2029" s="31">
        <v>10</v>
      </c>
      <c r="I2029" s="31">
        <v>10</v>
      </c>
      <c r="J2029" s="31" t="s">
        <v>7988</v>
      </c>
      <c r="K2029" s="31" t="s">
        <v>33</v>
      </c>
      <c r="L2029" s="31" t="s">
        <v>34</v>
      </c>
      <c r="M2029" s="31">
        <v>255</v>
      </c>
      <c r="N2029" s="31">
        <v>2025</v>
      </c>
      <c r="O2029" s="31">
        <v>299</v>
      </c>
      <c r="P2029" s="31"/>
      <c r="Q2029" s="31"/>
      <c r="R2029" s="33" t="s">
        <v>7989</v>
      </c>
      <c r="S2029" s="34" t="str">
        <f>HYPERLINK("http://www.cnpol.ru/covers/21753.jpg","фото на сайте")</f>
        <v>фото на сайте</v>
      </c>
    </row>
    <row r="2030" spans="1:19" ht="50.1" customHeight="1">
      <c r="A2030" s="31"/>
      <c r="B2030" s="32" t="s">
        <v>7990</v>
      </c>
      <c r="C2030" s="31" t="s">
        <v>37</v>
      </c>
      <c r="D2030" s="31" t="s">
        <v>7991</v>
      </c>
      <c r="E2030" s="31" t="s">
        <v>7992</v>
      </c>
      <c r="F2030" s="31" t="s">
        <v>31</v>
      </c>
      <c r="G2030" s="31">
        <v>675</v>
      </c>
      <c r="H2030" s="31">
        <v>10</v>
      </c>
      <c r="I2030" s="31">
        <v>10</v>
      </c>
      <c r="J2030" s="31" t="s">
        <v>7993</v>
      </c>
      <c r="K2030" s="31" t="s">
        <v>33</v>
      </c>
      <c r="L2030" s="31" t="s">
        <v>34</v>
      </c>
      <c r="M2030" s="31">
        <v>416</v>
      </c>
      <c r="N2030" s="31">
        <v>2020</v>
      </c>
      <c r="O2030" s="31">
        <v>346</v>
      </c>
      <c r="P2030" s="31"/>
      <c r="Q2030" s="31"/>
      <c r="R2030" s="33"/>
      <c r="S2030" s="34" t="str">
        <f>HYPERLINK("http://www.cnpol.ru/covers/19024.jpg","фото на сайте")</f>
        <v>фото на сайте</v>
      </c>
    </row>
    <row r="2031" spans="1:19" ht="50.1" customHeight="1">
      <c r="A2031" s="31"/>
      <c r="B2031" s="32" t="s">
        <v>7994</v>
      </c>
      <c r="C2031" s="31" t="s">
        <v>7977</v>
      </c>
      <c r="D2031" s="31" t="s">
        <v>7995</v>
      </c>
      <c r="E2031" s="31" t="s">
        <v>7996</v>
      </c>
      <c r="F2031" s="31" t="s">
        <v>31</v>
      </c>
      <c r="G2031" s="31">
        <v>693</v>
      </c>
      <c r="H2031" s="31">
        <v>10</v>
      </c>
      <c r="I2031" s="31">
        <v>14</v>
      </c>
      <c r="J2031" s="31" t="s">
        <v>7997</v>
      </c>
      <c r="K2031" s="31" t="s">
        <v>33</v>
      </c>
      <c r="L2031" s="31" t="s">
        <v>34</v>
      </c>
      <c r="M2031" s="31">
        <v>222</v>
      </c>
      <c r="N2031" s="31">
        <v>2021</v>
      </c>
      <c r="O2031" s="31">
        <v>218</v>
      </c>
      <c r="P2031" s="31"/>
      <c r="Q2031" s="31"/>
      <c r="R2031" s="33"/>
      <c r="S2031" s="34" t="str">
        <f>HYPERLINK("http://www.cnpol.ru/covers/19747.jpg","фото на сайте")</f>
        <v>фото на сайте</v>
      </c>
    </row>
    <row r="2032" spans="1:19" ht="50.1" customHeight="1">
      <c r="A2032" s="31"/>
      <c r="B2032" s="32" t="s">
        <v>7998</v>
      </c>
      <c r="C2032" s="31" t="s">
        <v>1301</v>
      </c>
      <c r="D2032" s="31" t="s">
        <v>150</v>
      </c>
      <c r="E2032" s="31" t="s">
        <v>7999</v>
      </c>
      <c r="F2032" s="31" t="s">
        <v>31</v>
      </c>
      <c r="G2032" s="35">
        <v>1611</v>
      </c>
      <c r="H2032" s="31">
        <v>10</v>
      </c>
      <c r="I2032" s="31">
        <v>8</v>
      </c>
      <c r="J2032" s="31" t="s">
        <v>8000</v>
      </c>
      <c r="K2032" s="31" t="s">
        <v>8001</v>
      </c>
      <c r="L2032" s="31" t="s">
        <v>34</v>
      </c>
      <c r="M2032" s="31">
        <v>416</v>
      </c>
      <c r="N2032" s="31">
        <v>2017</v>
      </c>
      <c r="O2032" s="31">
        <v>469</v>
      </c>
      <c r="P2032" s="31"/>
      <c r="Q2032" s="31"/>
      <c r="R2032" s="33"/>
      <c r="S2032" s="34" t="str">
        <f>HYPERLINK("http://www.cnpol.ru/covers/17834.jpg","фото на сайте")</f>
        <v>фото на сайте</v>
      </c>
    </row>
    <row r="2033" spans="1:19" ht="50.1" customHeight="1">
      <c r="A2033" s="31" t="s">
        <v>35</v>
      </c>
      <c r="B2033" s="32" t="s">
        <v>8002</v>
      </c>
      <c r="C2033" s="31" t="s">
        <v>37</v>
      </c>
      <c r="D2033" s="31" t="s">
        <v>8003</v>
      </c>
      <c r="E2033" s="31" t="s">
        <v>8004</v>
      </c>
      <c r="F2033" s="31" t="s">
        <v>31</v>
      </c>
      <c r="G2033" s="35">
        <v>2381</v>
      </c>
      <c r="H2033" s="31">
        <v>10</v>
      </c>
      <c r="I2033" s="31">
        <v>5</v>
      </c>
      <c r="J2033" s="31" t="s">
        <v>8005</v>
      </c>
      <c r="K2033" s="31" t="s">
        <v>147</v>
      </c>
      <c r="L2033" s="31" t="s">
        <v>34</v>
      </c>
      <c r="M2033" s="31">
        <v>633</v>
      </c>
      <c r="N2033" s="31">
        <v>2025</v>
      </c>
      <c r="O2033" s="31" t="s">
        <v>220</v>
      </c>
      <c r="P2033" s="31"/>
      <c r="Q2033" s="31"/>
      <c r="R2033" s="33" t="s">
        <v>8006</v>
      </c>
      <c r="S2033" s="34" t="str">
        <f>HYPERLINK("http://www.cnpol.ru/covers/21901.jpg","фото на сайте")</f>
        <v>фото на сайте</v>
      </c>
    </row>
    <row r="2034" spans="1:19" ht="50.1" customHeight="1">
      <c r="A2034" s="31"/>
      <c r="B2034" s="32" t="s">
        <v>8007</v>
      </c>
      <c r="C2034" s="31" t="s">
        <v>5849</v>
      </c>
      <c r="D2034" s="31" t="s">
        <v>386</v>
      </c>
      <c r="E2034" s="31" t="s">
        <v>8008</v>
      </c>
      <c r="F2034" s="31" t="s">
        <v>31</v>
      </c>
      <c r="G2034" s="31">
        <v>96</v>
      </c>
      <c r="H2034" s="31">
        <v>10</v>
      </c>
      <c r="I2034" s="31">
        <v>32</v>
      </c>
      <c r="J2034" s="31" t="s">
        <v>8009</v>
      </c>
      <c r="K2034" s="31" t="s">
        <v>55</v>
      </c>
      <c r="L2034" s="31" t="s">
        <v>56</v>
      </c>
      <c r="M2034" s="31">
        <v>255</v>
      </c>
      <c r="N2034" s="31">
        <v>2008</v>
      </c>
      <c r="O2034" s="31">
        <v>106</v>
      </c>
      <c r="P2034" s="31"/>
      <c r="Q2034" s="31"/>
      <c r="R2034" s="33"/>
      <c r="S2034" s="34" t="str">
        <f>HYPERLINK("http://www.cnpol.ru/covers/10777.jpg","фото на сайте")</f>
        <v>фото на сайте</v>
      </c>
    </row>
    <row r="2035" spans="1:19" ht="50.1" customHeight="1">
      <c r="A2035" s="31"/>
      <c r="B2035" s="32" t="s">
        <v>8010</v>
      </c>
      <c r="C2035" s="31" t="s">
        <v>385</v>
      </c>
      <c r="D2035" s="31" t="s">
        <v>386</v>
      </c>
      <c r="E2035" s="31" t="s">
        <v>8008</v>
      </c>
      <c r="F2035" s="31" t="s">
        <v>31</v>
      </c>
      <c r="G2035" s="31">
        <v>162</v>
      </c>
      <c r="H2035" s="31">
        <v>10</v>
      </c>
      <c r="I2035" s="31">
        <v>32</v>
      </c>
      <c r="J2035" s="31" t="s">
        <v>8011</v>
      </c>
      <c r="K2035" s="31" t="s">
        <v>55</v>
      </c>
      <c r="L2035" s="31" t="s">
        <v>56</v>
      </c>
      <c r="M2035" s="31">
        <v>256</v>
      </c>
      <c r="N2035" s="31">
        <v>2016</v>
      </c>
      <c r="O2035" s="31">
        <v>110</v>
      </c>
      <c r="P2035" s="31"/>
      <c r="Q2035" s="31"/>
      <c r="R2035" s="33"/>
      <c r="S2035" s="34" t="str">
        <f>HYPERLINK("http://www.cnpol.ru/covers/0170.jpg","фото на сайте")</f>
        <v>фото на сайте</v>
      </c>
    </row>
    <row r="2036" spans="1:19" ht="50.1" customHeight="1">
      <c r="A2036" s="31"/>
      <c r="B2036" s="32" t="s">
        <v>8012</v>
      </c>
      <c r="C2036" s="31" t="s">
        <v>390</v>
      </c>
      <c r="D2036" s="31" t="s">
        <v>961</v>
      </c>
      <c r="E2036" s="31" t="s">
        <v>8013</v>
      </c>
      <c r="F2036" s="31">
        <v>463</v>
      </c>
      <c r="G2036" s="31">
        <v>86</v>
      </c>
      <c r="H2036" s="31">
        <v>10</v>
      </c>
      <c r="I2036" s="31">
        <v>30</v>
      </c>
      <c r="J2036" s="31" t="s">
        <v>8014</v>
      </c>
      <c r="K2036" s="31" t="s">
        <v>123</v>
      </c>
      <c r="L2036" s="31" t="s">
        <v>56</v>
      </c>
      <c r="M2036" s="31">
        <v>158</v>
      </c>
      <c r="N2036" s="31">
        <v>2014</v>
      </c>
      <c r="O2036" s="31">
        <v>76</v>
      </c>
      <c r="P2036" s="31"/>
      <c r="Q2036" s="31"/>
      <c r="R2036" s="33"/>
      <c r="S2036" s="34" t="str">
        <f>HYPERLINK("http://www.cnpol.ru/covers/15563.jpg","фото на сайте")</f>
        <v>фото на сайте</v>
      </c>
    </row>
    <row r="2037" spans="1:19" ht="50.1" customHeight="1">
      <c r="A2037" s="31" t="s">
        <v>43</v>
      </c>
      <c r="B2037" s="32" t="s">
        <v>8015</v>
      </c>
      <c r="C2037" s="31" t="s">
        <v>663</v>
      </c>
      <c r="D2037" s="31" t="s">
        <v>120</v>
      </c>
      <c r="E2037" s="31" t="s">
        <v>8016</v>
      </c>
      <c r="F2037" s="31" t="s">
        <v>31</v>
      </c>
      <c r="G2037" s="31">
        <v>550</v>
      </c>
      <c r="H2037" s="31">
        <v>10</v>
      </c>
      <c r="I2037" s="31">
        <v>12</v>
      </c>
      <c r="J2037" s="31" t="s">
        <v>8017</v>
      </c>
      <c r="K2037" s="31" t="s">
        <v>194</v>
      </c>
      <c r="L2037" s="31" t="s">
        <v>34</v>
      </c>
      <c r="M2037" s="31">
        <v>255</v>
      </c>
      <c r="N2037" s="31">
        <v>2024</v>
      </c>
      <c r="O2037" s="31">
        <v>227</v>
      </c>
      <c r="P2037" s="31"/>
      <c r="Q2037" s="31"/>
      <c r="R2037" s="33" t="s">
        <v>8018</v>
      </c>
      <c r="S2037" s="34" t="str">
        <f>HYPERLINK("http://www.cnpol.ru/covers/21092.jpg","фото на сайте")</f>
        <v>фото на сайте</v>
      </c>
    </row>
    <row r="2038" spans="1:19" ht="50.1" customHeight="1">
      <c r="A2038" s="31"/>
      <c r="B2038" s="32" t="s">
        <v>8019</v>
      </c>
      <c r="C2038" s="31" t="s">
        <v>126</v>
      </c>
      <c r="D2038" s="31" t="s">
        <v>8020</v>
      </c>
      <c r="E2038" s="31" t="s">
        <v>8021</v>
      </c>
      <c r="F2038" s="31" t="s">
        <v>31</v>
      </c>
      <c r="G2038" s="31">
        <v>105</v>
      </c>
      <c r="H2038" s="31">
        <v>10</v>
      </c>
      <c r="I2038" s="31">
        <v>30</v>
      </c>
      <c r="J2038" s="31" t="s">
        <v>8022</v>
      </c>
      <c r="K2038" s="31" t="s">
        <v>130</v>
      </c>
      <c r="L2038" s="31" t="s">
        <v>56</v>
      </c>
      <c r="M2038" s="31">
        <v>191</v>
      </c>
      <c r="N2038" s="31">
        <v>2010</v>
      </c>
      <c r="O2038" s="31">
        <v>120</v>
      </c>
      <c r="P2038" s="31"/>
      <c r="Q2038" s="31"/>
      <c r="R2038" s="33"/>
      <c r="S2038" s="34" t="str">
        <f>HYPERLINK("http://www.cnpol.ru/covers/11861.jpg","фото на сайте")</f>
        <v>фото на сайте</v>
      </c>
    </row>
    <row r="2039" spans="1:19" ht="50.1" customHeight="1">
      <c r="A2039" s="31"/>
      <c r="B2039" s="32" t="s">
        <v>8023</v>
      </c>
      <c r="C2039" s="31" t="s">
        <v>390</v>
      </c>
      <c r="D2039" s="31" t="s">
        <v>8024</v>
      </c>
      <c r="E2039" s="31" t="s">
        <v>8025</v>
      </c>
      <c r="F2039" s="31">
        <v>649</v>
      </c>
      <c r="G2039" s="31">
        <v>86</v>
      </c>
      <c r="H2039" s="31">
        <v>10</v>
      </c>
      <c r="I2039" s="31">
        <v>30</v>
      </c>
      <c r="J2039" s="31" t="s">
        <v>8026</v>
      </c>
      <c r="K2039" s="31" t="s">
        <v>123</v>
      </c>
      <c r="L2039" s="31" t="s">
        <v>56</v>
      </c>
      <c r="M2039" s="31">
        <v>160</v>
      </c>
      <c r="N2039" s="31">
        <v>2016</v>
      </c>
      <c r="O2039" s="31">
        <v>76</v>
      </c>
      <c r="P2039" s="31"/>
      <c r="Q2039" s="31"/>
      <c r="R2039" s="33"/>
      <c r="S2039" s="34" t="str">
        <f>HYPERLINK("http://www.cnpol.ru/covers/16992.jpg","фото на сайте")</f>
        <v>фото на сайте</v>
      </c>
    </row>
    <row r="2040" spans="1:19" ht="50.1" customHeight="1">
      <c r="A2040" s="31"/>
      <c r="B2040" s="32" t="s">
        <v>8027</v>
      </c>
      <c r="C2040" s="31" t="s">
        <v>7044</v>
      </c>
      <c r="D2040" s="31" t="s">
        <v>7045</v>
      </c>
      <c r="E2040" s="31" t="s">
        <v>8028</v>
      </c>
      <c r="F2040" s="31">
        <v>5</v>
      </c>
      <c r="G2040" s="31">
        <v>486</v>
      </c>
      <c r="H2040" s="31">
        <v>10</v>
      </c>
      <c r="I2040" s="31">
        <v>20</v>
      </c>
      <c r="J2040" s="31" t="s">
        <v>8029</v>
      </c>
      <c r="K2040" s="31" t="s">
        <v>41</v>
      </c>
      <c r="L2040" s="31" t="s">
        <v>34</v>
      </c>
      <c r="M2040" s="31">
        <v>143</v>
      </c>
      <c r="N2040" s="31">
        <v>2021</v>
      </c>
      <c r="O2040" s="31">
        <v>180</v>
      </c>
      <c r="P2040" s="31"/>
      <c r="Q2040" s="31"/>
      <c r="R2040" s="33"/>
      <c r="S2040" s="34" t="str">
        <f>HYPERLINK("http://www.cnpol.ru/covers/19609.jpg","фото на сайте")</f>
        <v>фото на сайте</v>
      </c>
    </row>
    <row r="2041" spans="1:19" ht="50.1" customHeight="1">
      <c r="A2041" s="31"/>
      <c r="B2041" s="32" t="s">
        <v>8030</v>
      </c>
      <c r="C2041" s="31" t="s">
        <v>390</v>
      </c>
      <c r="D2041" s="31" t="s">
        <v>961</v>
      </c>
      <c r="E2041" s="31" t="s">
        <v>8031</v>
      </c>
      <c r="F2041" s="31">
        <v>850</v>
      </c>
      <c r="G2041" s="31">
        <v>86</v>
      </c>
      <c r="H2041" s="31">
        <v>10</v>
      </c>
      <c r="I2041" s="31">
        <v>30</v>
      </c>
      <c r="J2041" s="31" t="s">
        <v>8032</v>
      </c>
      <c r="K2041" s="31" t="s">
        <v>123</v>
      </c>
      <c r="L2041" s="31" t="s">
        <v>56</v>
      </c>
      <c r="M2041" s="31">
        <v>160</v>
      </c>
      <c r="N2041" s="31">
        <v>2018</v>
      </c>
      <c r="O2041" s="31">
        <v>76</v>
      </c>
      <c r="P2041" s="31"/>
      <c r="Q2041" s="31"/>
      <c r="R2041" s="33"/>
      <c r="S2041" s="34" t="str">
        <f>HYPERLINK("http://www.cnpol.ru/covers/18397.jpg","фото на сайте")</f>
        <v>фото на сайте</v>
      </c>
    </row>
    <row r="2042" spans="1:19" ht="50.1" customHeight="1">
      <c r="A2042" s="31"/>
      <c r="B2042" s="32" t="s">
        <v>8033</v>
      </c>
      <c r="C2042" s="31" t="s">
        <v>418</v>
      </c>
      <c r="D2042" s="31" t="s">
        <v>4074</v>
      </c>
      <c r="E2042" s="31" t="s">
        <v>8034</v>
      </c>
      <c r="F2042" s="31">
        <v>52</v>
      </c>
      <c r="G2042" s="31">
        <v>153</v>
      </c>
      <c r="H2042" s="31">
        <v>10</v>
      </c>
      <c r="I2042" s="31">
        <v>30</v>
      </c>
      <c r="J2042" s="31" t="s">
        <v>8035</v>
      </c>
      <c r="K2042" s="31" t="s">
        <v>123</v>
      </c>
      <c r="L2042" s="31" t="s">
        <v>56</v>
      </c>
      <c r="M2042" s="31">
        <v>254</v>
      </c>
      <c r="N2042" s="31">
        <v>2014</v>
      </c>
      <c r="O2042" s="31">
        <v>118</v>
      </c>
      <c r="P2042" s="31"/>
      <c r="Q2042" s="31"/>
      <c r="R2042" s="33"/>
      <c r="S2042" s="34" t="str">
        <f>HYPERLINK("http://www.cnpol.ru/covers/15439.jpg","фото на сайте")</f>
        <v>фото на сайте</v>
      </c>
    </row>
    <row r="2043" spans="1:19" ht="50.1" customHeight="1">
      <c r="A2043" s="31"/>
      <c r="B2043" s="32" t="s">
        <v>8036</v>
      </c>
      <c r="C2043" s="31" t="s">
        <v>2110</v>
      </c>
      <c r="D2043" s="31" t="s">
        <v>2111</v>
      </c>
      <c r="E2043" s="31" t="s">
        <v>8037</v>
      </c>
      <c r="F2043" s="31" t="s">
        <v>31</v>
      </c>
      <c r="G2043" s="31">
        <v>162</v>
      </c>
      <c r="H2043" s="31">
        <v>10</v>
      </c>
      <c r="I2043" s="31">
        <v>20</v>
      </c>
      <c r="J2043" s="31" t="s">
        <v>8038</v>
      </c>
      <c r="K2043" s="31" t="s">
        <v>123</v>
      </c>
      <c r="L2043" s="31" t="s">
        <v>56</v>
      </c>
      <c r="M2043" s="31">
        <v>347</v>
      </c>
      <c r="N2043" s="31">
        <v>2014</v>
      </c>
      <c r="O2043" s="31">
        <v>166</v>
      </c>
      <c r="P2043" s="31"/>
      <c r="Q2043" s="31"/>
      <c r="R2043" s="33"/>
      <c r="S2043" s="34" t="str">
        <f>HYPERLINK("http://www.cnpol.ru/covers/15252.jpg","фото на сайте")</f>
        <v>фото на сайте</v>
      </c>
    </row>
    <row r="2044" spans="1:19" ht="50.1" customHeight="1">
      <c r="A2044" s="31"/>
      <c r="B2044" s="32" t="s">
        <v>8039</v>
      </c>
      <c r="C2044" s="31" t="s">
        <v>418</v>
      </c>
      <c r="D2044" s="31" t="s">
        <v>8040</v>
      </c>
      <c r="E2044" s="31" t="s">
        <v>8041</v>
      </c>
      <c r="F2044" s="31">
        <v>110</v>
      </c>
      <c r="G2044" s="31">
        <v>153</v>
      </c>
      <c r="H2044" s="31">
        <v>10</v>
      </c>
      <c r="I2044" s="31">
        <v>18</v>
      </c>
      <c r="J2044" s="31" t="s">
        <v>8042</v>
      </c>
      <c r="K2044" s="31" t="s">
        <v>123</v>
      </c>
      <c r="L2044" s="31" t="s">
        <v>56</v>
      </c>
      <c r="M2044" s="31">
        <v>256</v>
      </c>
      <c r="N2044" s="31">
        <v>2020</v>
      </c>
      <c r="O2044" s="31">
        <v>120</v>
      </c>
      <c r="P2044" s="31"/>
      <c r="Q2044" s="31"/>
      <c r="R2044" s="33"/>
      <c r="S2044" s="34" t="str">
        <f>HYPERLINK("http://www.cnpol.ru/covers/19296.jpg","фото на сайте")</f>
        <v>фото на сайте</v>
      </c>
    </row>
    <row r="2045" spans="1:19" ht="50.1" customHeight="1">
      <c r="A2045" s="31"/>
      <c r="B2045" s="32" t="s">
        <v>8043</v>
      </c>
      <c r="C2045" s="31" t="s">
        <v>28</v>
      </c>
      <c r="D2045" s="31" t="s">
        <v>1898</v>
      </c>
      <c r="E2045" s="31" t="s">
        <v>8044</v>
      </c>
      <c r="F2045" s="31" t="s">
        <v>31</v>
      </c>
      <c r="G2045" s="31">
        <v>593</v>
      </c>
      <c r="H2045" s="31">
        <v>10</v>
      </c>
      <c r="I2045" s="31">
        <v>14</v>
      </c>
      <c r="J2045" s="31" t="s">
        <v>8045</v>
      </c>
      <c r="K2045" s="31" t="s">
        <v>33</v>
      </c>
      <c r="L2045" s="31" t="s">
        <v>34</v>
      </c>
      <c r="M2045" s="31">
        <v>288</v>
      </c>
      <c r="N2045" s="31">
        <v>2018</v>
      </c>
      <c r="O2045" s="31">
        <v>254</v>
      </c>
      <c r="P2045" s="31"/>
      <c r="Q2045" s="31"/>
      <c r="R2045" s="33"/>
      <c r="S2045" s="34" t="str">
        <f>HYPERLINK("http://www.cnpol.ru/covers/18311.jpg","фото на сайте")</f>
        <v>фото на сайте</v>
      </c>
    </row>
    <row r="2046" spans="1:19" ht="50.1" customHeight="1">
      <c r="A2046" s="31"/>
      <c r="B2046" s="32" t="s">
        <v>8046</v>
      </c>
      <c r="C2046" s="31" t="s">
        <v>297</v>
      </c>
      <c r="D2046" s="31" t="s">
        <v>8047</v>
      </c>
      <c r="E2046" s="31" t="s">
        <v>8048</v>
      </c>
      <c r="F2046" s="31" t="s">
        <v>31</v>
      </c>
      <c r="G2046" s="31">
        <v>300</v>
      </c>
      <c r="H2046" s="31">
        <v>10</v>
      </c>
      <c r="I2046" s="31">
        <v>36</v>
      </c>
      <c r="J2046" s="31" t="s">
        <v>8049</v>
      </c>
      <c r="K2046" s="31" t="s">
        <v>300</v>
      </c>
      <c r="L2046" s="31" t="s">
        <v>56</v>
      </c>
      <c r="M2046" s="31">
        <v>192</v>
      </c>
      <c r="N2046" s="31">
        <v>2017</v>
      </c>
      <c r="O2046" s="31">
        <v>102</v>
      </c>
      <c r="P2046" s="31"/>
      <c r="Q2046" s="31"/>
      <c r="R2046" s="33"/>
      <c r="S2046" s="34" t="str">
        <f>HYPERLINK("http://www.cnpol.ru/covers/17505.jpg","фото на сайте")</f>
        <v>фото на сайте</v>
      </c>
    </row>
    <row r="2047" spans="1:19" ht="50.1" customHeight="1">
      <c r="A2047" s="31"/>
      <c r="B2047" s="32" t="s">
        <v>8050</v>
      </c>
      <c r="C2047" s="31" t="s">
        <v>528</v>
      </c>
      <c r="D2047" s="31" t="s">
        <v>529</v>
      </c>
      <c r="E2047" s="31" t="s">
        <v>8051</v>
      </c>
      <c r="F2047" s="31" t="s">
        <v>31</v>
      </c>
      <c r="G2047" s="31">
        <v>137</v>
      </c>
      <c r="H2047" s="31">
        <v>10</v>
      </c>
      <c r="I2047" s="31">
        <v>48</v>
      </c>
      <c r="J2047" s="31" t="s">
        <v>8052</v>
      </c>
      <c r="K2047" s="31" t="s">
        <v>55</v>
      </c>
      <c r="L2047" s="31" t="s">
        <v>56</v>
      </c>
      <c r="M2047" s="31">
        <v>158</v>
      </c>
      <c r="N2047" s="31">
        <v>2012</v>
      </c>
      <c r="O2047" s="31">
        <v>74</v>
      </c>
      <c r="P2047" s="31"/>
      <c r="Q2047" s="31"/>
      <c r="R2047" s="33"/>
      <c r="S2047" s="34" t="str">
        <f>HYPERLINK("http://www.cnpol.ru/covers/13769.jpg","фото на сайте")</f>
        <v>фото на сайте</v>
      </c>
    </row>
    <row r="2048" spans="1:19" ht="50.1" customHeight="1">
      <c r="A2048" s="31"/>
      <c r="B2048" s="32" t="s">
        <v>8053</v>
      </c>
      <c r="C2048" s="31" t="s">
        <v>546</v>
      </c>
      <c r="D2048" s="31" t="s">
        <v>4519</v>
      </c>
      <c r="E2048" s="31" t="s">
        <v>8054</v>
      </c>
      <c r="F2048" s="31">
        <v>354</v>
      </c>
      <c r="G2048" s="31">
        <v>93</v>
      </c>
      <c r="H2048" s="31">
        <v>10</v>
      </c>
      <c r="I2048" s="31">
        <v>30</v>
      </c>
      <c r="J2048" s="31" t="s">
        <v>8055</v>
      </c>
      <c r="K2048" s="31" t="s">
        <v>123</v>
      </c>
      <c r="L2048" s="31" t="s">
        <v>56</v>
      </c>
      <c r="M2048" s="31">
        <v>160</v>
      </c>
      <c r="N2048" s="31">
        <v>2020</v>
      </c>
      <c r="O2048" s="31">
        <v>76</v>
      </c>
      <c r="P2048" s="31"/>
      <c r="Q2048" s="31"/>
      <c r="R2048" s="33"/>
      <c r="S2048" s="34" t="str">
        <f>HYPERLINK("http://www.cnpol.ru/covers/19269.jpg","фото на сайте")</f>
        <v>фото на сайте</v>
      </c>
    </row>
    <row r="2049" spans="1:19" ht="50.1" customHeight="1">
      <c r="A2049" s="31"/>
      <c r="B2049" s="32" t="s">
        <v>8056</v>
      </c>
      <c r="C2049" s="31" t="s">
        <v>390</v>
      </c>
      <c r="D2049" s="31" t="s">
        <v>2177</v>
      </c>
      <c r="E2049" s="31" t="s">
        <v>8057</v>
      </c>
      <c r="F2049" s="31">
        <v>728</v>
      </c>
      <c r="G2049" s="31">
        <v>86</v>
      </c>
      <c r="H2049" s="31">
        <v>10</v>
      </c>
      <c r="I2049" s="31">
        <v>30</v>
      </c>
      <c r="J2049" s="31" t="s">
        <v>8058</v>
      </c>
      <c r="K2049" s="31" t="s">
        <v>123</v>
      </c>
      <c r="L2049" s="31" t="s">
        <v>56</v>
      </c>
      <c r="M2049" s="31">
        <v>160</v>
      </c>
      <c r="N2049" s="31">
        <v>2017</v>
      </c>
      <c r="O2049" s="31">
        <v>76</v>
      </c>
      <c r="P2049" s="31"/>
      <c r="Q2049" s="31"/>
      <c r="R2049" s="33"/>
      <c r="S2049" s="34" t="str">
        <f>HYPERLINK("http://www.cnpol.ru/covers/17558.jpg","фото на сайте")</f>
        <v>фото на сайте</v>
      </c>
    </row>
    <row r="2050" spans="1:19" ht="50.1" customHeight="1">
      <c r="A2050" s="31"/>
      <c r="B2050" s="32" t="s">
        <v>8059</v>
      </c>
      <c r="C2050" s="31" t="s">
        <v>528</v>
      </c>
      <c r="D2050" s="31" t="s">
        <v>529</v>
      </c>
      <c r="E2050" s="31" t="s">
        <v>8060</v>
      </c>
      <c r="F2050" s="31" t="s">
        <v>31</v>
      </c>
      <c r="G2050" s="31">
        <v>137</v>
      </c>
      <c r="H2050" s="31">
        <v>10</v>
      </c>
      <c r="I2050" s="31">
        <v>20</v>
      </c>
      <c r="J2050" s="31" t="s">
        <v>8061</v>
      </c>
      <c r="K2050" s="31" t="s">
        <v>55</v>
      </c>
      <c r="L2050" s="31" t="s">
        <v>56</v>
      </c>
      <c r="M2050" s="31">
        <v>160</v>
      </c>
      <c r="N2050" s="31">
        <v>2018</v>
      </c>
      <c r="O2050" s="31">
        <v>72</v>
      </c>
      <c r="P2050" s="31"/>
      <c r="Q2050" s="31"/>
      <c r="R2050" s="33"/>
      <c r="S2050" s="34" t="str">
        <f>HYPERLINK("http://www.cnpol.ru/covers/18235.jpg","фото на сайте")</f>
        <v>фото на сайте</v>
      </c>
    </row>
    <row r="2051" spans="1:19" ht="50.1" customHeight="1">
      <c r="A2051" s="31"/>
      <c r="B2051" s="32" t="s">
        <v>8062</v>
      </c>
      <c r="C2051" s="31" t="s">
        <v>45</v>
      </c>
      <c r="D2051" s="31" t="s">
        <v>1212</v>
      </c>
      <c r="E2051" s="31" t="s">
        <v>8063</v>
      </c>
      <c r="F2051" s="31" t="s">
        <v>31</v>
      </c>
      <c r="G2051" s="31">
        <v>807</v>
      </c>
      <c r="H2051" s="31">
        <v>10</v>
      </c>
      <c r="I2051" s="31">
        <v>14</v>
      </c>
      <c r="J2051" s="31" t="s">
        <v>8064</v>
      </c>
      <c r="K2051" s="31" t="s">
        <v>33</v>
      </c>
      <c r="L2051" s="31" t="s">
        <v>34</v>
      </c>
      <c r="M2051" s="31">
        <v>382</v>
      </c>
      <c r="N2051" s="31">
        <v>2012</v>
      </c>
      <c r="O2051" s="31">
        <v>450</v>
      </c>
      <c r="P2051" s="31"/>
      <c r="Q2051" s="31"/>
      <c r="R2051" s="33"/>
      <c r="S2051" s="34" t="str">
        <f>HYPERLINK("http://www.cnpol.ru/covers/13548.jpg","фото на сайте")</f>
        <v>фото на сайте</v>
      </c>
    </row>
    <row r="2052" spans="1:19" ht="50.1" customHeight="1">
      <c r="A2052" s="31"/>
      <c r="B2052" s="32" t="s">
        <v>8065</v>
      </c>
      <c r="C2052" s="31" t="s">
        <v>8066</v>
      </c>
      <c r="D2052" s="31" t="s">
        <v>213</v>
      </c>
      <c r="E2052" s="31" t="s">
        <v>8067</v>
      </c>
      <c r="F2052" s="31" t="s">
        <v>31</v>
      </c>
      <c r="G2052" s="31">
        <v>503</v>
      </c>
      <c r="H2052" s="31">
        <v>10</v>
      </c>
      <c r="I2052" s="31">
        <v>18</v>
      </c>
      <c r="J2052" s="31" t="s">
        <v>8068</v>
      </c>
      <c r="K2052" s="31" t="s">
        <v>194</v>
      </c>
      <c r="L2052" s="31" t="s">
        <v>34</v>
      </c>
      <c r="M2052" s="31">
        <v>192</v>
      </c>
      <c r="N2052" s="31">
        <v>2018</v>
      </c>
      <c r="O2052" s="31">
        <v>204</v>
      </c>
      <c r="P2052" s="31"/>
      <c r="Q2052" s="31"/>
      <c r="R2052" s="33"/>
      <c r="S2052" s="34" t="str">
        <f>HYPERLINK("http://www.cnpol.ru/covers/18162.jpg","фото на сайте")</f>
        <v>фото на сайте</v>
      </c>
    </row>
    <row r="2053" spans="1:19" ht="50.1" customHeight="1">
      <c r="A2053" s="31"/>
      <c r="B2053" s="32" t="s">
        <v>8069</v>
      </c>
      <c r="C2053" s="31" t="s">
        <v>7881</v>
      </c>
      <c r="D2053" s="31" t="s">
        <v>8070</v>
      </c>
      <c r="E2053" s="31" t="s">
        <v>8071</v>
      </c>
      <c r="F2053" s="31" t="s">
        <v>31</v>
      </c>
      <c r="G2053" s="31">
        <v>88</v>
      </c>
      <c r="H2053" s="31">
        <v>10</v>
      </c>
      <c r="I2053" s="31">
        <v>30</v>
      </c>
      <c r="J2053" s="31" t="s">
        <v>8072</v>
      </c>
      <c r="K2053" s="31" t="s">
        <v>55</v>
      </c>
      <c r="L2053" s="31" t="s">
        <v>56</v>
      </c>
      <c r="M2053" s="31">
        <v>191</v>
      </c>
      <c r="N2053" s="31">
        <v>2007</v>
      </c>
      <c r="O2053" s="31">
        <v>84</v>
      </c>
      <c r="P2053" s="31"/>
      <c r="Q2053" s="31"/>
      <c r="R2053" s="33"/>
      <c r="S2053" s="34" t="str">
        <f>HYPERLINK("http://www.cnpol.ru/covers/7279.jpg","фото на сайте")</f>
        <v>фото на сайте</v>
      </c>
    </row>
    <row r="2054" spans="1:19" ht="50.1" customHeight="1">
      <c r="A2054" s="31"/>
      <c r="B2054" s="32" t="s">
        <v>8073</v>
      </c>
      <c r="C2054" s="31" t="s">
        <v>1594</v>
      </c>
      <c r="D2054" s="31" t="s">
        <v>8074</v>
      </c>
      <c r="E2054" s="31" t="s">
        <v>8075</v>
      </c>
      <c r="F2054" s="31" t="s">
        <v>31</v>
      </c>
      <c r="G2054" s="31">
        <v>169</v>
      </c>
      <c r="H2054" s="31">
        <v>10</v>
      </c>
      <c r="I2054" s="31">
        <v>40</v>
      </c>
      <c r="J2054" s="31" t="s">
        <v>8076</v>
      </c>
      <c r="K2054" s="31" t="s">
        <v>55</v>
      </c>
      <c r="L2054" s="31" t="s">
        <v>56</v>
      </c>
      <c r="M2054" s="31">
        <v>352</v>
      </c>
      <c r="N2054" s="31">
        <v>2019</v>
      </c>
      <c r="O2054" s="31">
        <v>146</v>
      </c>
      <c r="P2054" s="31"/>
      <c r="Q2054" s="31"/>
      <c r="R2054" s="33"/>
      <c r="S2054" s="34" t="str">
        <f>HYPERLINK("http://www.cnpol.ru/covers/18726.jpg","фото на сайте")</f>
        <v>фото на сайте</v>
      </c>
    </row>
    <row r="2055" spans="1:19" ht="50.1" customHeight="1">
      <c r="A2055" s="31"/>
      <c r="B2055" s="32" t="s">
        <v>8077</v>
      </c>
      <c r="C2055" s="31" t="s">
        <v>400</v>
      </c>
      <c r="D2055" s="31" t="s">
        <v>8078</v>
      </c>
      <c r="E2055" s="31" t="s">
        <v>8079</v>
      </c>
      <c r="F2055" s="31" t="s">
        <v>31</v>
      </c>
      <c r="G2055" s="31">
        <v>503</v>
      </c>
      <c r="H2055" s="31">
        <v>10</v>
      </c>
      <c r="I2055" s="31">
        <v>16</v>
      </c>
      <c r="J2055" s="31" t="s">
        <v>8080</v>
      </c>
      <c r="K2055" s="31" t="s">
        <v>33</v>
      </c>
      <c r="L2055" s="31" t="s">
        <v>34</v>
      </c>
      <c r="M2055" s="31">
        <v>285</v>
      </c>
      <c r="N2055" s="31">
        <v>2013</v>
      </c>
      <c r="O2055" s="31">
        <v>244</v>
      </c>
      <c r="P2055" s="31"/>
      <c r="Q2055" s="31"/>
      <c r="R2055" s="33"/>
      <c r="S2055" s="34" t="str">
        <f>HYPERLINK("http://www.cnpol.ru/covers/14595.jpg","фото на сайте")</f>
        <v>фото на сайте</v>
      </c>
    </row>
    <row r="2056" spans="1:19" ht="50.1" customHeight="1">
      <c r="A2056" s="31"/>
      <c r="B2056" s="32" t="s">
        <v>8081</v>
      </c>
      <c r="C2056" s="31" t="s">
        <v>45</v>
      </c>
      <c r="D2056" s="31" t="s">
        <v>5151</v>
      </c>
      <c r="E2056" s="31" t="s">
        <v>8082</v>
      </c>
      <c r="F2056" s="31" t="s">
        <v>31</v>
      </c>
      <c r="G2056" s="35">
        <v>1174</v>
      </c>
      <c r="H2056" s="31">
        <v>10</v>
      </c>
      <c r="I2056" s="31">
        <v>10</v>
      </c>
      <c r="J2056" s="31" t="s">
        <v>8083</v>
      </c>
      <c r="K2056" s="31" t="s">
        <v>33</v>
      </c>
      <c r="L2056" s="31" t="s">
        <v>34</v>
      </c>
      <c r="M2056" s="31">
        <v>479</v>
      </c>
      <c r="N2056" s="31">
        <v>2021</v>
      </c>
      <c r="O2056" s="31">
        <v>584</v>
      </c>
      <c r="P2056" s="31"/>
      <c r="Q2056" s="31"/>
      <c r="R2056" s="33"/>
      <c r="S2056" s="34" t="str">
        <f>HYPERLINK("http://www.cnpol.ru/covers/19755.jpg","фото на сайте")</f>
        <v>фото на сайте</v>
      </c>
    </row>
    <row r="2057" spans="1:19" ht="50.1" customHeight="1">
      <c r="A2057" s="31"/>
      <c r="B2057" s="32" t="s">
        <v>8084</v>
      </c>
      <c r="C2057" s="31" t="s">
        <v>479</v>
      </c>
      <c r="D2057" s="31" t="s">
        <v>8085</v>
      </c>
      <c r="E2057" s="31" t="s">
        <v>8086</v>
      </c>
      <c r="F2057" s="31" t="s">
        <v>31</v>
      </c>
      <c r="G2057" s="35">
        <v>2525</v>
      </c>
      <c r="H2057" s="31">
        <v>10</v>
      </c>
      <c r="I2057" s="31">
        <v>3</v>
      </c>
      <c r="J2057" s="31" t="s">
        <v>8087</v>
      </c>
      <c r="K2057" s="31" t="s">
        <v>147</v>
      </c>
      <c r="L2057" s="31" t="s">
        <v>34</v>
      </c>
      <c r="M2057" s="31">
        <v>800</v>
      </c>
      <c r="N2057" s="31">
        <v>2017</v>
      </c>
      <c r="O2057" s="31">
        <v>1154</v>
      </c>
      <c r="P2057" s="31"/>
      <c r="Q2057" s="31"/>
      <c r="R2057" s="33"/>
      <c r="S2057" s="34" t="str">
        <f>HYPERLINK("http://www.cnpol.ru/covers/17563.jpg","фото на сайте")</f>
        <v>фото на сайте</v>
      </c>
    </row>
    <row r="2058" spans="1:19" ht="50.1" customHeight="1">
      <c r="A2058" s="31"/>
      <c r="B2058" s="32" t="s">
        <v>8088</v>
      </c>
      <c r="C2058" s="31" t="s">
        <v>528</v>
      </c>
      <c r="D2058" s="31" t="s">
        <v>529</v>
      </c>
      <c r="E2058" s="31" t="s">
        <v>8089</v>
      </c>
      <c r="F2058" s="31" t="s">
        <v>31</v>
      </c>
      <c r="G2058" s="31">
        <v>137</v>
      </c>
      <c r="H2058" s="31">
        <v>10</v>
      </c>
      <c r="I2058" s="31">
        <v>40</v>
      </c>
      <c r="J2058" s="31" t="s">
        <v>8090</v>
      </c>
      <c r="K2058" s="31" t="s">
        <v>55</v>
      </c>
      <c r="L2058" s="31" t="s">
        <v>56</v>
      </c>
      <c r="M2058" s="31">
        <v>160</v>
      </c>
      <c r="N2058" s="31">
        <v>2019</v>
      </c>
      <c r="O2058" s="31">
        <v>70</v>
      </c>
      <c r="P2058" s="31"/>
      <c r="Q2058" s="31"/>
      <c r="R2058" s="33"/>
      <c r="S2058" s="34" t="str">
        <f>HYPERLINK("http://www.cnpol.ru/covers/18588.jpg","фото на сайте")</f>
        <v>фото на сайте</v>
      </c>
    </row>
    <row r="2059" spans="1:19" ht="50.1" customHeight="1">
      <c r="A2059" s="31"/>
      <c r="B2059" s="32" t="s">
        <v>8091</v>
      </c>
      <c r="C2059" s="31" t="s">
        <v>1390</v>
      </c>
      <c r="D2059" s="31" t="s">
        <v>236</v>
      </c>
      <c r="E2059" s="31" t="s">
        <v>8092</v>
      </c>
      <c r="F2059" s="31" t="s">
        <v>31</v>
      </c>
      <c r="G2059" s="31">
        <v>209</v>
      </c>
      <c r="H2059" s="31">
        <v>10</v>
      </c>
      <c r="I2059" s="31">
        <v>20</v>
      </c>
      <c r="J2059" s="31" t="s">
        <v>8093</v>
      </c>
      <c r="K2059" s="31" t="s">
        <v>130</v>
      </c>
      <c r="L2059" s="31" t="s">
        <v>56</v>
      </c>
      <c r="M2059" s="31">
        <v>160</v>
      </c>
      <c r="N2059" s="31">
        <v>2021</v>
      </c>
      <c r="O2059" s="31">
        <v>152</v>
      </c>
      <c r="P2059" s="31"/>
      <c r="Q2059" s="31"/>
      <c r="R2059" s="33"/>
      <c r="S2059" s="34" t="str">
        <f>HYPERLINK("http://www.cnpol.ru/covers/19519.jpg","фото на сайте")</f>
        <v>фото на сайте</v>
      </c>
    </row>
    <row r="2060" spans="1:19" ht="50.1" customHeight="1">
      <c r="A2060" s="31"/>
      <c r="B2060" s="32" t="s">
        <v>8094</v>
      </c>
      <c r="C2060" s="31" t="s">
        <v>2223</v>
      </c>
      <c r="D2060" s="31" t="s">
        <v>236</v>
      </c>
      <c r="E2060" s="31" t="s">
        <v>8095</v>
      </c>
      <c r="F2060" s="31" t="s">
        <v>31</v>
      </c>
      <c r="G2060" s="31">
        <v>275</v>
      </c>
      <c r="H2060" s="31">
        <v>10</v>
      </c>
      <c r="I2060" s="31">
        <v>12</v>
      </c>
      <c r="J2060" s="31" t="s">
        <v>8096</v>
      </c>
      <c r="K2060" s="31" t="s">
        <v>130</v>
      </c>
      <c r="L2060" s="31" t="s">
        <v>56</v>
      </c>
      <c r="M2060" s="31">
        <v>320</v>
      </c>
      <c r="N2060" s="31">
        <v>2019</v>
      </c>
      <c r="O2060" s="31">
        <v>220</v>
      </c>
      <c r="P2060" s="31"/>
      <c r="Q2060" s="31"/>
      <c r="R2060" s="33"/>
      <c r="S2060" s="34" t="str">
        <f>HYPERLINK("http://www.cnpol.ru/covers/18875.jpg","фото на сайте")</f>
        <v>фото на сайте</v>
      </c>
    </row>
    <row r="2061" spans="1:19" ht="50.1" customHeight="1">
      <c r="A2061" s="31"/>
      <c r="B2061" s="32" t="s">
        <v>8097</v>
      </c>
      <c r="C2061" s="31" t="s">
        <v>528</v>
      </c>
      <c r="D2061" s="31" t="s">
        <v>529</v>
      </c>
      <c r="E2061" s="31" t="s">
        <v>8098</v>
      </c>
      <c r="F2061" s="31" t="s">
        <v>31</v>
      </c>
      <c r="G2061" s="31">
        <v>137</v>
      </c>
      <c r="H2061" s="31">
        <v>10</v>
      </c>
      <c r="I2061" s="31">
        <v>20</v>
      </c>
      <c r="J2061" s="31" t="s">
        <v>8099</v>
      </c>
      <c r="K2061" s="31" t="s">
        <v>55</v>
      </c>
      <c r="L2061" s="31" t="s">
        <v>56</v>
      </c>
      <c r="M2061" s="31">
        <v>160</v>
      </c>
      <c r="N2061" s="31">
        <v>2017</v>
      </c>
      <c r="O2061" s="31">
        <v>68</v>
      </c>
      <c r="P2061" s="31"/>
      <c r="Q2061" s="31"/>
      <c r="R2061" s="33"/>
      <c r="S2061" s="34" t="str">
        <f>HYPERLINK("http://www.cnpol.ru/covers/17634.jpg","фото на сайте")</f>
        <v>фото на сайте</v>
      </c>
    </row>
    <row r="2062" spans="1:19" ht="50.1" customHeight="1">
      <c r="A2062" s="31"/>
      <c r="B2062" s="32" t="s">
        <v>8100</v>
      </c>
      <c r="C2062" s="31" t="s">
        <v>528</v>
      </c>
      <c r="D2062" s="31" t="s">
        <v>529</v>
      </c>
      <c r="E2062" s="31" t="s">
        <v>8101</v>
      </c>
      <c r="F2062" s="31" t="s">
        <v>31</v>
      </c>
      <c r="G2062" s="31">
        <v>137</v>
      </c>
      <c r="H2062" s="31">
        <v>10</v>
      </c>
      <c r="I2062" s="31">
        <v>28</v>
      </c>
      <c r="J2062" s="31" t="s">
        <v>8102</v>
      </c>
      <c r="K2062" s="31" t="s">
        <v>55</v>
      </c>
      <c r="L2062" s="31" t="s">
        <v>56</v>
      </c>
      <c r="M2062" s="31">
        <v>160</v>
      </c>
      <c r="N2062" s="31">
        <v>2017</v>
      </c>
      <c r="O2062" s="31">
        <v>68</v>
      </c>
      <c r="P2062" s="31"/>
      <c r="Q2062" s="31"/>
      <c r="R2062" s="33"/>
      <c r="S2062" s="34" t="str">
        <f>HYPERLINK("http://www.cnpol.ru/covers/17451.jpg","фото на сайте")</f>
        <v>фото на сайте</v>
      </c>
    </row>
    <row r="2063" spans="1:19" ht="50.1" customHeight="1">
      <c r="A2063" s="31"/>
      <c r="B2063" s="32" t="s">
        <v>8103</v>
      </c>
      <c r="C2063" s="31" t="s">
        <v>528</v>
      </c>
      <c r="D2063" s="31" t="s">
        <v>529</v>
      </c>
      <c r="E2063" s="31" t="s">
        <v>8104</v>
      </c>
      <c r="F2063" s="31" t="s">
        <v>31</v>
      </c>
      <c r="G2063" s="31">
        <v>137</v>
      </c>
      <c r="H2063" s="31">
        <v>10</v>
      </c>
      <c r="I2063" s="31">
        <v>30</v>
      </c>
      <c r="J2063" s="31" t="s">
        <v>8105</v>
      </c>
      <c r="K2063" s="31" t="s">
        <v>55</v>
      </c>
      <c r="L2063" s="31" t="s">
        <v>56</v>
      </c>
      <c r="M2063" s="31">
        <v>160</v>
      </c>
      <c r="N2063" s="31">
        <v>2021</v>
      </c>
      <c r="O2063" s="31">
        <v>68</v>
      </c>
      <c r="P2063" s="31"/>
      <c r="Q2063" s="31"/>
      <c r="R2063" s="33"/>
      <c r="S2063" s="34" t="str">
        <f>HYPERLINK("http://www.cnpol.ru/covers/19555.jpg","фото на сайте")</f>
        <v>фото на сайте</v>
      </c>
    </row>
    <row r="2064" spans="1:19" ht="50.1" customHeight="1">
      <c r="A2064" s="31"/>
      <c r="B2064" s="32" t="s">
        <v>8106</v>
      </c>
      <c r="C2064" s="31" t="s">
        <v>528</v>
      </c>
      <c r="D2064" s="31" t="s">
        <v>529</v>
      </c>
      <c r="E2064" s="31" t="s">
        <v>8107</v>
      </c>
      <c r="F2064" s="31" t="s">
        <v>31</v>
      </c>
      <c r="G2064" s="31">
        <v>137</v>
      </c>
      <c r="H2064" s="31">
        <v>10</v>
      </c>
      <c r="I2064" s="31">
        <v>40</v>
      </c>
      <c r="J2064" s="31" t="s">
        <v>8108</v>
      </c>
      <c r="K2064" s="31" t="s">
        <v>55</v>
      </c>
      <c r="L2064" s="31" t="s">
        <v>56</v>
      </c>
      <c r="M2064" s="31">
        <v>160</v>
      </c>
      <c r="N2064" s="31">
        <v>2019</v>
      </c>
      <c r="O2064" s="31">
        <v>70</v>
      </c>
      <c r="P2064" s="31"/>
      <c r="Q2064" s="31"/>
      <c r="R2064" s="33"/>
      <c r="S2064" s="34" t="str">
        <f>HYPERLINK("http://www.cnpol.ru/covers/18568.jpg","фото на сайте")</f>
        <v>фото на сайте</v>
      </c>
    </row>
    <row r="2065" spans="1:19" ht="50.1" customHeight="1">
      <c r="A2065" s="31"/>
      <c r="B2065" s="32" t="s">
        <v>8109</v>
      </c>
      <c r="C2065" s="31" t="s">
        <v>1390</v>
      </c>
      <c r="D2065" s="31" t="s">
        <v>236</v>
      </c>
      <c r="E2065" s="31" t="s">
        <v>8110</v>
      </c>
      <c r="F2065" s="31" t="s">
        <v>31</v>
      </c>
      <c r="G2065" s="31">
        <v>209</v>
      </c>
      <c r="H2065" s="31">
        <v>10</v>
      </c>
      <c r="I2065" s="31">
        <v>18</v>
      </c>
      <c r="J2065" s="31" t="s">
        <v>8111</v>
      </c>
      <c r="K2065" s="31" t="s">
        <v>33</v>
      </c>
      <c r="L2065" s="31" t="s">
        <v>56</v>
      </c>
      <c r="M2065" s="31">
        <v>255</v>
      </c>
      <c r="N2065" s="31">
        <v>2021</v>
      </c>
      <c r="O2065" s="31">
        <v>154</v>
      </c>
      <c r="P2065" s="31"/>
      <c r="Q2065" s="31"/>
      <c r="R2065" s="33"/>
      <c r="S2065" s="34" t="str">
        <f>HYPERLINK("http://www.cnpol.ru/covers/19899.jpg","фото на сайте")</f>
        <v>фото на сайте</v>
      </c>
    </row>
    <row r="2066" spans="1:19" ht="50.1" customHeight="1">
      <c r="A2066" s="31"/>
      <c r="B2066" s="32" t="s">
        <v>8112</v>
      </c>
      <c r="C2066" s="31" t="s">
        <v>818</v>
      </c>
      <c r="D2066" s="31" t="s">
        <v>8113</v>
      </c>
      <c r="E2066" s="31" t="s">
        <v>8114</v>
      </c>
      <c r="F2066" s="31" t="s">
        <v>31</v>
      </c>
      <c r="G2066" s="31">
        <v>88</v>
      </c>
      <c r="H2066" s="31">
        <v>10</v>
      </c>
      <c r="I2066" s="31">
        <v>40</v>
      </c>
      <c r="J2066" s="31" t="s">
        <v>8115</v>
      </c>
      <c r="K2066" s="31" t="s">
        <v>55</v>
      </c>
      <c r="L2066" s="31" t="s">
        <v>56</v>
      </c>
      <c r="M2066" s="31">
        <v>127</v>
      </c>
      <c r="N2066" s="31">
        <v>2005</v>
      </c>
      <c r="O2066" s="31">
        <v>58</v>
      </c>
      <c r="P2066" s="31"/>
      <c r="Q2066" s="31"/>
      <c r="R2066" s="33"/>
      <c r="S2066" s="34" t="str">
        <f>HYPERLINK("http://www.cnpol.ru/covers/6223.jpg","фото на сайте")</f>
        <v>фото на сайте</v>
      </c>
    </row>
    <row r="2067" spans="1:19" ht="50.1" customHeight="1">
      <c r="A2067" s="31"/>
      <c r="B2067" s="32" t="s">
        <v>8116</v>
      </c>
      <c r="C2067" s="31" t="s">
        <v>1390</v>
      </c>
      <c r="D2067" s="31" t="s">
        <v>236</v>
      </c>
      <c r="E2067" s="31" t="s">
        <v>8117</v>
      </c>
      <c r="F2067" s="31" t="s">
        <v>31</v>
      </c>
      <c r="G2067" s="31">
        <v>209</v>
      </c>
      <c r="H2067" s="31">
        <v>10</v>
      </c>
      <c r="I2067" s="31">
        <v>24</v>
      </c>
      <c r="J2067" s="31" t="s">
        <v>8118</v>
      </c>
      <c r="K2067" s="31" t="s">
        <v>130</v>
      </c>
      <c r="L2067" s="31" t="s">
        <v>56</v>
      </c>
      <c r="M2067" s="31">
        <v>255</v>
      </c>
      <c r="N2067" s="31">
        <v>2021</v>
      </c>
      <c r="O2067" s="31">
        <v>154</v>
      </c>
      <c r="P2067" s="31"/>
      <c r="Q2067" s="31"/>
      <c r="R2067" s="33"/>
      <c r="S2067" s="34" t="str">
        <f>HYPERLINK("http://www.cnpol.ru/covers/19835.jpg","фото на сайте")</f>
        <v>фото на сайте</v>
      </c>
    </row>
    <row r="2068" spans="1:19" ht="50.1" customHeight="1">
      <c r="A2068" s="31"/>
      <c r="B2068" s="32" t="s">
        <v>8119</v>
      </c>
      <c r="C2068" s="31" t="s">
        <v>1390</v>
      </c>
      <c r="D2068" s="31" t="s">
        <v>236</v>
      </c>
      <c r="E2068" s="31" t="s">
        <v>8120</v>
      </c>
      <c r="F2068" s="31" t="s">
        <v>31</v>
      </c>
      <c r="G2068" s="31">
        <v>209</v>
      </c>
      <c r="H2068" s="31">
        <v>10</v>
      </c>
      <c r="I2068" s="31">
        <v>20</v>
      </c>
      <c r="J2068" s="31" t="s">
        <v>8121</v>
      </c>
      <c r="K2068" s="31" t="s">
        <v>33</v>
      </c>
      <c r="L2068" s="31" t="s">
        <v>56</v>
      </c>
      <c r="M2068" s="31">
        <v>256</v>
      </c>
      <c r="N2068" s="31">
        <v>2021</v>
      </c>
      <c r="O2068" s="31">
        <v>246</v>
      </c>
      <c r="P2068" s="31"/>
      <c r="Q2068" s="31"/>
      <c r="R2068" s="33"/>
      <c r="S2068" s="34" t="str">
        <f>HYPERLINK("http://www.cnpol.ru/covers/19853.jpg","фото на сайте")</f>
        <v>фото на сайте</v>
      </c>
    </row>
    <row r="2069" spans="1:19" ht="50.1" customHeight="1">
      <c r="A2069" s="31"/>
      <c r="B2069" s="32" t="s">
        <v>8122</v>
      </c>
      <c r="C2069" s="31" t="s">
        <v>818</v>
      </c>
      <c r="D2069" s="31" t="s">
        <v>5394</v>
      </c>
      <c r="E2069" s="31" t="s">
        <v>8123</v>
      </c>
      <c r="F2069" s="31" t="s">
        <v>31</v>
      </c>
      <c r="G2069" s="31">
        <v>88</v>
      </c>
      <c r="H2069" s="31">
        <v>10</v>
      </c>
      <c r="I2069" s="31">
        <v>40</v>
      </c>
      <c r="J2069" s="31" t="s">
        <v>8124</v>
      </c>
      <c r="K2069" s="31" t="s">
        <v>55</v>
      </c>
      <c r="L2069" s="31" t="s">
        <v>56</v>
      </c>
      <c r="M2069" s="31">
        <v>127</v>
      </c>
      <c r="N2069" s="31">
        <v>2007</v>
      </c>
      <c r="O2069" s="31">
        <v>56</v>
      </c>
      <c r="P2069" s="31"/>
      <c r="Q2069" s="31"/>
      <c r="R2069" s="33"/>
      <c r="S2069" s="34" t="str">
        <f>HYPERLINK("http://www.cnpol.ru/covers/6349.jpg","фото на сайте")</f>
        <v>фото на сайте</v>
      </c>
    </row>
    <row r="2070" spans="1:19" ht="50.1" customHeight="1">
      <c r="A2070" s="31"/>
      <c r="B2070" s="32" t="s">
        <v>8125</v>
      </c>
      <c r="C2070" s="31" t="s">
        <v>818</v>
      </c>
      <c r="D2070" s="31" t="s">
        <v>8126</v>
      </c>
      <c r="E2070" s="31" t="s">
        <v>8127</v>
      </c>
      <c r="F2070" s="31" t="s">
        <v>31</v>
      </c>
      <c r="G2070" s="31">
        <v>88</v>
      </c>
      <c r="H2070" s="31">
        <v>10</v>
      </c>
      <c r="I2070" s="31">
        <v>40</v>
      </c>
      <c r="J2070" s="31" t="s">
        <v>8128</v>
      </c>
      <c r="K2070" s="31" t="s">
        <v>55</v>
      </c>
      <c r="L2070" s="31" t="s">
        <v>56</v>
      </c>
      <c r="M2070" s="31">
        <v>127</v>
      </c>
      <c r="N2070" s="31">
        <v>2005</v>
      </c>
      <c r="O2070" s="31">
        <v>58</v>
      </c>
      <c r="P2070" s="31"/>
      <c r="Q2070" s="31"/>
      <c r="R2070" s="33"/>
      <c r="S2070" s="34" t="str">
        <f>HYPERLINK("http://www.cnpol.ru/covers/6118.jpg","фото на сайте")</f>
        <v>фото на сайте</v>
      </c>
    </row>
    <row r="2071" spans="1:19" ht="50.1" customHeight="1">
      <c r="A2071" s="31"/>
      <c r="B2071" s="32" t="s">
        <v>8129</v>
      </c>
      <c r="C2071" s="31" t="s">
        <v>528</v>
      </c>
      <c r="D2071" s="31" t="s">
        <v>529</v>
      </c>
      <c r="E2071" s="31" t="s">
        <v>8130</v>
      </c>
      <c r="F2071" s="31" t="s">
        <v>31</v>
      </c>
      <c r="G2071" s="31">
        <v>128</v>
      </c>
      <c r="H2071" s="31">
        <v>10</v>
      </c>
      <c r="I2071" s="31">
        <v>20</v>
      </c>
      <c r="J2071" s="31" t="s">
        <v>8131</v>
      </c>
      <c r="K2071" s="31" t="s">
        <v>55</v>
      </c>
      <c r="L2071" s="31" t="s">
        <v>56</v>
      </c>
      <c r="M2071" s="31">
        <v>160</v>
      </c>
      <c r="N2071" s="31">
        <v>2019</v>
      </c>
      <c r="O2071" s="31">
        <v>68</v>
      </c>
      <c r="P2071" s="31"/>
      <c r="Q2071" s="31"/>
      <c r="R2071" s="33"/>
      <c r="S2071" s="34" t="str">
        <f>HYPERLINK("http://www.cnpol.ru/covers/18601.jpg","фото на сайте")</f>
        <v>фото на сайте</v>
      </c>
    </row>
    <row r="2072" spans="1:19" ht="50.1" customHeight="1">
      <c r="A2072" s="31"/>
      <c r="B2072" s="32" t="s">
        <v>8132</v>
      </c>
      <c r="C2072" s="31" t="s">
        <v>528</v>
      </c>
      <c r="D2072" s="31" t="s">
        <v>529</v>
      </c>
      <c r="E2072" s="31" t="s">
        <v>8133</v>
      </c>
      <c r="F2072" s="31" t="s">
        <v>31</v>
      </c>
      <c r="G2072" s="31">
        <v>137</v>
      </c>
      <c r="H2072" s="31">
        <v>10</v>
      </c>
      <c r="I2072" s="31">
        <v>24</v>
      </c>
      <c r="J2072" s="31" t="s">
        <v>8134</v>
      </c>
      <c r="K2072" s="31" t="s">
        <v>55</v>
      </c>
      <c r="L2072" s="31" t="s">
        <v>56</v>
      </c>
      <c r="M2072" s="31">
        <v>160</v>
      </c>
      <c r="N2072" s="31">
        <v>2017</v>
      </c>
      <c r="O2072" s="31">
        <v>68</v>
      </c>
      <c r="P2072" s="31"/>
      <c r="Q2072" s="31"/>
      <c r="R2072" s="33"/>
      <c r="S2072" s="34" t="str">
        <f>HYPERLINK("http://www.cnpol.ru/covers/17866.jpg","фото на сайте")</f>
        <v>фото на сайте</v>
      </c>
    </row>
    <row r="2073" spans="1:19" ht="50.1" customHeight="1">
      <c r="A2073" s="31"/>
      <c r="B2073" s="32" t="s">
        <v>8135</v>
      </c>
      <c r="C2073" s="31" t="s">
        <v>528</v>
      </c>
      <c r="D2073" s="31" t="s">
        <v>529</v>
      </c>
      <c r="E2073" s="31" t="s">
        <v>8136</v>
      </c>
      <c r="F2073" s="31" t="s">
        <v>31</v>
      </c>
      <c r="G2073" s="31">
        <v>137</v>
      </c>
      <c r="H2073" s="31">
        <v>10</v>
      </c>
      <c r="I2073" s="31">
        <v>20</v>
      </c>
      <c r="J2073" s="31" t="s">
        <v>8137</v>
      </c>
      <c r="K2073" s="31" t="s">
        <v>55</v>
      </c>
      <c r="L2073" s="31" t="s">
        <v>56</v>
      </c>
      <c r="M2073" s="31">
        <v>160</v>
      </c>
      <c r="N2073" s="31">
        <v>2018</v>
      </c>
      <c r="O2073" s="31">
        <v>68</v>
      </c>
      <c r="P2073" s="31"/>
      <c r="Q2073" s="31"/>
      <c r="R2073" s="33"/>
      <c r="S2073" s="34" t="str">
        <f>HYPERLINK("http://www.cnpol.ru/covers/18136.jpg","фото на сайте")</f>
        <v>фото на сайте</v>
      </c>
    </row>
    <row r="2074" spans="1:19" ht="50.1" customHeight="1">
      <c r="A2074" s="31"/>
      <c r="B2074" s="32" t="s">
        <v>8138</v>
      </c>
      <c r="C2074" s="31" t="s">
        <v>818</v>
      </c>
      <c r="D2074" s="31" t="s">
        <v>8139</v>
      </c>
      <c r="E2074" s="31" t="s">
        <v>8140</v>
      </c>
      <c r="F2074" s="31" t="s">
        <v>31</v>
      </c>
      <c r="G2074" s="31">
        <v>88</v>
      </c>
      <c r="H2074" s="31">
        <v>10</v>
      </c>
      <c r="I2074" s="31">
        <v>40</v>
      </c>
      <c r="J2074" s="31" t="s">
        <v>8141</v>
      </c>
      <c r="K2074" s="31" t="s">
        <v>55</v>
      </c>
      <c r="L2074" s="31" t="s">
        <v>56</v>
      </c>
      <c r="M2074" s="31">
        <v>127</v>
      </c>
      <c r="N2074" s="31">
        <v>2005</v>
      </c>
      <c r="O2074" s="31">
        <v>56</v>
      </c>
      <c r="P2074" s="31"/>
      <c r="Q2074" s="31"/>
      <c r="R2074" s="33"/>
      <c r="S2074" s="34" t="str">
        <f>HYPERLINK("http://www.cnpol.ru/covers/6224.jpg","фото на сайте")</f>
        <v>фото на сайте</v>
      </c>
    </row>
    <row r="2075" spans="1:19" ht="50.1" customHeight="1">
      <c r="A2075" s="31"/>
      <c r="B2075" s="32" t="s">
        <v>8142</v>
      </c>
      <c r="C2075" s="31" t="s">
        <v>528</v>
      </c>
      <c r="D2075" s="31" t="s">
        <v>529</v>
      </c>
      <c r="E2075" s="31" t="s">
        <v>8143</v>
      </c>
      <c r="F2075" s="31" t="s">
        <v>31</v>
      </c>
      <c r="G2075" s="31">
        <v>137</v>
      </c>
      <c r="H2075" s="31">
        <v>10</v>
      </c>
      <c r="I2075" s="31">
        <v>40</v>
      </c>
      <c r="J2075" s="31" t="s">
        <v>8144</v>
      </c>
      <c r="K2075" s="31" t="s">
        <v>55</v>
      </c>
      <c r="L2075" s="31" t="s">
        <v>56</v>
      </c>
      <c r="M2075" s="31">
        <v>160</v>
      </c>
      <c r="N2075" s="31">
        <v>2019</v>
      </c>
      <c r="O2075" s="31">
        <v>70</v>
      </c>
      <c r="P2075" s="31"/>
      <c r="Q2075" s="31"/>
      <c r="R2075" s="33"/>
      <c r="S2075" s="34" t="str">
        <f>HYPERLINK("http://www.cnpol.ru/covers/18677.jpg","фото на сайте")</f>
        <v>фото на сайте</v>
      </c>
    </row>
    <row r="2076" spans="1:19" ht="50.1" customHeight="1">
      <c r="A2076" s="31"/>
      <c r="B2076" s="32" t="s">
        <v>8145</v>
      </c>
      <c r="C2076" s="31" t="s">
        <v>528</v>
      </c>
      <c r="D2076" s="31" t="s">
        <v>529</v>
      </c>
      <c r="E2076" s="31" t="s">
        <v>8146</v>
      </c>
      <c r="F2076" s="31" t="s">
        <v>31</v>
      </c>
      <c r="G2076" s="31">
        <v>137</v>
      </c>
      <c r="H2076" s="31">
        <v>10</v>
      </c>
      <c r="I2076" s="31">
        <v>28</v>
      </c>
      <c r="J2076" s="31" t="s">
        <v>8147</v>
      </c>
      <c r="K2076" s="31" t="s">
        <v>55</v>
      </c>
      <c r="L2076" s="31" t="s">
        <v>56</v>
      </c>
      <c r="M2076" s="31">
        <v>160</v>
      </c>
      <c r="N2076" s="31">
        <v>2021</v>
      </c>
      <c r="O2076" s="31">
        <v>68</v>
      </c>
      <c r="P2076" s="31"/>
      <c r="Q2076" s="31"/>
      <c r="R2076" s="33"/>
      <c r="S2076" s="34" t="str">
        <f>HYPERLINK("http://www.cnpol.ru/covers/19691.jpg","фото на сайте")</f>
        <v>фото на сайте</v>
      </c>
    </row>
    <row r="2077" spans="1:19" ht="50.1" customHeight="1">
      <c r="A2077" s="31"/>
      <c r="B2077" s="32" t="s">
        <v>8148</v>
      </c>
      <c r="C2077" s="31" t="s">
        <v>528</v>
      </c>
      <c r="D2077" s="31" t="s">
        <v>529</v>
      </c>
      <c r="E2077" s="31" t="s">
        <v>8149</v>
      </c>
      <c r="F2077" s="31" t="s">
        <v>31</v>
      </c>
      <c r="G2077" s="31">
        <v>137</v>
      </c>
      <c r="H2077" s="31">
        <v>10</v>
      </c>
      <c r="I2077" s="31">
        <v>40</v>
      </c>
      <c r="J2077" s="31" t="s">
        <v>8150</v>
      </c>
      <c r="K2077" s="31" t="s">
        <v>55</v>
      </c>
      <c r="L2077" s="31" t="s">
        <v>56</v>
      </c>
      <c r="M2077" s="31">
        <v>160</v>
      </c>
      <c r="N2077" s="31">
        <v>2019</v>
      </c>
      <c r="O2077" s="31">
        <v>68</v>
      </c>
      <c r="P2077" s="31"/>
      <c r="Q2077" s="31"/>
      <c r="R2077" s="33"/>
      <c r="S2077" s="34" t="str">
        <f>HYPERLINK("http://www.cnpol.ru/covers/18714.jpg","фото на сайте")</f>
        <v>фото на сайте</v>
      </c>
    </row>
    <row r="2078" spans="1:19" ht="50.1" customHeight="1">
      <c r="A2078" s="31"/>
      <c r="B2078" s="32" t="s">
        <v>8151</v>
      </c>
      <c r="C2078" s="31" t="s">
        <v>528</v>
      </c>
      <c r="D2078" s="31" t="s">
        <v>529</v>
      </c>
      <c r="E2078" s="31" t="s">
        <v>8152</v>
      </c>
      <c r="F2078" s="31" t="s">
        <v>31</v>
      </c>
      <c r="G2078" s="31">
        <v>137</v>
      </c>
      <c r="H2078" s="31">
        <v>10</v>
      </c>
      <c r="I2078" s="31">
        <v>40</v>
      </c>
      <c r="J2078" s="31" t="s">
        <v>8153</v>
      </c>
      <c r="K2078" s="31" t="s">
        <v>55</v>
      </c>
      <c r="L2078" s="31" t="s">
        <v>56</v>
      </c>
      <c r="M2078" s="31">
        <v>160</v>
      </c>
      <c r="N2078" s="31">
        <v>2020</v>
      </c>
      <c r="O2078" s="31">
        <v>68</v>
      </c>
      <c r="P2078" s="31"/>
      <c r="Q2078" s="31"/>
      <c r="R2078" s="33"/>
      <c r="S2078" s="34" t="str">
        <f>HYPERLINK("http://www.cnpol.ru/covers/19022.jpg","фото на сайте")</f>
        <v>фото на сайте</v>
      </c>
    </row>
    <row r="2079" spans="1:19" ht="50.1" customHeight="1">
      <c r="A2079" s="31"/>
      <c r="B2079" s="32" t="s">
        <v>8154</v>
      </c>
      <c r="C2079" s="31" t="s">
        <v>528</v>
      </c>
      <c r="D2079" s="31" t="s">
        <v>529</v>
      </c>
      <c r="E2079" s="31" t="s">
        <v>8155</v>
      </c>
      <c r="F2079" s="31" t="s">
        <v>31</v>
      </c>
      <c r="G2079" s="31">
        <v>137</v>
      </c>
      <c r="H2079" s="31">
        <v>10</v>
      </c>
      <c r="I2079" s="31">
        <v>24</v>
      </c>
      <c r="J2079" s="31" t="s">
        <v>8156</v>
      </c>
      <c r="K2079" s="31" t="s">
        <v>55</v>
      </c>
      <c r="L2079" s="31" t="s">
        <v>56</v>
      </c>
      <c r="M2079" s="31">
        <v>160</v>
      </c>
      <c r="N2079" s="31">
        <v>2018</v>
      </c>
      <c r="O2079" s="31">
        <v>68</v>
      </c>
      <c r="P2079" s="31"/>
      <c r="Q2079" s="31"/>
      <c r="R2079" s="33"/>
      <c r="S2079" s="34" t="str">
        <f>HYPERLINK("http://www.cnpol.ru/covers/18054.jpg","фото на сайте")</f>
        <v>фото на сайте</v>
      </c>
    </row>
    <row r="2080" spans="1:19" ht="50.1" customHeight="1">
      <c r="A2080" s="31"/>
      <c r="B2080" s="32" t="s">
        <v>8157</v>
      </c>
      <c r="C2080" s="31" t="s">
        <v>528</v>
      </c>
      <c r="D2080" s="31" t="s">
        <v>529</v>
      </c>
      <c r="E2080" s="31" t="s">
        <v>8158</v>
      </c>
      <c r="F2080" s="31" t="s">
        <v>31</v>
      </c>
      <c r="G2080" s="31">
        <v>137</v>
      </c>
      <c r="H2080" s="31">
        <v>10</v>
      </c>
      <c r="I2080" s="31">
        <v>28</v>
      </c>
      <c r="J2080" s="31" t="s">
        <v>8159</v>
      </c>
      <c r="K2080" s="31" t="s">
        <v>55</v>
      </c>
      <c r="L2080" s="31" t="s">
        <v>56</v>
      </c>
      <c r="M2080" s="31">
        <v>160</v>
      </c>
      <c r="N2080" s="31">
        <v>2017</v>
      </c>
      <c r="O2080" s="31">
        <v>68</v>
      </c>
      <c r="P2080" s="31"/>
      <c r="Q2080" s="31"/>
      <c r="R2080" s="33"/>
      <c r="S2080" s="34" t="str">
        <f>HYPERLINK("http://www.cnpol.ru/covers/17848.jpg","фото на сайте")</f>
        <v>фото на сайте</v>
      </c>
    </row>
    <row r="2081" spans="1:19" ht="50.1" customHeight="1">
      <c r="A2081" s="31"/>
      <c r="B2081" s="32" t="s">
        <v>8160</v>
      </c>
      <c r="C2081" s="31" t="s">
        <v>528</v>
      </c>
      <c r="D2081" s="31" t="s">
        <v>529</v>
      </c>
      <c r="E2081" s="31" t="s">
        <v>8161</v>
      </c>
      <c r="F2081" s="31" t="s">
        <v>31</v>
      </c>
      <c r="G2081" s="31">
        <v>128</v>
      </c>
      <c r="H2081" s="31">
        <v>10</v>
      </c>
      <c r="I2081" s="31">
        <v>20</v>
      </c>
      <c r="J2081" s="31" t="s">
        <v>8162</v>
      </c>
      <c r="K2081" s="31" t="s">
        <v>55</v>
      </c>
      <c r="L2081" s="31" t="s">
        <v>56</v>
      </c>
      <c r="M2081" s="31">
        <v>160</v>
      </c>
      <c r="N2081" s="31">
        <v>2016</v>
      </c>
      <c r="O2081" s="31">
        <v>68</v>
      </c>
      <c r="P2081" s="31"/>
      <c r="Q2081" s="31"/>
      <c r="R2081" s="33"/>
      <c r="S2081" s="34" t="str">
        <f>HYPERLINK("http://www.cnpol.ru/covers/17018.jpg","фото на сайте")</f>
        <v>фото на сайте</v>
      </c>
    </row>
    <row r="2082" spans="1:19" ht="50.1" customHeight="1">
      <c r="A2082" s="31"/>
      <c r="B2082" s="32" t="s">
        <v>8163</v>
      </c>
      <c r="C2082" s="31" t="s">
        <v>528</v>
      </c>
      <c r="D2082" s="31" t="s">
        <v>529</v>
      </c>
      <c r="E2082" s="31" t="s">
        <v>8164</v>
      </c>
      <c r="F2082" s="31" t="s">
        <v>31</v>
      </c>
      <c r="G2082" s="31">
        <v>137</v>
      </c>
      <c r="H2082" s="31">
        <v>10</v>
      </c>
      <c r="I2082" s="31">
        <v>48</v>
      </c>
      <c r="J2082" s="31" t="s">
        <v>8165</v>
      </c>
      <c r="K2082" s="31" t="s">
        <v>55</v>
      </c>
      <c r="L2082" s="31" t="s">
        <v>56</v>
      </c>
      <c r="M2082" s="31">
        <v>156</v>
      </c>
      <c r="N2082" s="31">
        <v>2013</v>
      </c>
      <c r="O2082" s="31">
        <v>68</v>
      </c>
      <c r="P2082" s="31"/>
      <c r="Q2082" s="31"/>
      <c r="R2082" s="33"/>
      <c r="S2082" s="34" t="str">
        <f>HYPERLINK("http://www.cnpol.ru/covers/14220.jpg","фото на сайте")</f>
        <v>фото на сайте</v>
      </c>
    </row>
    <row r="2083" spans="1:19" ht="50.1" customHeight="1">
      <c r="A2083" s="31"/>
      <c r="B2083" s="32" t="s">
        <v>8166</v>
      </c>
      <c r="C2083" s="31" t="s">
        <v>528</v>
      </c>
      <c r="D2083" s="31" t="s">
        <v>529</v>
      </c>
      <c r="E2083" s="31" t="s">
        <v>8167</v>
      </c>
      <c r="F2083" s="31" t="s">
        <v>31</v>
      </c>
      <c r="G2083" s="31">
        <v>137</v>
      </c>
      <c r="H2083" s="31">
        <v>10</v>
      </c>
      <c r="I2083" s="31">
        <v>20</v>
      </c>
      <c r="J2083" s="31" t="s">
        <v>8168</v>
      </c>
      <c r="K2083" s="31" t="s">
        <v>55</v>
      </c>
      <c r="L2083" s="31" t="s">
        <v>56</v>
      </c>
      <c r="M2083" s="31">
        <v>160</v>
      </c>
      <c r="N2083" s="31">
        <v>2018</v>
      </c>
      <c r="O2083" s="31">
        <v>68</v>
      </c>
      <c r="P2083" s="31"/>
      <c r="Q2083" s="31"/>
      <c r="R2083" s="33"/>
      <c r="S2083" s="34" t="str">
        <f>HYPERLINK("http://www.cnpol.ru/covers/18137.jpg","фото на сайте")</f>
        <v>фото на сайте</v>
      </c>
    </row>
    <row r="2084" spans="1:19" ht="50.1" customHeight="1">
      <c r="A2084" s="31"/>
      <c r="B2084" s="32" t="s">
        <v>8169</v>
      </c>
      <c r="C2084" s="31" t="s">
        <v>528</v>
      </c>
      <c r="D2084" s="31" t="s">
        <v>529</v>
      </c>
      <c r="E2084" s="31" t="s">
        <v>8170</v>
      </c>
      <c r="F2084" s="31" t="s">
        <v>31</v>
      </c>
      <c r="G2084" s="31">
        <v>137</v>
      </c>
      <c r="H2084" s="31">
        <v>10</v>
      </c>
      <c r="I2084" s="31">
        <v>24</v>
      </c>
      <c r="J2084" s="31" t="s">
        <v>8171</v>
      </c>
      <c r="K2084" s="31" t="s">
        <v>55</v>
      </c>
      <c r="L2084" s="31" t="s">
        <v>56</v>
      </c>
      <c r="M2084" s="31">
        <v>160</v>
      </c>
      <c r="N2084" s="31">
        <v>2020</v>
      </c>
      <c r="O2084" s="31">
        <v>68</v>
      </c>
      <c r="P2084" s="31"/>
      <c r="Q2084" s="31"/>
      <c r="R2084" s="33"/>
      <c r="S2084" s="34" t="str">
        <f>HYPERLINK("http://www.cnpol.ru/covers/19118.jpg","фото на сайте")</f>
        <v>фото на сайте</v>
      </c>
    </row>
    <row r="2085" spans="1:19" ht="50.1" customHeight="1">
      <c r="A2085" s="31"/>
      <c r="B2085" s="32" t="s">
        <v>8172</v>
      </c>
      <c r="C2085" s="31" t="s">
        <v>528</v>
      </c>
      <c r="D2085" s="31" t="s">
        <v>529</v>
      </c>
      <c r="E2085" s="31" t="s">
        <v>8173</v>
      </c>
      <c r="F2085" s="31" t="s">
        <v>31</v>
      </c>
      <c r="G2085" s="31">
        <v>137</v>
      </c>
      <c r="H2085" s="31">
        <v>10</v>
      </c>
      <c r="I2085" s="31">
        <v>40</v>
      </c>
      <c r="J2085" s="31" t="s">
        <v>8174</v>
      </c>
      <c r="K2085" s="31" t="s">
        <v>55</v>
      </c>
      <c r="L2085" s="31" t="s">
        <v>56</v>
      </c>
      <c r="M2085" s="31">
        <v>160</v>
      </c>
      <c r="N2085" s="31">
        <v>2019</v>
      </c>
      <c r="O2085" s="31">
        <v>68</v>
      </c>
      <c r="P2085" s="31"/>
      <c r="Q2085" s="31"/>
      <c r="R2085" s="33"/>
      <c r="S2085" s="34" t="str">
        <f>HYPERLINK("http://www.cnpol.ru/covers/18942.jpg","фото на сайте")</f>
        <v>фото на сайте</v>
      </c>
    </row>
    <row r="2086" spans="1:19" ht="50.1" customHeight="1">
      <c r="A2086" s="31"/>
      <c r="B2086" s="32" t="s">
        <v>8175</v>
      </c>
      <c r="C2086" s="31" t="s">
        <v>528</v>
      </c>
      <c r="D2086" s="31" t="s">
        <v>529</v>
      </c>
      <c r="E2086" s="31" t="s">
        <v>8176</v>
      </c>
      <c r="F2086" s="31" t="s">
        <v>31</v>
      </c>
      <c r="G2086" s="31">
        <v>137</v>
      </c>
      <c r="H2086" s="31">
        <v>10</v>
      </c>
      <c r="I2086" s="31">
        <v>30</v>
      </c>
      <c r="J2086" s="31" t="s">
        <v>8177</v>
      </c>
      <c r="K2086" s="31" t="s">
        <v>55</v>
      </c>
      <c r="L2086" s="31" t="s">
        <v>56</v>
      </c>
      <c r="M2086" s="31">
        <v>160</v>
      </c>
      <c r="N2086" s="31">
        <v>2018</v>
      </c>
      <c r="O2086" s="31">
        <v>68</v>
      </c>
      <c r="P2086" s="31"/>
      <c r="Q2086" s="31"/>
      <c r="R2086" s="33"/>
      <c r="S2086" s="34" t="str">
        <f>HYPERLINK("http://www.cnpol.ru/covers/18347.jpg","фото на сайте")</f>
        <v>фото на сайте</v>
      </c>
    </row>
    <row r="2087" spans="1:19" ht="50.1" customHeight="1">
      <c r="A2087" s="31"/>
      <c r="B2087" s="32" t="s">
        <v>8178</v>
      </c>
      <c r="C2087" s="31" t="s">
        <v>528</v>
      </c>
      <c r="D2087" s="31" t="s">
        <v>529</v>
      </c>
      <c r="E2087" s="31" t="s">
        <v>8179</v>
      </c>
      <c r="F2087" s="31" t="s">
        <v>31</v>
      </c>
      <c r="G2087" s="31">
        <v>137</v>
      </c>
      <c r="H2087" s="31">
        <v>10</v>
      </c>
      <c r="I2087" s="31">
        <v>20</v>
      </c>
      <c r="J2087" s="31" t="s">
        <v>8180</v>
      </c>
      <c r="K2087" s="31" t="s">
        <v>55</v>
      </c>
      <c r="L2087" s="31" t="s">
        <v>56</v>
      </c>
      <c r="M2087" s="31">
        <v>159</v>
      </c>
      <c r="N2087" s="31">
        <v>2022</v>
      </c>
      <c r="O2087" s="31">
        <v>68</v>
      </c>
      <c r="P2087" s="31"/>
      <c r="Q2087" s="31"/>
      <c r="R2087" s="33" t="s">
        <v>8181</v>
      </c>
      <c r="S2087" s="34" t="str">
        <f>HYPERLINK("http://www.cnpol.ru/covers/20343.jpg","фото на сайте")</f>
        <v>фото на сайте</v>
      </c>
    </row>
    <row r="2088" spans="1:19" ht="50.1" customHeight="1">
      <c r="A2088" s="31"/>
      <c r="B2088" s="32" t="s">
        <v>8182</v>
      </c>
      <c r="C2088" s="31" t="s">
        <v>528</v>
      </c>
      <c r="D2088" s="31" t="s">
        <v>529</v>
      </c>
      <c r="E2088" s="31" t="s">
        <v>8183</v>
      </c>
      <c r="F2088" s="31" t="s">
        <v>31</v>
      </c>
      <c r="G2088" s="31">
        <v>137</v>
      </c>
      <c r="H2088" s="31">
        <v>10</v>
      </c>
      <c r="I2088" s="31">
        <v>40</v>
      </c>
      <c r="J2088" s="31" t="s">
        <v>8184</v>
      </c>
      <c r="K2088" s="31" t="s">
        <v>55</v>
      </c>
      <c r="L2088" s="31" t="s">
        <v>56</v>
      </c>
      <c r="M2088" s="31">
        <v>158</v>
      </c>
      <c r="N2088" s="31">
        <v>2012</v>
      </c>
      <c r="O2088" s="31">
        <v>72</v>
      </c>
      <c r="P2088" s="31"/>
      <c r="Q2088" s="31"/>
      <c r="R2088" s="33"/>
      <c r="S2088" s="34" t="str">
        <f>HYPERLINK("http://www.cnpol.ru/covers/14024.jpg","фото на сайте")</f>
        <v>фото на сайте</v>
      </c>
    </row>
    <row r="2089" spans="1:19" ht="50.1" customHeight="1">
      <c r="A2089" s="31"/>
      <c r="B2089" s="32" t="s">
        <v>8185</v>
      </c>
      <c r="C2089" s="31" t="s">
        <v>528</v>
      </c>
      <c r="D2089" s="31" t="s">
        <v>529</v>
      </c>
      <c r="E2089" s="31" t="s">
        <v>8183</v>
      </c>
      <c r="F2089" s="31" t="s">
        <v>31</v>
      </c>
      <c r="G2089" s="31">
        <v>137</v>
      </c>
      <c r="H2089" s="31">
        <v>10</v>
      </c>
      <c r="I2089" s="31">
        <v>40</v>
      </c>
      <c r="J2089" s="31" t="s">
        <v>8184</v>
      </c>
      <c r="K2089" s="31" t="s">
        <v>55</v>
      </c>
      <c r="L2089" s="31" t="s">
        <v>56</v>
      </c>
      <c r="M2089" s="31">
        <v>158</v>
      </c>
      <c r="N2089" s="31">
        <v>2014</v>
      </c>
      <c r="O2089" s="31">
        <v>70</v>
      </c>
      <c r="P2089" s="31"/>
      <c r="Q2089" s="31"/>
      <c r="R2089" s="33"/>
      <c r="S2089" s="34" t="str">
        <f>HYPERLINK("http://www.cnpol.ru/covers/14803.jpg","фото на сайте")</f>
        <v>фото на сайте</v>
      </c>
    </row>
    <row r="2090" spans="1:19" ht="50.1" customHeight="1">
      <c r="A2090" s="31"/>
      <c r="B2090" s="32" t="s">
        <v>8186</v>
      </c>
      <c r="C2090" s="31" t="s">
        <v>528</v>
      </c>
      <c r="D2090" s="31" t="s">
        <v>529</v>
      </c>
      <c r="E2090" s="31" t="s">
        <v>8183</v>
      </c>
      <c r="F2090" s="31" t="s">
        <v>31</v>
      </c>
      <c r="G2090" s="31">
        <v>137</v>
      </c>
      <c r="H2090" s="31">
        <v>10</v>
      </c>
      <c r="I2090" s="31">
        <v>40</v>
      </c>
      <c r="J2090" s="31" t="s">
        <v>8187</v>
      </c>
      <c r="K2090" s="31" t="s">
        <v>55</v>
      </c>
      <c r="L2090" s="31" t="s">
        <v>56</v>
      </c>
      <c r="M2090" s="31">
        <v>157</v>
      </c>
      <c r="N2090" s="31">
        <v>2014</v>
      </c>
      <c r="O2090" s="31">
        <v>68</v>
      </c>
      <c r="P2090" s="31"/>
      <c r="Q2090" s="31"/>
      <c r="R2090" s="33"/>
      <c r="S2090" s="34" t="str">
        <f>HYPERLINK("http://www.cnpol.ru/covers/15082.jpg","фото на сайте")</f>
        <v>фото на сайте</v>
      </c>
    </row>
    <row r="2091" spans="1:19" ht="50.1" customHeight="1">
      <c r="A2091" s="31"/>
      <c r="B2091" s="32" t="s">
        <v>8188</v>
      </c>
      <c r="C2091" s="31" t="s">
        <v>528</v>
      </c>
      <c r="D2091" s="31" t="s">
        <v>529</v>
      </c>
      <c r="E2091" s="31" t="s">
        <v>8189</v>
      </c>
      <c r="F2091" s="31" t="s">
        <v>31</v>
      </c>
      <c r="G2091" s="31">
        <v>137</v>
      </c>
      <c r="H2091" s="31">
        <v>10</v>
      </c>
      <c r="I2091" s="31">
        <v>44</v>
      </c>
      <c r="J2091" s="31" t="s">
        <v>8190</v>
      </c>
      <c r="K2091" s="31" t="s">
        <v>55</v>
      </c>
      <c r="L2091" s="31" t="s">
        <v>56</v>
      </c>
      <c r="M2091" s="31">
        <v>158</v>
      </c>
      <c r="N2091" s="31">
        <v>2012</v>
      </c>
      <c r="O2091" s="31">
        <v>76</v>
      </c>
      <c r="P2091" s="31"/>
      <c r="Q2091" s="31"/>
      <c r="R2091" s="33"/>
      <c r="S2091" s="34" t="str">
        <f>HYPERLINK("http://www.cnpol.ru/covers/13462.jpg","фото на сайте")</f>
        <v>фото на сайте</v>
      </c>
    </row>
    <row r="2092" spans="1:19" ht="50.1" customHeight="1">
      <c r="A2092" s="31"/>
      <c r="B2092" s="32" t="s">
        <v>8191</v>
      </c>
      <c r="C2092" s="31" t="s">
        <v>528</v>
      </c>
      <c r="D2092" s="31" t="s">
        <v>529</v>
      </c>
      <c r="E2092" s="31" t="s">
        <v>8192</v>
      </c>
      <c r="F2092" s="31" t="s">
        <v>31</v>
      </c>
      <c r="G2092" s="31">
        <v>137</v>
      </c>
      <c r="H2092" s="31">
        <v>10</v>
      </c>
      <c r="I2092" s="31">
        <v>40</v>
      </c>
      <c r="J2092" s="31" t="s">
        <v>8193</v>
      </c>
      <c r="K2092" s="31" t="s">
        <v>55</v>
      </c>
      <c r="L2092" s="31" t="s">
        <v>56</v>
      </c>
      <c r="M2092" s="31">
        <v>160</v>
      </c>
      <c r="N2092" s="31">
        <v>2016</v>
      </c>
      <c r="O2092" s="31">
        <v>68</v>
      </c>
      <c r="P2092" s="31"/>
      <c r="Q2092" s="31"/>
      <c r="R2092" s="33"/>
      <c r="S2092" s="34" t="str">
        <f>HYPERLINK("http://www.cnpol.ru/covers/16455.jpg","фото на сайте")</f>
        <v>фото на сайте</v>
      </c>
    </row>
    <row r="2093" spans="1:19" ht="50.1" customHeight="1">
      <c r="A2093" s="31"/>
      <c r="B2093" s="32" t="s">
        <v>8194</v>
      </c>
      <c r="C2093" s="31" t="s">
        <v>528</v>
      </c>
      <c r="D2093" s="31" t="s">
        <v>529</v>
      </c>
      <c r="E2093" s="31" t="s">
        <v>8195</v>
      </c>
      <c r="F2093" s="31" t="s">
        <v>31</v>
      </c>
      <c r="G2093" s="31">
        <v>137</v>
      </c>
      <c r="H2093" s="31">
        <v>10</v>
      </c>
      <c r="I2093" s="31">
        <v>24</v>
      </c>
      <c r="J2093" s="31" t="s">
        <v>8196</v>
      </c>
      <c r="K2093" s="31" t="s">
        <v>55</v>
      </c>
      <c r="L2093" s="31" t="s">
        <v>56</v>
      </c>
      <c r="M2093" s="31">
        <v>159</v>
      </c>
      <c r="N2093" s="31">
        <v>2021</v>
      </c>
      <c r="O2093" s="31">
        <v>70</v>
      </c>
      <c r="P2093" s="31"/>
      <c r="Q2093" s="31"/>
      <c r="R2093" s="33"/>
      <c r="S2093" s="34" t="str">
        <f>HYPERLINK("http://www.cnpol.ru/covers/19961.jpg","фото на сайте")</f>
        <v>фото на сайте</v>
      </c>
    </row>
    <row r="2094" spans="1:19" ht="50.1" customHeight="1">
      <c r="A2094" s="31"/>
      <c r="B2094" s="32" t="s">
        <v>8197</v>
      </c>
      <c r="C2094" s="31" t="s">
        <v>528</v>
      </c>
      <c r="D2094" s="31" t="s">
        <v>529</v>
      </c>
      <c r="E2094" s="31" t="s">
        <v>8198</v>
      </c>
      <c r="F2094" s="31" t="s">
        <v>31</v>
      </c>
      <c r="G2094" s="31">
        <v>137</v>
      </c>
      <c r="H2094" s="31">
        <v>10</v>
      </c>
      <c r="I2094" s="31">
        <v>40</v>
      </c>
      <c r="J2094" s="31" t="s">
        <v>8199</v>
      </c>
      <c r="K2094" s="31" t="s">
        <v>55</v>
      </c>
      <c r="L2094" s="31" t="s">
        <v>56</v>
      </c>
      <c r="M2094" s="31">
        <v>159</v>
      </c>
      <c r="N2094" s="31">
        <v>2016</v>
      </c>
      <c r="O2094" s="31">
        <v>72</v>
      </c>
      <c r="P2094" s="31"/>
      <c r="Q2094" s="31"/>
      <c r="R2094" s="33"/>
      <c r="S2094" s="34" t="str">
        <f>HYPERLINK("http://www.cnpol.ru/covers/16664.jpg","фото на сайте")</f>
        <v>фото на сайте</v>
      </c>
    </row>
    <row r="2095" spans="1:19" ht="50.1" customHeight="1">
      <c r="A2095" s="31" t="s">
        <v>35</v>
      </c>
      <c r="B2095" s="32" t="s">
        <v>8200</v>
      </c>
      <c r="C2095" s="31" t="s">
        <v>245</v>
      </c>
      <c r="D2095" s="31" t="s">
        <v>8201</v>
      </c>
      <c r="E2095" s="31" t="s">
        <v>8202</v>
      </c>
      <c r="F2095" s="31" t="s">
        <v>31</v>
      </c>
      <c r="G2095" s="31">
        <v>158</v>
      </c>
      <c r="H2095" s="31">
        <v>10</v>
      </c>
      <c r="I2095" s="31">
        <v>40</v>
      </c>
      <c r="J2095" s="31" t="s">
        <v>8203</v>
      </c>
      <c r="K2095" s="31" t="s">
        <v>130</v>
      </c>
      <c r="L2095" s="31" t="s">
        <v>56</v>
      </c>
      <c r="M2095" s="31">
        <v>127</v>
      </c>
      <c r="N2095" s="31">
        <v>2024</v>
      </c>
      <c r="O2095" s="31" t="s">
        <v>220</v>
      </c>
      <c r="P2095" s="31"/>
      <c r="Q2095" s="31"/>
      <c r="R2095" s="33" t="s">
        <v>8204</v>
      </c>
      <c r="S2095" s="34" t="str">
        <f>HYPERLINK("http://www.cnpol.ru/covers/21169.jpg","фото на сайте")</f>
        <v>фото на сайте</v>
      </c>
    </row>
    <row r="2096" spans="1:19" ht="50.1" customHeight="1">
      <c r="A2096" s="31"/>
      <c r="B2096" s="32" t="s">
        <v>8205</v>
      </c>
      <c r="C2096" s="31" t="s">
        <v>3229</v>
      </c>
      <c r="D2096" s="31" t="s">
        <v>8206</v>
      </c>
      <c r="E2096" s="31" t="s">
        <v>8207</v>
      </c>
      <c r="F2096" s="31" t="s">
        <v>31</v>
      </c>
      <c r="G2096" s="31">
        <v>693</v>
      </c>
      <c r="H2096" s="31">
        <v>10</v>
      </c>
      <c r="I2096" s="31">
        <v>18</v>
      </c>
      <c r="J2096" s="31" t="s">
        <v>8208</v>
      </c>
      <c r="K2096" s="31" t="s">
        <v>33</v>
      </c>
      <c r="L2096" s="31" t="s">
        <v>34</v>
      </c>
      <c r="M2096" s="31">
        <v>320</v>
      </c>
      <c r="N2096" s="31">
        <v>2018</v>
      </c>
      <c r="O2096" s="31">
        <v>346</v>
      </c>
      <c r="P2096" s="31"/>
      <c r="Q2096" s="31"/>
      <c r="R2096" s="33"/>
      <c r="S2096" s="34" t="str">
        <f>HYPERLINK("http://www.cnpol.ru/covers/18079.jpg","фото на сайте")</f>
        <v>фото на сайте</v>
      </c>
    </row>
    <row r="2097" spans="1:19" ht="50.1" customHeight="1">
      <c r="A2097" s="31"/>
      <c r="B2097" s="32" t="s">
        <v>8209</v>
      </c>
      <c r="C2097" s="31" t="s">
        <v>400</v>
      </c>
      <c r="D2097" s="31" t="s">
        <v>8210</v>
      </c>
      <c r="E2097" s="31" t="s">
        <v>8211</v>
      </c>
      <c r="F2097" s="31" t="s">
        <v>31</v>
      </c>
      <c r="G2097" s="31">
        <v>503</v>
      </c>
      <c r="H2097" s="31">
        <v>10</v>
      </c>
      <c r="I2097" s="31">
        <v>14</v>
      </c>
      <c r="J2097" s="31" t="s">
        <v>8212</v>
      </c>
      <c r="K2097" s="31" t="s">
        <v>33</v>
      </c>
      <c r="L2097" s="31" t="s">
        <v>34</v>
      </c>
      <c r="M2097" s="31">
        <v>320</v>
      </c>
      <c r="N2097" s="31">
        <v>2020</v>
      </c>
      <c r="O2097" s="31">
        <v>325</v>
      </c>
      <c r="P2097" s="31"/>
      <c r="Q2097" s="31"/>
      <c r="R2097" s="33"/>
      <c r="S2097" s="34" t="str">
        <f>HYPERLINK("http://www.cnpol.ru/covers/19079.jpg","фото на сайте")</f>
        <v>фото на сайте</v>
      </c>
    </row>
    <row r="2098" spans="1:19" ht="50.1" customHeight="1">
      <c r="A2098" s="31"/>
      <c r="B2098" s="32" t="s">
        <v>8213</v>
      </c>
      <c r="C2098" s="31" t="s">
        <v>4205</v>
      </c>
      <c r="D2098" s="31" t="s">
        <v>8214</v>
      </c>
      <c r="E2098" s="31" t="s">
        <v>8215</v>
      </c>
      <c r="F2098" s="31" t="s">
        <v>31</v>
      </c>
      <c r="G2098" s="31">
        <v>503</v>
      </c>
      <c r="H2098" s="31">
        <v>10</v>
      </c>
      <c r="I2098" s="31">
        <v>10</v>
      </c>
      <c r="J2098" s="31" t="s">
        <v>8216</v>
      </c>
      <c r="K2098" s="31" t="s">
        <v>33</v>
      </c>
      <c r="L2098" s="31" t="s">
        <v>34</v>
      </c>
      <c r="M2098" s="31">
        <v>415</v>
      </c>
      <c r="N2098" s="31">
        <v>2015</v>
      </c>
      <c r="O2098" s="31">
        <v>338</v>
      </c>
      <c r="P2098" s="31"/>
      <c r="Q2098" s="31"/>
      <c r="R2098" s="33"/>
      <c r="S2098" s="34" t="str">
        <f>HYPERLINK("http://www.cnpol.ru/covers/16316.jpg","фото на сайте")</f>
        <v>фото на сайте</v>
      </c>
    </row>
    <row r="2099" spans="1:19" ht="50.1" customHeight="1">
      <c r="A2099" s="31"/>
      <c r="B2099" s="32" t="s">
        <v>8217</v>
      </c>
      <c r="C2099" s="31" t="s">
        <v>385</v>
      </c>
      <c r="D2099" s="31" t="s">
        <v>386</v>
      </c>
      <c r="E2099" s="31" t="s">
        <v>8218</v>
      </c>
      <c r="F2099" s="31" t="s">
        <v>31</v>
      </c>
      <c r="G2099" s="31">
        <v>162</v>
      </c>
      <c r="H2099" s="31">
        <v>10</v>
      </c>
      <c r="I2099" s="31">
        <v>32</v>
      </c>
      <c r="J2099" s="31" t="s">
        <v>8219</v>
      </c>
      <c r="K2099" s="31" t="s">
        <v>55</v>
      </c>
      <c r="L2099" s="31" t="s">
        <v>56</v>
      </c>
      <c r="M2099" s="31">
        <v>256</v>
      </c>
      <c r="N2099" s="31">
        <v>2016</v>
      </c>
      <c r="O2099" s="31">
        <v>110</v>
      </c>
      <c r="P2099" s="31"/>
      <c r="Q2099" s="31"/>
      <c r="R2099" s="33"/>
      <c r="S2099" s="34" t="str">
        <f>HYPERLINK("http://www.cnpol.ru/covers/0149.jpg","фото на сайте")</f>
        <v>фото на сайте</v>
      </c>
    </row>
    <row r="2100" spans="1:19" ht="50.1" customHeight="1">
      <c r="A2100" s="31"/>
      <c r="B2100" s="32" t="s">
        <v>8220</v>
      </c>
      <c r="C2100" s="31" t="s">
        <v>464</v>
      </c>
      <c r="D2100" s="31" t="s">
        <v>2607</v>
      </c>
      <c r="E2100" s="31" t="s">
        <v>8221</v>
      </c>
      <c r="F2100" s="31" t="s">
        <v>31</v>
      </c>
      <c r="G2100" s="31">
        <v>155</v>
      </c>
      <c r="H2100" s="31">
        <v>10</v>
      </c>
      <c r="I2100" s="31">
        <v>56</v>
      </c>
      <c r="J2100" s="31" t="s">
        <v>8222</v>
      </c>
      <c r="K2100" s="31" t="s">
        <v>1725</v>
      </c>
      <c r="L2100" s="31" t="s">
        <v>1726</v>
      </c>
      <c r="M2100" s="31">
        <v>14</v>
      </c>
      <c r="N2100" s="31">
        <v>2007</v>
      </c>
      <c r="O2100" s="31">
        <v>120</v>
      </c>
      <c r="P2100" s="31"/>
      <c r="Q2100" s="31"/>
      <c r="R2100" s="33"/>
      <c r="S2100" s="34" t="str">
        <f>HYPERLINK("http://www.cnpol.ru/covers/6996.jpg","фото на сайте")</f>
        <v>фото на сайте</v>
      </c>
    </row>
    <row r="2101" spans="1:19" ht="50.1" customHeight="1">
      <c r="A2101" s="31"/>
      <c r="B2101" s="32" t="s">
        <v>8223</v>
      </c>
      <c r="C2101" s="31" t="s">
        <v>1623</v>
      </c>
      <c r="D2101" s="31" t="s">
        <v>8224</v>
      </c>
      <c r="E2101" s="31" t="s">
        <v>8225</v>
      </c>
      <c r="F2101" s="31" t="s">
        <v>31</v>
      </c>
      <c r="G2101" s="31">
        <v>169</v>
      </c>
      <c r="H2101" s="31">
        <v>10</v>
      </c>
      <c r="I2101" s="31">
        <v>10</v>
      </c>
      <c r="J2101" s="31" t="s">
        <v>8226</v>
      </c>
      <c r="K2101" s="31" t="s">
        <v>55</v>
      </c>
      <c r="L2101" s="31" t="s">
        <v>56</v>
      </c>
      <c r="M2101" s="31">
        <v>255</v>
      </c>
      <c r="N2101" s="31">
        <v>2023</v>
      </c>
      <c r="O2101" s="31">
        <v>110</v>
      </c>
      <c r="P2101" s="31"/>
      <c r="Q2101" s="31"/>
      <c r="R2101" s="33" t="s">
        <v>8227</v>
      </c>
      <c r="S2101" s="34" t="str">
        <f>HYPERLINK("http://www.cnpol.ru/covers/20792.jpg","фото на сайте")</f>
        <v>фото на сайте</v>
      </c>
    </row>
    <row r="2102" spans="1:19" ht="50.1" customHeight="1">
      <c r="A2102" s="31"/>
      <c r="B2102" s="32" t="s">
        <v>8228</v>
      </c>
      <c r="C2102" s="31" t="s">
        <v>464</v>
      </c>
      <c r="D2102" s="31" t="s">
        <v>8229</v>
      </c>
      <c r="E2102" s="31" t="s">
        <v>8230</v>
      </c>
      <c r="F2102" s="31" t="s">
        <v>31</v>
      </c>
      <c r="G2102" s="31">
        <v>137</v>
      </c>
      <c r="H2102" s="31">
        <v>10</v>
      </c>
      <c r="I2102" s="31">
        <v>50</v>
      </c>
      <c r="J2102" s="31" t="s">
        <v>8231</v>
      </c>
      <c r="K2102" s="31" t="s">
        <v>468</v>
      </c>
      <c r="L2102" s="31" t="s">
        <v>56</v>
      </c>
      <c r="M2102" s="31">
        <v>16</v>
      </c>
      <c r="N2102" s="31">
        <v>2008</v>
      </c>
      <c r="O2102" s="31">
        <v>86</v>
      </c>
      <c r="P2102" s="31"/>
      <c r="Q2102" s="31"/>
      <c r="R2102" s="33"/>
      <c r="S2102" s="34" t="str">
        <f>HYPERLINK("http://www.cnpol.ru/covers/7867.jpg","фото на сайте")</f>
        <v>фото на сайте</v>
      </c>
    </row>
    <row r="2103" spans="1:19" ht="50.1" customHeight="1">
      <c r="A2103" s="31"/>
      <c r="B2103" s="32" t="s">
        <v>8232</v>
      </c>
      <c r="C2103" s="31" t="s">
        <v>119</v>
      </c>
      <c r="D2103" s="31" t="s">
        <v>8233</v>
      </c>
      <c r="E2103" s="31" t="s">
        <v>8234</v>
      </c>
      <c r="F2103" s="31" t="s">
        <v>31</v>
      </c>
      <c r="G2103" s="31">
        <v>503</v>
      </c>
      <c r="H2103" s="31">
        <v>10</v>
      </c>
      <c r="I2103" s="31">
        <v>18</v>
      </c>
      <c r="J2103" s="31" t="s">
        <v>8235</v>
      </c>
      <c r="K2103" s="31" t="s">
        <v>194</v>
      </c>
      <c r="L2103" s="31" t="s">
        <v>34</v>
      </c>
      <c r="M2103" s="31">
        <v>223</v>
      </c>
      <c r="N2103" s="31">
        <v>2023</v>
      </c>
      <c r="O2103" s="31">
        <v>236</v>
      </c>
      <c r="P2103" s="31"/>
      <c r="Q2103" s="31"/>
      <c r="R2103" s="33" t="s">
        <v>8236</v>
      </c>
      <c r="S2103" s="34" t="str">
        <f>HYPERLINK("http://www.cnpol.ru/covers/20903.jpg","фото на сайте")</f>
        <v>фото на сайте</v>
      </c>
    </row>
    <row r="2104" spans="1:19" ht="50.1" customHeight="1">
      <c r="A2104" s="31" t="s">
        <v>35</v>
      </c>
      <c r="B2104" s="32" t="s">
        <v>8237</v>
      </c>
      <c r="C2104" s="31" t="s">
        <v>45</v>
      </c>
      <c r="D2104" s="31" t="s">
        <v>1212</v>
      </c>
      <c r="E2104" s="31" t="s">
        <v>8238</v>
      </c>
      <c r="F2104" s="31" t="s">
        <v>31</v>
      </c>
      <c r="G2104" s="35">
        <v>1168</v>
      </c>
      <c r="H2104" s="31">
        <v>10</v>
      </c>
      <c r="I2104" s="31">
        <v>5</v>
      </c>
      <c r="J2104" s="31" t="s">
        <v>8239</v>
      </c>
      <c r="K2104" s="31" t="s">
        <v>33</v>
      </c>
      <c r="L2104" s="31" t="s">
        <v>34</v>
      </c>
      <c r="M2104" s="31">
        <v>478</v>
      </c>
      <c r="N2104" s="31">
        <v>2025</v>
      </c>
      <c r="O2104" s="31" t="s">
        <v>220</v>
      </c>
      <c r="P2104" s="31"/>
      <c r="Q2104" s="31"/>
      <c r="R2104" s="33" t="s">
        <v>8240</v>
      </c>
      <c r="S2104" s="34" t="str">
        <f>HYPERLINK("http://www.cnpol.ru/covers/21812.jpg","фото на сайте")</f>
        <v>фото на сайте</v>
      </c>
    </row>
    <row r="2105" spans="1:19" ht="50.1" customHeight="1">
      <c r="A2105" s="31"/>
      <c r="B2105" s="32" t="s">
        <v>8241</v>
      </c>
      <c r="C2105" s="31" t="s">
        <v>2120</v>
      </c>
      <c r="D2105" s="31" t="s">
        <v>1449</v>
      </c>
      <c r="E2105" s="31" t="s">
        <v>8242</v>
      </c>
      <c r="F2105" s="31" t="s">
        <v>31</v>
      </c>
      <c r="G2105" s="31">
        <v>81</v>
      </c>
      <c r="H2105" s="31">
        <v>10</v>
      </c>
      <c r="I2105" s="31">
        <v>100</v>
      </c>
      <c r="J2105" s="31" t="s">
        <v>8243</v>
      </c>
      <c r="K2105" s="31" t="s">
        <v>123</v>
      </c>
      <c r="L2105" s="31" t="s">
        <v>56</v>
      </c>
      <c r="M2105" s="31">
        <v>63</v>
      </c>
      <c r="N2105" s="31">
        <v>2005</v>
      </c>
      <c r="O2105" s="31">
        <v>36</v>
      </c>
      <c r="P2105" s="31"/>
      <c r="Q2105" s="31"/>
      <c r="R2105" s="33"/>
      <c r="S2105" s="34" t="str">
        <f>HYPERLINK("http://www.cnpol.ru/covers/5771.jpg","фото на сайте")</f>
        <v>фото на сайте</v>
      </c>
    </row>
    <row r="2106" spans="1:19" ht="50.1" customHeight="1">
      <c r="A2106" s="31"/>
      <c r="B2106" s="32" t="s">
        <v>8244</v>
      </c>
      <c r="C2106" s="31" t="s">
        <v>37</v>
      </c>
      <c r="D2106" s="31" t="s">
        <v>8245</v>
      </c>
      <c r="E2106" s="31" t="s">
        <v>8246</v>
      </c>
      <c r="F2106" s="31" t="s">
        <v>31</v>
      </c>
      <c r="G2106" s="35">
        <v>1588</v>
      </c>
      <c r="H2106" s="31">
        <v>10</v>
      </c>
      <c r="I2106" s="31">
        <v>6</v>
      </c>
      <c r="J2106" s="31" t="s">
        <v>8247</v>
      </c>
      <c r="K2106" s="31" t="s">
        <v>41</v>
      </c>
      <c r="L2106" s="31" t="s">
        <v>34</v>
      </c>
      <c r="M2106" s="31">
        <v>656</v>
      </c>
      <c r="N2106" s="31">
        <v>2023</v>
      </c>
      <c r="O2106" s="31">
        <v>758</v>
      </c>
      <c r="P2106" s="31"/>
      <c r="Q2106" s="31"/>
      <c r="R2106" s="33" t="s">
        <v>8248</v>
      </c>
      <c r="S2106" s="34" t="str">
        <f>HYPERLINK("http://www.cnpol.ru/covers/20796.jpg","фото на сайте")</f>
        <v>фото на сайте</v>
      </c>
    </row>
    <row r="2107" spans="1:19" ht="50.1" customHeight="1">
      <c r="A2107" s="31"/>
      <c r="B2107" s="32" t="s">
        <v>8249</v>
      </c>
      <c r="C2107" s="31" t="s">
        <v>380</v>
      </c>
      <c r="D2107" s="31" t="s">
        <v>8250</v>
      </c>
      <c r="E2107" s="31" t="s">
        <v>8251</v>
      </c>
      <c r="F2107" s="31" t="s">
        <v>31</v>
      </c>
      <c r="G2107" s="35">
        <v>1284</v>
      </c>
      <c r="H2107" s="31">
        <v>10</v>
      </c>
      <c r="I2107" s="31">
        <v>8</v>
      </c>
      <c r="J2107" s="31" t="s">
        <v>8252</v>
      </c>
      <c r="K2107" s="31" t="s">
        <v>41</v>
      </c>
      <c r="L2107" s="31" t="s">
        <v>304</v>
      </c>
      <c r="M2107" s="31">
        <v>576</v>
      </c>
      <c r="N2107" s="31">
        <v>2023</v>
      </c>
      <c r="O2107" s="31">
        <v>624</v>
      </c>
      <c r="P2107" s="31"/>
      <c r="Q2107" s="31"/>
      <c r="R2107" s="33" t="s">
        <v>8253</v>
      </c>
      <c r="S2107" s="34" t="str">
        <f>HYPERLINK("http://www.cnpol.ru/covers/20617.jpg","фото на сайте")</f>
        <v>фото на сайте</v>
      </c>
    </row>
    <row r="2108" spans="1:19" ht="50.1" customHeight="1">
      <c r="A2108" s="31"/>
      <c r="B2108" s="32" t="s">
        <v>8254</v>
      </c>
      <c r="C2108" s="31" t="s">
        <v>8066</v>
      </c>
      <c r="D2108" s="31" t="s">
        <v>8255</v>
      </c>
      <c r="E2108" s="31" t="s">
        <v>8256</v>
      </c>
      <c r="F2108" s="31" t="s">
        <v>31</v>
      </c>
      <c r="G2108" s="31">
        <v>503</v>
      </c>
      <c r="H2108" s="31">
        <v>10</v>
      </c>
      <c r="I2108" s="31">
        <v>16</v>
      </c>
      <c r="J2108" s="31" t="s">
        <v>8257</v>
      </c>
      <c r="K2108" s="31" t="s">
        <v>194</v>
      </c>
      <c r="L2108" s="31" t="s">
        <v>34</v>
      </c>
      <c r="M2108" s="31">
        <v>224</v>
      </c>
      <c r="N2108" s="31">
        <v>2018</v>
      </c>
      <c r="O2108" s="31">
        <v>224</v>
      </c>
      <c r="P2108" s="31"/>
      <c r="Q2108" s="31"/>
      <c r="R2108" s="33"/>
      <c r="S2108" s="34" t="str">
        <f>HYPERLINK("http://www.cnpol.ru/covers/18050.jpg","фото на сайте")</f>
        <v>фото на сайте</v>
      </c>
    </row>
    <row r="2109" spans="1:19" ht="50.1" customHeight="1">
      <c r="A2109" s="31"/>
      <c r="B2109" s="32" t="s">
        <v>8258</v>
      </c>
      <c r="C2109" s="31" t="s">
        <v>546</v>
      </c>
      <c r="D2109" s="31" t="s">
        <v>1842</v>
      </c>
      <c r="E2109" s="31" t="s">
        <v>8259</v>
      </c>
      <c r="F2109" s="31">
        <v>163</v>
      </c>
      <c r="G2109" s="31">
        <v>93</v>
      </c>
      <c r="H2109" s="31">
        <v>10</v>
      </c>
      <c r="I2109" s="31">
        <v>30</v>
      </c>
      <c r="J2109" s="31" t="s">
        <v>8260</v>
      </c>
      <c r="K2109" s="31" t="s">
        <v>123</v>
      </c>
      <c r="L2109" s="31" t="s">
        <v>56</v>
      </c>
      <c r="M2109" s="31">
        <v>160</v>
      </c>
      <c r="N2109" s="31">
        <v>2016</v>
      </c>
      <c r="O2109" s="31">
        <v>76</v>
      </c>
      <c r="P2109" s="31"/>
      <c r="Q2109" s="31"/>
      <c r="R2109" s="33"/>
      <c r="S2109" s="34" t="str">
        <f>HYPERLINK("http://www.cnpol.ru/covers/16653.jpg","фото на сайте")</f>
        <v>фото на сайте</v>
      </c>
    </row>
    <row r="2110" spans="1:19" ht="50.1" customHeight="1">
      <c r="A2110" s="31"/>
      <c r="B2110" s="32" t="s">
        <v>8261</v>
      </c>
      <c r="C2110" s="31" t="s">
        <v>390</v>
      </c>
      <c r="D2110" s="31" t="s">
        <v>3095</v>
      </c>
      <c r="E2110" s="31" t="s">
        <v>8262</v>
      </c>
      <c r="F2110" s="31">
        <v>1135</v>
      </c>
      <c r="G2110" s="31">
        <v>86</v>
      </c>
      <c r="H2110" s="31">
        <v>10</v>
      </c>
      <c r="I2110" s="31">
        <v>30</v>
      </c>
      <c r="J2110" s="31" t="s">
        <v>8263</v>
      </c>
      <c r="K2110" s="31" t="s">
        <v>123</v>
      </c>
      <c r="L2110" s="31" t="s">
        <v>56</v>
      </c>
      <c r="M2110" s="31">
        <v>159</v>
      </c>
      <c r="N2110" s="31">
        <v>2023</v>
      </c>
      <c r="O2110" s="31">
        <v>76</v>
      </c>
      <c r="P2110" s="31"/>
      <c r="Q2110" s="31"/>
      <c r="R2110" s="33" t="s">
        <v>8264</v>
      </c>
      <c r="S2110" s="34" t="str">
        <f>HYPERLINK("http://www.cnpol.ru/covers/20605.jpg","фото на сайте")</f>
        <v>фото на сайте</v>
      </c>
    </row>
    <row r="2111" spans="1:19" ht="50.1" customHeight="1">
      <c r="A2111" s="31"/>
      <c r="B2111" s="32" t="s">
        <v>8265</v>
      </c>
      <c r="C2111" s="31" t="s">
        <v>6981</v>
      </c>
      <c r="D2111" s="31" t="s">
        <v>2111</v>
      </c>
      <c r="E2111" s="31" t="s">
        <v>8266</v>
      </c>
      <c r="F2111" s="31" t="s">
        <v>31</v>
      </c>
      <c r="G2111" s="31">
        <v>367</v>
      </c>
      <c r="H2111" s="31">
        <v>10</v>
      </c>
      <c r="I2111" s="31">
        <v>12</v>
      </c>
      <c r="J2111" s="31" t="s">
        <v>8267</v>
      </c>
      <c r="K2111" s="31" t="s">
        <v>33</v>
      </c>
      <c r="L2111" s="31" t="s">
        <v>210</v>
      </c>
      <c r="M2111" s="31">
        <v>384</v>
      </c>
      <c r="N2111" s="31">
        <v>2018</v>
      </c>
      <c r="O2111" s="31">
        <v>222</v>
      </c>
      <c r="P2111" s="31"/>
      <c r="Q2111" s="31"/>
      <c r="R2111" s="33"/>
      <c r="S2111" s="34" t="str">
        <f>HYPERLINK("http://www.cnpol.ru/covers/17939.jpg","фото на сайте")</f>
        <v>фото на сайте</v>
      </c>
    </row>
    <row r="2112" spans="1:19" ht="50.1" customHeight="1">
      <c r="A2112" s="31"/>
      <c r="B2112" s="32" t="s">
        <v>8268</v>
      </c>
      <c r="C2112" s="31" t="s">
        <v>520</v>
      </c>
      <c r="D2112" s="31" t="s">
        <v>3091</v>
      </c>
      <c r="E2112" s="31" t="s">
        <v>8269</v>
      </c>
      <c r="F2112" s="31">
        <v>58</v>
      </c>
      <c r="G2112" s="31">
        <v>117</v>
      </c>
      <c r="H2112" s="31">
        <v>10</v>
      </c>
      <c r="I2112" s="31">
        <v>30</v>
      </c>
      <c r="J2112" s="31" t="s">
        <v>8270</v>
      </c>
      <c r="K2112" s="31" t="s">
        <v>123</v>
      </c>
      <c r="L2112" s="31" t="s">
        <v>56</v>
      </c>
      <c r="M2112" s="31">
        <v>192</v>
      </c>
      <c r="N2112" s="31">
        <v>2018</v>
      </c>
      <c r="O2112" s="31">
        <v>92</v>
      </c>
      <c r="P2112" s="31"/>
      <c r="Q2112" s="31"/>
      <c r="R2112" s="33"/>
      <c r="S2112" s="34" t="str">
        <f>HYPERLINK("http://www.cnpol.ru/covers/18240.jpg","фото на сайте")</f>
        <v>фото на сайте</v>
      </c>
    </row>
    <row r="2113" spans="1:19" ht="50.1" customHeight="1">
      <c r="A2113" s="31"/>
      <c r="B2113" s="32" t="s">
        <v>8271</v>
      </c>
      <c r="C2113" s="31" t="s">
        <v>546</v>
      </c>
      <c r="D2113" s="31" t="s">
        <v>3180</v>
      </c>
      <c r="E2113" s="31" t="s">
        <v>8272</v>
      </c>
      <c r="F2113" s="31">
        <v>389</v>
      </c>
      <c r="G2113" s="31">
        <v>93</v>
      </c>
      <c r="H2113" s="31">
        <v>10</v>
      </c>
      <c r="I2113" s="31">
        <v>30</v>
      </c>
      <c r="J2113" s="31" t="s">
        <v>8273</v>
      </c>
      <c r="K2113" s="31" t="s">
        <v>123</v>
      </c>
      <c r="L2113" s="31" t="s">
        <v>56</v>
      </c>
      <c r="M2113" s="31">
        <v>159</v>
      </c>
      <c r="N2113" s="31">
        <v>2021</v>
      </c>
      <c r="O2113" s="31">
        <v>76</v>
      </c>
      <c r="P2113" s="31"/>
      <c r="Q2113" s="31"/>
      <c r="R2113" s="33"/>
      <c r="S2113" s="34" t="str">
        <f>HYPERLINK("http://www.cnpol.ru/covers/19906.jpg","фото на сайте")</f>
        <v>фото на сайте</v>
      </c>
    </row>
    <row r="2114" spans="1:19" ht="50.1" customHeight="1">
      <c r="A2114" s="31"/>
      <c r="B2114" s="32" t="s">
        <v>8274</v>
      </c>
      <c r="C2114" s="31" t="s">
        <v>413</v>
      </c>
      <c r="D2114" s="31" t="s">
        <v>1656</v>
      </c>
      <c r="E2114" s="31" t="s">
        <v>8275</v>
      </c>
      <c r="F2114" s="31">
        <v>120</v>
      </c>
      <c r="G2114" s="31">
        <v>117</v>
      </c>
      <c r="H2114" s="31">
        <v>10</v>
      </c>
      <c r="I2114" s="31">
        <v>36</v>
      </c>
      <c r="J2114" s="31" t="s">
        <v>8276</v>
      </c>
      <c r="K2114" s="31" t="s">
        <v>123</v>
      </c>
      <c r="L2114" s="31" t="s">
        <v>56</v>
      </c>
      <c r="M2114" s="31">
        <v>190</v>
      </c>
      <c r="N2114" s="31">
        <v>2016</v>
      </c>
      <c r="O2114" s="31">
        <v>90</v>
      </c>
      <c r="P2114" s="31"/>
      <c r="Q2114" s="31"/>
      <c r="R2114" s="33"/>
      <c r="S2114" s="34" t="str">
        <f>HYPERLINK("http://www.cnpol.ru/covers/16989.jpg","фото на сайте")</f>
        <v>фото на сайте</v>
      </c>
    </row>
    <row r="2115" spans="1:19" ht="50.1" customHeight="1">
      <c r="A2115" s="31"/>
      <c r="B2115" s="32" t="s">
        <v>8277</v>
      </c>
      <c r="C2115" s="31" t="s">
        <v>390</v>
      </c>
      <c r="D2115" s="31" t="s">
        <v>3610</v>
      </c>
      <c r="E2115" s="31" t="s">
        <v>8278</v>
      </c>
      <c r="F2115" s="31">
        <v>799</v>
      </c>
      <c r="G2115" s="31">
        <v>86</v>
      </c>
      <c r="H2115" s="31">
        <v>10</v>
      </c>
      <c r="I2115" s="31">
        <v>30</v>
      </c>
      <c r="J2115" s="31" t="s">
        <v>8279</v>
      </c>
      <c r="K2115" s="31" t="s">
        <v>123</v>
      </c>
      <c r="L2115" s="31" t="s">
        <v>56</v>
      </c>
      <c r="M2115" s="31">
        <v>160</v>
      </c>
      <c r="N2115" s="31">
        <v>2018</v>
      </c>
      <c r="O2115" s="31">
        <v>76</v>
      </c>
      <c r="P2115" s="31"/>
      <c r="Q2115" s="31"/>
      <c r="R2115" s="33"/>
      <c r="S2115" s="34" t="str">
        <f>HYPERLINK("http://www.cnpol.ru/covers/18039.jpg","фото на сайте")</f>
        <v>фото на сайте</v>
      </c>
    </row>
    <row r="2116" spans="1:19" ht="50.1" customHeight="1">
      <c r="A2116" s="31" t="s">
        <v>35</v>
      </c>
      <c r="B2116" s="32" t="s">
        <v>8280</v>
      </c>
      <c r="C2116" s="31" t="s">
        <v>1301</v>
      </c>
      <c r="D2116" s="31" t="s">
        <v>8281</v>
      </c>
      <c r="E2116" s="31" t="s">
        <v>8282</v>
      </c>
      <c r="F2116" s="31" t="s">
        <v>31</v>
      </c>
      <c r="G2116" s="35">
        <v>1418</v>
      </c>
      <c r="H2116" s="31">
        <v>10</v>
      </c>
      <c r="I2116" s="31">
        <v>5</v>
      </c>
      <c r="J2116" s="31" t="s">
        <v>8283</v>
      </c>
      <c r="K2116" s="31" t="s">
        <v>41</v>
      </c>
      <c r="L2116" s="31" t="s">
        <v>34</v>
      </c>
      <c r="M2116" s="31">
        <v>527</v>
      </c>
      <c r="N2116" s="31">
        <v>2025</v>
      </c>
      <c r="O2116" s="31" t="s">
        <v>220</v>
      </c>
      <c r="P2116" s="31"/>
      <c r="Q2116" s="31"/>
      <c r="R2116" s="33" t="s">
        <v>8284</v>
      </c>
      <c r="S2116" s="34" t="str">
        <f>HYPERLINK("http://www.cnpol.ru/covers/21852.jpg","фото на сайте")</f>
        <v>фото на сайте</v>
      </c>
    </row>
    <row r="2117" spans="1:19" ht="50.1" customHeight="1">
      <c r="A2117" s="31"/>
      <c r="B2117" s="32" t="s">
        <v>8285</v>
      </c>
      <c r="C2117" s="31" t="s">
        <v>520</v>
      </c>
      <c r="D2117" s="31" t="s">
        <v>8286</v>
      </c>
      <c r="E2117" s="31" t="s">
        <v>8287</v>
      </c>
      <c r="F2117" s="31">
        <v>52</v>
      </c>
      <c r="G2117" s="31">
        <v>117</v>
      </c>
      <c r="H2117" s="31">
        <v>10</v>
      </c>
      <c r="I2117" s="31">
        <v>30</v>
      </c>
      <c r="J2117" s="31" t="s">
        <v>8288</v>
      </c>
      <c r="K2117" s="31" t="s">
        <v>123</v>
      </c>
      <c r="L2117" s="31" t="s">
        <v>56</v>
      </c>
      <c r="M2117" s="31">
        <v>192</v>
      </c>
      <c r="N2117" s="31">
        <v>2017</v>
      </c>
      <c r="O2117" s="31">
        <v>90</v>
      </c>
      <c r="P2117" s="31"/>
      <c r="Q2117" s="31"/>
      <c r="R2117" s="33"/>
      <c r="S2117" s="34" t="str">
        <f>HYPERLINK("http://www.cnpol.ru/covers/17846.jpg","фото на сайте")</f>
        <v>фото на сайте</v>
      </c>
    </row>
    <row r="2118" spans="1:19" ht="50.1" customHeight="1">
      <c r="A2118" s="31"/>
      <c r="B2118" s="32" t="s">
        <v>8289</v>
      </c>
      <c r="C2118" s="31" t="s">
        <v>546</v>
      </c>
      <c r="D2118" s="31" t="s">
        <v>8290</v>
      </c>
      <c r="E2118" s="31" t="s">
        <v>8291</v>
      </c>
      <c r="F2118" s="31">
        <v>142</v>
      </c>
      <c r="G2118" s="31">
        <v>93</v>
      </c>
      <c r="H2118" s="31">
        <v>10</v>
      </c>
      <c r="I2118" s="31">
        <v>30</v>
      </c>
      <c r="J2118" s="31" t="s">
        <v>8292</v>
      </c>
      <c r="K2118" s="31" t="s">
        <v>123</v>
      </c>
      <c r="L2118" s="31" t="s">
        <v>56</v>
      </c>
      <c r="M2118" s="31">
        <v>158</v>
      </c>
      <c r="N2118" s="31">
        <v>2015</v>
      </c>
      <c r="O2118" s="31">
        <v>76</v>
      </c>
      <c r="P2118" s="31"/>
      <c r="Q2118" s="31"/>
      <c r="R2118" s="33"/>
      <c r="S2118" s="34" t="str">
        <f>HYPERLINK("http://www.cnpol.ru/covers/16342.jpg","фото на сайте")</f>
        <v>фото на сайте</v>
      </c>
    </row>
    <row r="2119" spans="1:19" ht="50.1" customHeight="1">
      <c r="A2119" s="31" t="s">
        <v>43</v>
      </c>
      <c r="B2119" s="32" t="s">
        <v>8293</v>
      </c>
      <c r="C2119" s="31" t="s">
        <v>1064</v>
      </c>
      <c r="D2119" s="31" t="s">
        <v>1065</v>
      </c>
      <c r="E2119" s="31" t="s">
        <v>8294</v>
      </c>
      <c r="F2119" s="31" t="s">
        <v>31</v>
      </c>
      <c r="G2119" s="35">
        <v>1077</v>
      </c>
      <c r="H2119" s="31">
        <v>10</v>
      </c>
      <c r="I2119" s="31">
        <v>5</v>
      </c>
      <c r="J2119" s="31" t="s">
        <v>8295</v>
      </c>
      <c r="K2119" s="31" t="s">
        <v>33</v>
      </c>
      <c r="L2119" s="31" t="s">
        <v>34</v>
      </c>
      <c r="M2119" s="31">
        <v>469</v>
      </c>
      <c r="N2119" s="31">
        <v>2025</v>
      </c>
      <c r="O2119" s="31">
        <v>366</v>
      </c>
      <c r="P2119" s="31"/>
      <c r="Q2119" s="31"/>
      <c r="R2119" s="33" t="s">
        <v>8296</v>
      </c>
      <c r="S2119" s="34" t="str">
        <f>HYPERLINK("http://www.cnpol.ru/covers/21600.jpg","фото на сайте")</f>
        <v>фото на сайте</v>
      </c>
    </row>
    <row r="2120" spans="1:19" ht="50.1" customHeight="1">
      <c r="A2120" s="31"/>
      <c r="B2120" s="32" t="s">
        <v>8297</v>
      </c>
      <c r="C2120" s="31" t="s">
        <v>953</v>
      </c>
      <c r="D2120" s="31" t="s">
        <v>8298</v>
      </c>
      <c r="E2120" s="31" t="s">
        <v>8299</v>
      </c>
      <c r="F2120" s="31" t="s">
        <v>31</v>
      </c>
      <c r="G2120" s="31">
        <v>154</v>
      </c>
      <c r="H2120" s="31">
        <v>10</v>
      </c>
      <c r="I2120" s="31">
        <v>24</v>
      </c>
      <c r="J2120" s="31" t="s">
        <v>8300</v>
      </c>
      <c r="K2120" s="31" t="s">
        <v>55</v>
      </c>
      <c r="L2120" s="31" t="s">
        <v>56</v>
      </c>
      <c r="M2120" s="31">
        <v>366</v>
      </c>
      <c r="N2120" s="31">
        <v>2008</v>
      </c>
      <c r="O2120" s="31">
        <v>158</v>
      </c>
      <c r="P2120" s="31"/>
      <c r="Q2120" s="31"/>
      <c r="R2120" s="33"/>
      <c r="S2120" s="34" t="str">
        <f>HYPERLINK("http://www.cnpol.ru/covers/8651.jpg","фото на сайте")</f>
        <v>фото на сайте</v>
      </c>
    </row>
    <row r="2121" spans="1:19" ht="50.1" customHeight="1">
      <c r="A2121" s="31"/>
      <c r="B2121" s="32" t="s">
        <v>8301</v>
      </c>
      <c r="C2121" s="31" t="s">
        <v>1373</v>
      </c>
      <c r="D2121" s="31" t="s">
        <v>8302</v>
      </c>
      <c r="E2121" s="31" t="s">
        <v>8303</v>
      </c>
      <c r="F2121" s="31" t="s">
        <v>31</v>
      </c>
      <c r="G2121" s="31">
        <v>389</v>
      </c>
      <c r="H2121" s="31">
        <v>10</v>
      </c>
      <c r="I2121" s="31">
        <v>10</v>
      </c>
      <c r="J2121" s="31" t="s">
        <v>8304</v>
      </c>
      <c r="K2121" s="31" t="s">
        <v>1377</v>
      </c>
      <c r="L2121" s="31" t="s">
        <v>34</v>
      </c>
      <c r="M2121" s="31">
        <v>510</v>
      </c>
      <c r="N2121" s="31">
        <v>2001</v>
      </c>
      <c r="O2121" s="31">
        <v>424</v>
      </c>
      <c r="P2121" s="31"/>
      <c r="Q2121" s="31"/>
      <c r="R2121" s="33"/>
      <c r="S2121" s="34" t="str">
        <f>HYPERLINK("http://www.cnpol.ru/covers/2738.jpg","фото на сайте")</f>
        <v>фото на сайте</v>
      </c>
    </row>
    <row r="2122" spans="1:19" ht="50.1" customHeight="1">
      <c r="A2122" s="31" t="s">
        <v>43</v>
      </c>
      <c r="B2122" s="32" t="s">
        <v>8305</v>
      </c>
      <c r="C2122" s="31" t="s">
        <v>546</v>
      </c>
      <c r="D2122" s="31" t="s">
        <v>5824</v>
      </c>
      <c r="E2122" s="31" t="s">
        <v>8306</v>
      </c>
      <c r="F2122" s="31">
        <v>450</v>
      </c>
      <c r="G2122" s="31">
        <v>93</v>
      </c>
      <c r="H2122" s="31">
        <v>10</v>
      </c>
      <c r="I2122" s="31">
        <v>30</v>
      </c>
      <c r="J2122" s="31" t="s">
        <v>8307</v>
      </c>
      <c r="K2122" s="31" t="s">
        <v>123</v>
      </c>
      <c r="L2122" s="31" t="s">
        <v>56</v>
      </c>
      <c r="M2122" s="31">
        <v>159</v>
      </c>
      <c r="N2122" s="31">
        <v>2024</v>
      </c>
      <c r="O2122" s="31">
        <v>76</v>
      </c>
      <c r="P2122" s="31"/>
      <c r="Q2122" s="31"/>
      <c r="R2122" s="33" t="s">
        <v>8308</v>
      </c>
      <c r="S2122" s="34" t="str">
        <f>HYPERLINK("http://www.cnpol.ru/covers/21491.jpg","фото на сайте")</f>
        <v>фото на сайте</v>
      </c>
    </row>
    <row r="2123" spans="1:19" ht="50.1" customHeight="1">
      <c r="A2123" s="31"/>
      <c r="B2123" s="32" t="s">
        <v>8309</v>
      </c>
      <c r="C2123" s="31" t="s">
        <v>2228</v>
      </c>
      <c r="D2123" s="31" t="s">
        <v>213</v>
      </c>
      <c r="E2123" s="31" t="s">
        <v>8310</v>
      </c>
      <c r="F2123" s="31">
        <v>7</v>
      </c>
      <c r="G2123" s="31">
        <v>503</v>
      </c>
      <c r="H2123" s="31">
        <v>10</v>
      </c>
      <c r="I2123" s="31">
        <v>20</v>
      </c>
      <c r="J2123" s="31" t="s">
        <v>8311</v>
      </c>
      <c r="K2123" s="31" t="s">
        <v>2231</v>
      </c>
      <c r="L2123" s="31" t="s">
        <v>34</v>
      </c>
      <c r="M2123" s="31">
        <v>160</v>
      </c>
      <c r="N2123" s="31">
        <v>2020</v>
      </c>
      <c r="O2123" s="31">
        <v>324</v>
      </c>
      <c r="P2123" s="31"/>
      <c r="Q2123" s="31"/>
      <c r="R2123" s="33"/>
      <c r="S2123" s="34" t="str">
        <f>HYPERLINK("http://www.cnpol.ru/covers/19307.jpg","фото на сайте")</f>
        <v>фото на сайте</v>
      </c>
    </row>
    <row r="2124" spans="1:19" ht="50.1" customHeight="1">
      <c r="A2124" s="31"/>
      <c r="B2124" s="32" t="s">
        <v>8312</v>
      </c>
      <c r="C2124" s="31" t="s">
        <v>45</v>
      </c>
      <c r="D2124" s="31" t="s">
        <v>8313</v>
      </c>
      <c r="E2124" s="31" t="s">
        <v>8314</v>
      </c>
      <c r="F2124" s="31" t="s">
        <v>31</v>
      </c>
      <c r="G2124" s="35">
        <v>1015</v>
      </c>
      <c r="H2124" s="31">
        <v>10</v>
      </c>
      <c r="I2124" s="31">
        <v>10</v>
      </c>
      <c r="J2124" s="31" t="s">
        <v>8315</v>
      </c>
      <c r="K2124" s="31" t="s">
        <v>33</v>
      </c>
      <c r="L2124" s="31" t="s">
        <v>34</v>
      </c>
      <c r="M2124" s="31">
        <v>637</v>
      </c>
      <c r="N2124" s="31">
        <v>2015</v>
      </c>
      <c r="O2124" s="31">
        <v>616</v>
      </c>
      <c r="P2124" s="31"/>
      <c r="Q2124" s="31"/>
      <c r="R2124" s="33"/>
      <c r="S2124" s="34" t="str">
        <f>HYPERLINK("http://www.cnpol.ru/covers/15775.jpg","фото на сайте")</f>
        <v>фото на сайте</v>
      </c>
    </row>
    <row r="2125" spans="1:19" ht="50.1" customHeight="1">
      <c r="A2125" s="31"/>
      <c r="B2125" s="32" t="s">
        <v>8316</v>
      </c>
      <c r="C2125" s="31" t="s">
        <v>400</v>
      </c>
      <c r="D2125" s="31" t="s">
        <v>8317</v>
      </c>
      <c r="E2125" s="31" t="s">
        <v>8318</v>
      </c>
      <c r="F2125" s="31" t="s">
        <v>31</v>
      </c>
      <c r="G2125" s="31">
        <v>503</v>
      </c>
      <c r="H2125" s="31">
        <v>10</v>
      </c>
      <c r="I2125" s="31">
        <v>12</v>
      </c>
      <c r="J2125" s="31" t="s">
        <v>8319</v>
      </c>
      <c r="K2125" s="31" t="s">
        <v>33</v>
      </c>
      <c r="L2125" s="31" t="s">
        <v>34</v>
      </c>
      <c r="M2125" s="31">
        <v>383</v>
      </c>
      <c r="N2125" s="31">
        <v>2022</v>
      </c>
      <c r="O2125" s="31">
        <v>346</v>
      </c>
      <c r="P2125" s="31"/>
      <c r="Q2125" s="31"/>
      <c r="R2125" s="33"/>
      <c r="S2125" s="34" t="str">
        <f>HYPERLINK("http://www.cnpol.ru/covers/19980.jpg","фото на сайте")</f>
        <v>фото на сайте</v>
      </c>
    </row>
    <row r="2126" spans="1:19" ht="50.1" customHeight="1">
      <c r="A2126" s="31" t="s">
        <v>35</v>
      </c>
      <c r="B2126" s="32" t="s">
        <v>8320</v>
      </c>
      <c r="C2126" s="31" t="s">
        <v>37</v>
      </c>
      <c r="D2126" s="31" t="s">
        <v>8321</v>
      </c>
      <c r="E2126" s="31" t="s">
        <v>8322</v>
      </c>
      <c r="F2126" s="31" t="s">
        <v>31</v>
      </c>
      <c r="G2126" s="31">
        <v>985</v>
      </c>
      <c r="H2126" s="31">
        <v>10</v>
      </c>
      <c r="I2126" s="31">
        <v>6</v>
      </c>
      <c r="J2126" s="31" t="s">
        <v>8323</v>
      </c>
      <c r="K2126" s="31" t="s">
        <v>33</v>
      </c>
      <c r="L2126" s="31" t="s">
        <v>34</v>
      </c>
      <c r="M2126" s="31">
        <v>366</v>
      </c>
      <c r="N2126" s="31">
        <v>2025</v>
      </c>
      <c r="O2126" s="31">
        <v>411</v>
      </c>
      <c r="P2126" s="31"/>
      <c r="Q2126" s="31"/>
      <c r="R2126" s="33" t="s">
        <v>8324</v>
      </c>
      <c r="S2126" s="34" t="str">
        <f>HYPERLINK("http://www.cnpol.ru/covers/21748.jpg","фото на сайте")</f>
        <v>фото на сайте</v>
      </c>
    </row>
    <row r="2127" spans="1:19" ht="50.1" customHeight="1">
      <c r="A2127" s="31"/>
      <c r="B2127" s="32" t="s">
        <v>8325</v>
      </c>
      <c r="C2127" s="31" t="s">
        <v>8326</v>
      </c>
      <c r="D2127" s="31" t="s">
        <v>3298</v>
      </c>
      <c r="E2127" s="31" t="s">
        <v>8327</v>
      </c>
      <c r="F2127" s="31" t="s">
        <v>31</v>
      </c>
      <c r="G2127" s="31">
        <v>539</v>
      </c>
      <c r="H2127" s="31">
        <v>10</v>
      </c>
      <c r="I2127" s="31">
        <v>20</v>
      </c>
      <c r="J2127" s="31" t="s">
        <v>8328</v>
      </c>
      <c r="K2127" s="31" t="s">
        <v>33</v>
      </c>
      <c r="L2127" s="31" t="s">
        <v>34</v>
      </c>
      <c r="M2127" s="31">
        <v>255</v>
      </c>
      <c r="N2127" s="31">
        <v>2014</v>
      </c>
      <c r="O2127" s="31">
        <v>306</v>
      </c>
      <c r="P2127" s="31"/>
      <c r="Q2127" s="31"/>
      <c r="R2127" s="33"/>
      <c r="S2127" s="34" t="str">
        <f>HYPERLINK("http://www.cnpol.ru/covers/14912.jpg","фото на сайте")</f>
        <v>фото на сайте</v>
      </c>
    </row>
    <row r="2128" spans="1:19" ht="50.1" customHeight="1">
      <c r="A2128" s="31"/>
      <c r="B2128" s="32" t="s">
        <v>8329</v>
      </c>
      <c r="C2128" s="31" t="s">
        <v>8330</v>
      </c>
      <c r="D2128" s="31" t="s">
        <v>8331</v>
      </c>
      <c r="E2128" s="31" t="s">
        <v>8332</v>
      </c>
      <c r="F2128" s="31" t="s">
        <v>31</v>
      </c>
      <c r="G2128" s="31">
        <v>236</v>
      </c>
      <c r="H2128" s="31">
        <v>20</v>
      </c>
      <c r="I2128" s="31">
        <v>18</v>
      </c>
      <c r="J2128" s="31" t="s">
        <v>8333</v>
      </c>
      <c r="K2128" s="31" t="s">
        <v>33</v>
      </c>
      <c r="L2128" s="31" t="s">
        <v>34</v>
      </c>
      <c r="M2128" s="31">
        <v>173</v>
      </c>
      <c r="N2128" s="31">
        <v>2007</v>
      </c>
      <c r="O2128" s="31">
        <v>226</v>
      </c>
      <c r="P2128" s="31"/>
      <c r="Q2128" s="31"/>
      <c r="R2128" s="33"/>
      <c r="S2128" s="34" t="str">
        <f>HYPERLINK("http://www.cnpol.ru/covers/7291.jpg","фото на сайте")</f>
        <v>фото на сайте</v>
      </c>
    </row>
    <row r="2129" spans="1:19" ht="50.1" customHeight="1">
      <c r="A2129" s="31"/>
      <c r="B2129" s="32" t="s">
        <v>8334</v>
      </c>
      <c r="C2129" s="31" t="s">
        <v>808</v>
      </c>
      <c r="D2129" s="31" t="s">
        <v>8335</v>
      </c>
      <c r="E2129" s="31" t="s">
        <v>8336</v>
      </c>
      <c r="F2129" s="31" t="s">
        <v>31</v>
      </c>
      <c r="G2129" s="31">
        <v>272</v>
      </c>
      <c r="H2129" s="31">
        <v>20</v>
      </c>
      <c r="I2129" s="31">
        <v>14</v>
      </c>
      <c r="J2129" s="31" t="s">
        <v>8337</v>
      </c>
      <c r="K2129" s="31" t="s">
        <v>123</v>
      </c>
      <c r="L2129" s="31" t="s">
        <v>34</v>
      </c>
      <c r="M2129" s="31">
        <v>383</v>
      </c>
      <c r="N2129" s="31">
        <v>2004</v>
      </c>
      <c r="O2129" s="31">
        <v>224</v>
      </c>
      <c r="P2129" s="31"/>
      <c r="Q2129" s="31"/>
      <c r="R2129" s="33"/>
      <c r="S2129" s="34" t="str">
        <f>HYPERLINK("http://www.cnpol.ru/covers/4645.jpg","фото на сайте")</f>
        <v>фото на сайте</v>
      </c>
    </row>
    <row r="2130" spans="1:19" ht="50.1" customHeight="1">
      <c r="A2130" s="31"/>
      <c r="B2130" s="32" t="s">
        <v>8338</v>
      </c>
      <c r="C2130" s="31" t="s">
        <v>413</v>
      </c>
      <c r="D2130" s="31" t="s">
        <v>3798</v>
      </c>
      <c r="E2130" s="31" t="s">
        <v>8339</v>
      </c>
      <c r="F2130" s="31">
        <v>88</v>
      </c>
      <c r="G2130" s="31">
        <v>117</v>
      </c>
      <c r="H2130" s="31">
        <v>10</v>
      </c>
      <c r="I2130" s="31">
        <v>36</v>
      </c>
      <c r="J2130" s="31" t="s">
        <v>8340</v>
      </c>
      <c r="K2130" s="31" t="s">
        <v>123</v>
      </c>
      <c r="L2130" s="31" t="s">
        <v>56</v>
      </c>
      <c r="M2130" s="31">
        <v>192</v>
      </c>
      <c r="N2130" s="31">
        <v>2016</v>
      </c>
      <c r="O2130" s="31">
        <v>90</v>
      </c>
      <c r="P2130" s="31"/>
      <c r="Q2130" s="31"/>
      <c r="R2130" s="33"/>
      <c r="S2130" s="34" t="str">
        <f>HYPERLINK("http://www.cnpol.ru/covers/16499.jpg","фото на сайте")</f>
        <v>фото на сайте</v>
      </c>
    </row>
    <row r="2131" spans="1:19" ht="50.1" customHeight="1">
      <c r="A2131" s="31"/>
      <c r="B2131" s="32" t="s">
        <v>8341</v>
      </c>
      <c r="C2131" s="31" t="s">
        <v>119</v>
      </c>
      <c r="D2131" s="31" t="s">
        <v>4418</v>
      </c>
      <c r="E2131" s="31" t="s">
        <v>8342</v>
      </c>
      <c r="F2131" s="31" t="s">
        <v>31</v>
      </c>
      <c r="G2131" s="31">
        <v>503</v>
      </c>
      <c r="H2131" s="31">
        <v>10</v>
      </c>
      <c r="I2131" s="31">
        <v>20</v>
      </c>
      <c r="J2131" s="31" t="s">
        <v>8343</v>
      </c>
      <c r="K2131" s="31" t="s">
        <v>194</v>
      </c>
      <c r="L2131" s="31" t="s">
        <v>34</v>
      </c>
      <c r="M2131" s="31">
        <v>160</v>
      </c>
      <c r="N2131" s="31">
        <v>2018</v>
      </c>
      <c r="O2131" s="31">
        <v>186</v>
      </c>
      <c r="P2131" s="31"/>
      <c r="Q2131" s="31"/>
      <c r="R2131" s="33"/>
      <c r="S2131" s="34" t="str">
        <f>HYPERLINK("http://www.cnpol.ru/covers/18337.jpg","фото на сайте")</f>
        <v>фото на сайте</v>
      </c>
    </row>
    <row r="2132" spans="1:19" ht="50.1" customHeight="1">
      <c r="A2132" s="31"/>
      <c r="B2132" s="32" t="s">
        <v>8344</v>
      </c>
      <c r="C2132" s="31" t="s">
        <v>1516</v>
      </c>
      <c r="D2132" s="31" t="s">
        <v>2511</v>
      </c>
      <c r="E2132" s="31" t="s">
        <v>8345</v>
      </c>
      <c r="F2132" s="31">
        <v>41</v>
      </c>
      <c r="G2132" s="31">
        <v>106</v>
      </c>
      <c r="H2132" s="31">
        <v>10</v>
      </c>
      <c r="I2132" s="31">
        <v>30</v>
      </c>
      <c r="J2132" s="31" t="s">
        <v>8346</v>
      </c>
      <c r="K2132" s="31" t="s">
        <v>123</v>
      </c>
      <c r="L2132" s="31" t="s">
        <v>56</v>
      </c>
      <c r="M2132" s="31">
        <v>159</v>
      </c>
      <c r="N2132" s="31">
        <v>2022</v>
      </c>
      <c r="O2132" s="31">
        <v>76</v>
      </c>
      <c r="P2132" s="31"/>
      <c r="Q2132" s="31"/>
      <c r="R2132" s="33"/>
      <c r="S2132" s="34" t="str">
        <f>HYPERLINK("http://www.cnpol.ru/covers/20371.jpg","фото на сайте")</f>
        <v>фото на сайте</v>
      </c>
    </row>
    <row r="2133" spans="1:19" ht="50.1" customHeight="1">
      <c r="A2133" s="31"/>
      <c r="B2133" s="32" t="s">
        <v>8347</v>
      </c>
      <c r="C2133" s="31" t="s">
        <v>390</v>
      </c>
      <c r="D2133" s="31" t="s">
        <v>3095</v>
      </c>
      <c r="E2133" s="31" t="s">
        <v>8348</v>
      </c>
      <c r="F2133" s="31">
        <v>479</v>
      </c>
      <c r="G2133" s="31">
        <v>86</v>
      </c>
      <c r="H2133" s="31">
        <v>10</v>
      </c>
      <c r="I2133" s="31">
        <v>30</v>
      </c>
      <c r="J2133" s="31" t="s">
        <v>8349</v>
      </c>
      <c r="K2133" s="31" t="s">
        <v>123</v>
      </c>
      <c r="L2133" s="31" t="s">
        <v>56</v>
      </c>
      <c r="M2133" s="31">
        <v>158</v>
      </c>
      <c r="N2133" s="31">
        <v>2014</v>
      </c>
      <c r="O2133" s="31">
        <v>74</v>
      </c>
      <c r="P2133" s="31"/>
      <c r="Q2133" s="31"/>
      <c r="R2133" s="33"/>
      <c r="S2133" s="34" t="str">
        <f>HYPERLINK("http://www.cnpol.ru/covers/15695.jpg","фото на сайте")</f>
        <v>фото на сайте</v>
      </c>
    </row>
    <row r="2134" spans="1:19" ht="50.1" customHeight="1">
      <c r="A2134" s="31"/>
      <c r="B2134" s="32" t="s">
        <v>8350</v>
      </c>
      <c r="C2134" s="31" t="s">
        <v>546</v>
      </c>
      <c r="D2134" s="31" t="s">
        <v>3610</v>
      </c>
      <c r="E2134" s="31" t="s">
        <v>8351</v>
      </c>
      <c r="F2134" s="31">
        <v>359</v>
      </c>
      <c r="G2134" s="31">
        <v>93</v>
      </c>
      <c r="H2134" s="31">
        <v>10</v>
      </c>
      <c r="I2134" s="31">
        <v>30</v>
      </c>
      <c r="J2134" s="31" t="s">
        <v>8352</v>
      </c>
      <c r="K2134" s="31" t="s">
        <v>123</v>
      </c>
      <c r="L2134" s="31" t="s">
        <v>56</v>
      </c>
      <c r="M2134" s="31">
        <v>160</v>
      </c>
      <c r="N2134" s="31">
        <v>2020</v>
      </c>
      <c r="O2134" s="31">
        <v>76</v>
      </c>
      <c r="P2134" s="31"/>
      <c r="Q2134" s="31"/>
      <c r="R2134" s="33"/>
      <c r="S2134" s="34" t="str">
        <f>HYPERLINK("http://www.cnpol.ru/covers/19337.jpg","фото на сайте")</f>
        <v>фото на сайте</v>
      </c>
    </row>
    <row r="2135" spans="1:19" ht="50.1" customHeight="1">
      <c r="A2135" s="31"/>
      <c r="B2135" s="32" t="s">
        <v>8353</v>
      </c>
      <c r="C2135" s="31" t="s">
        <v>520</v>
      </c>
      <c r="D2135" s="31" t="s">
        <v>1690</v>
      </c>
      <c r="E2135" s="31" t="s">
        <v>8354</v>
      </c>
      <c r="F2135" s="31">
        <v>12</v>
      </c>
      <c r="G2135" s="31">
        <v>117</v>
      </c>
      <c r="H2135" s="31">
        <v>10</v>
      </c>
      <c r="I2135" s="31">
        <v>30</v>
      </c>
      <c r="J2135" s="31" t="s">
        <v>8355</v>
      </c>
      <c r="K2135" s="31" t="s">
        <v>123</v>
      </c>
      <c r="L2135" s="31" t="s">
        <v>56</v>
      </c>
      <c r="M2135" s="31">
        <v>192</v>
      </c>
      <c r="N2135" s="31">
        <v>2015</v>
      </c>
      <c r="O2135" s="31">
        <v>90</v>
      </c>
      <c r="P2135" s="31"/>
      <c r="Q2135" s="31"/>
      <c r="R2135" s="33"/>
      <c r="S2135" s="34" t="str">
        <f>HYPERLINK("http://www.cnpol.ru/covers/16287.jpg","фото на сайте")</f>
        <v>фото на сайте</v>
      </c>
    </row>
    <row r="2136" spans="1:19" ht="50.1" customHeight="1">
      <c r="A2136" s="31"/>
      <c r="B2136" s="32" t="s">
        <v>8356</v>
      </c>
      <c r="C2136" s="31" t="s">
        <v>385</v>
      </c>
      <c r="D2136" s="31" t="s">
        <v>386</v>
      </c>
      <c r="E2136" s="31" t="s">
        <v>8357</v>
      </c>
      <c r="F2136" s="31" t="s">
        <v>31</v>
      </c>
      <c r="G2136" s="31">
        <v>162</v>
      </c>
      <c r="H2136" s="31">
        <v>10</v>
      </c>
      <c r="I2136" s="31">
        <v>32</v>
      </c>
      <c r="J2136" s="31" t="s">
        <v>8358</v>
      </c>
      <c r="K2136" s="31" t="s">
        <v>55</v>
      </c>
      <c r="L2136" s="31" t="s">
        <v>56</v>
      </c>
      <c r="M2136" s="31">
        <v>256</v>
      </c>
      <c r="N2136" s="31">
        <v>2016</v>
      </c>
      <c r="O2136" s="31">
        <v>108</v>
      </c>
      <c r="P2136" s="31"/>
      <c r="Q2136" s="31"/>
      <c r="R2136" s="33"/>
      <c r="S2136" s="34" t="str">
        <f>HYPERLINK("http://www.cnpol.ru/covers/0142.jpg","фото на сайте")</f>
        <v>фото на сайте</v>
      </c>
    </row>
    <row r="2137" spans="1:19" ht="50.1" customHeight="1">
      <c r="A2137" s="31"/>
      <c r="B2137" s="32" t="s">
        <v>8359</v>
      </c>
      <c r="C2137" s="31" t="s">
        <v>390</v>
      </c>
      <c r="D2137" s="31" t="s">
        <v>1638</v>
      </c>
      <c r="E2137" s="31" t="s">
        <v>8360</v>
      </c>
      <c r="F2137" s="31">
        <v>1129</v>
      </c>
      <c r="G2137" s="31">
        <v>86</v>
      </c>
      <c r="H2137" s="31">
        <v>10</v>
      </c>
      <c r="I2137" s="31">
        <v>30</v>
      </c>
      <c r="J2137" s="31" t="s">
        <v>8361</v>
      </c>
      <c r="K2137" s="31" t="s">
        <v>123</v>
      </c>
      <c r="L2137" s="31" t="s">
        <v>56</v>
      </c>
      <c r="M2137" s="31">
        <v>159</v>
      </c>
      <c r="N2137" s="31">
        <v>2023</v>
      </c>
      <c r="O2137" s="31">
        <v>76</v>
      </c>
      <c r="P2137" s="31"/>
      <c r="Q2137" s="31"/>
      <c r="R2137" s="33" t="s">
        <v>8362</v>
      </c>
      <c r="S2137" s="34" t="str">
        <f>HYPERLINK("http://www.cnpol.ru/covers/20539.jpg","фото на сайте")</f>
        <v>фото на сайте</v>
      </c>
    </row>
    <row r="2138" spans="1:19" ht="50.1" customHeight="1">
      <c r="A2138" s="31"/>
      <c r="B2138" s="32" t="s">
        <v>8363</v>
      </c>
      <c r="C2138" s="31" t="s">
        <v>390</v>
      </c>
      <c r="D2138" s="31" t="s">
        <v>2137</v>
      </c>
      <c r="E2138" s="31" t="s">
        <v>8360</v>
      </c>
      <c r="F2138" s="31">
        <v>1042</v>
      </c>
      <c r="G2138" s="31">
        <v>86</v>
      </c>
      <c r="H2138" s="31">
        <v>10</v>
      </c>
      <c r="I2138" s="31">
        <v>30</v>
      </c>
      <c r="J2138" s="31" t="s">
        <v>8364</v>
      </c>
      <c r="K2138" s="31" t="s">
        <v>123</v>
      </c>
      <c r="L2138" s="31" t="s">
        <v>56</v>
      </c>
      <c r="M2138" s="31">
        <v>160</v>
      </c>
      <c r="N2138" s="31">
        <v>2021</v>
      </c>
      <c r="O2138" s="31">
        <v>76</v>
      </c>
      <c r="P2138" s="31"/>
      <c r="Q2138" s="31"/>
      <c r="R2138" s="33"/>
      <c r="S2138" s="34" t="str">
        <f>HYPERLINK("http://www.cnpol.ru/covers/19729.jpg","фото на сайте")</f>
        <v>фото на сайте</v>
      </c>
    </row>
    <row r="2139" spans="1:19" ht="50.1" customHeight="1">
      <c r="A2139" s="31"/>
      <c r="B2139" s="32" t="s">
        <v>8365</v>
      </c>
      <c r="C2139" s="31" t="s">
        <v>390</v>
      </c>
      <c r="D2139" s="31" t="s">
        <v>1599</v>
      </c>
      <c r="E2139" s="31" t="s">
        <v>8366</v>
      </c>
      <c r="F2139" s="31">
        <v>493</v>
      </c>
      <c r="G2139" s="31">
        <v>86</v>
      </c>
      <c r="H2139" s="31">
        <v>10</v>
      </c>
      <c r="I2139" s="31">
        <v>30</v>
      </c>
      <c r="J2139" s="31" t="s">
        <v>8367</v>
      </c>
      <c r="K2139" s="31" t="s">
        <v>123</v>
      </c>
      <c r="L2139" s="31" t="s">
        <v>56</v>
      </c>
      <c r="M2139" s="31">
        <v>158</v>
      </c>
      <c r="N2139" s="31">
        <v>2015</v>
      </c>
      <c r="O2139" s="31">
        <v>74</v>
      </c>
      <c r="P2139" s="31"/>
      <c r="Q2139" s="31"/>
      <c r="R2139" s="33"/>
      <c r="S2139" s="34" t="str">
        <f>HYPERLINK("http://www.cnpol.ru/covers/15827.jpg","фото на сайте")</f>
        <v>фото на сайте</v>
      </c>
    </row>
    <row r="2140" spans="1:19" ht="50.1" customHeight="1">
      <c r="A2140" s="31"/>
      <c r="B2140" s="32" t="s">
        <v>8368</v>
      </c>
      <c r="C2140" s="31" t="s">
        <v>390</v>
      </c>
      <c r="D2140" s="31" t="s">
        <v>4657</v>
      </c>
      <c r="E2140" s="31" t="s">
        <v>8369</v>
      </c>
      <c r="F2140" s="31">
        <v>994</v>
      </c>
      <c r="G2140" s="31">
        <v>86</v>
      </c>
      <c r="H2140" s="31">
        <v>10</v>
      </c>
      <c r="I2140" s="31">
        <v>30</v>
      </c>
      <c r="J2140" s="31" t="s">
        <v>8370</v>
      </c>
      <c r="K2140" s="31" t="s">
        <v>123</v>
      </c>
      <c r="L2140" s="31" t="s">
        <v>56</v>
      </c>
      <c r="M2140" s="31">
        <v>160</v>
      </c>
      <c r="N2140" s="31">
        <v>2020</v>
      </c>
      <c r="O2140" s="31">
        <v>76</v>
      </c>
      <c r="P2140" s="31"/>
      <c r="Q2140" s="31"/>
      <c r="R2140" s="33"/>
      <c r="S2140" s="34" t="str">
        <f>HYPERLINK("http://www.cnpol.ru/covers/19328.jpg","фото на сайте")</f>
        <v>фото на сайте</v>
      </c>
    </row>
    <row r="2141" spans="1:19" ht="50.1" customHeight="1">
      <c r="A2141" s="31"/>
      <c r="B2141" s="32" t="s">
        <v>8371</v>
      </c>
      <c r="C2141" s="31" t="s">
        <v>390</v>
      </c>
      <c r="D2141" s="31" t="s">
        <v>1115</v>
      </c>
      <c r="E2141" s="31" t="s">
        <v>8372</v>
      </c>
      <c r="F2141" s="31">
        <v>1061</v>
      </c>
      <c r="G2141" s="31">
        <v>86</v>
      </c>
      <c r="H2141" s="31">
        <v>10</v>
      </c>
      <c r="I2141" s="31">
        <v>30</v>
      </c>
      <c r="J2141" s="31" t="s">
        <v>8373</v>
      </c>
      <c r="K2141" s="31" t="s">
        <v>123</v>
      </c>
      <c r="L2141" s="31" t="s">
        <v>56</v>
      </c>
      <c r="M2141" s="31">
        <v>159</v>
      </c>
      <c r="N2141" s="31">
        <v>2021</v>
      </c>
      <c r="O2141" s="31">
        <v>76</v>
      </c>
      <c r="P2141" s="31"/>
      <c r="Q2141" s="31"/>
      <c r="R2141" s="33"/>
      <c r="S2141" s="34" t="str">
        <f>HYPERLINK("http://www.cnpol.ru/covers/19902.jpg","фото на сайте")</f>
        <v>фото на сайте</v>
      </c>
    </row>
    <row r="2142" spans="1:19" ht="50.1" customHeight="1">
      <c r="A2142" s="31"/>
      <c r="B2142" s="32" t="s">
        <v>8374</v>
      </c>
      <c r="C2142" s="31" t="s">
        <v>390</v>
      </c>
      <c r="D2142" s="31" t="s">
        <v>3214</v>
      </c>
      <c r="E2142" s="31" t="s">
        <v>8375</v>
      </c>
      <c r="F2142" s="31">
        <v>1159</v>
      </c>
      <c r="G2142" s="31">
        <v>86</v>
      </c>
      <c r="H2142" s="31">
        <v>10</v>
      </c>
      <c r="I2142" s="31">
        <v>30</v>
      </c>
      <c r="J2142" s="31" t="s">
        <v>8376</v>
      </c>
      <c r="K2142" s="31" t="s">
        <v>123</v>
      </c>
      <c r="L2142" s="31" t="s">
        <v>56</v>
      </c>
      <c r="M2142" s="31">
        <v>159</v>
      </c>
      <c r="N2142" s="31">
        <v>2023</v>
      </c>
      <c r="O2142" s="31">
        <v>76</v>
      </c>
      <c r="P2142" s="31"/>
      <c r="Q2142" s="31"/>
      <c r="R2142" s="33" t="s">
        <v>8377</v>
      </c>
      <c r="S2142" s="34" t="str">
        <f>HYPERLINK("http://www.cnpol.ru/covers/20926.jpg","фото на сайте")</f>
        <v>фото на сайте</v>
      </c>
    </row>
    <row r="2143" spans="1:19" ht="50.1" customHeight="1">
      <c r="A2143" s="31"/>
      <c r="B2143" s="32" t="s">
        <v>8378</v>
      </c>
      <c r="C2143" s="31" t="s">
        <v>132</v>
      </c>
      <c r="D2143" s="31" t="s">
        <v>2102</v>
      </c>
      <c r="E2143" s="31" t="s">
        <v>8379</v>
      </c>
      <c r="F2143" s="31" t="s">
        <v>31</v>
      </c>
      <c r="G2143" s="31">
        <v>335</v>
      </c>
      <c r="H2143" s="31">
        <v>10</v>
      </c>
      <c r="I2143" s="31">
        <v>20</v>
      </c>
      <c r="J2143" s="31" t="s">
        <v>8380</v>
      </c>
      <c r="K2143" s="31" t="s">
        <v>194</v>
      </c>
      <c r="L2143" s="31" t="s">
        <v>34</v>
      </c>
      <c r="M2143" s="31">
        <v>48</v>
      </c>
      <c r="N2143" s="31">
        <v>2008</v>
      </c>
      <c r="O2143" s="31">
        <v>162</v>
      </c>
      <c r="P2143" s="31"/>
      <c r="Q2143" s="31"/>
      <c r="R2143" s="33"/>
      <c r="S2143" s="34" t="str">
        <f>HYPERLINK("http://www.cnpol.ru/covers/7631.jpg","фото на сайте")</f>
        <v>фото на сайте</v>
      </c>
    </row>
    <row r="2144" spans="1:19" ht="50.1" customHeight="1">
      <c r="A2144" s="31"/>
      <c r="B2144" s="32" t="s">
        <v>8381</v>
      </c>
      <c r="C2144" s="31" t="s">
        <v>1003</v>
      </c>
      <c r="D2144" s="31" t="s">
        <v>1004</v>
      </c>
      <c r="E2144" s="31" t="s">
        <v>8382</v>
      </c>
      <c r="F2144" s="31" t="s">
        <v>31</v>
      </c>
      <c r="G2144" s="31">
        <v>122</v>
      </c>
      <c r="H2144" s="31">
        <v>10</v>
      </c>
      <c r="I2144" s="31">
        <v>20</v>
      </c>
      <c r="J2144" s="31" t="s">
        <v>8383</v>
      </c>
      <c r="K2144" s="31" t="s">
        <v>123</v>
      </c>
      <c r="L2144" s="31" t="s">
        <v>56</v>
      </c>
      <c r="M2144" s="31">
        <v>128</v>
      </c>
      <c r="N2144" s="31">
        <v>2017</v>
      </c>
      <c r="O2144" s="31">
        <v>60</v>
      </c>
      <c r="P2144" s="31"/>
      <c r="Q2144" s="31"/>
      <c r="R2144" s="33"/>
      <c r="S2144" s="34" t="str">
        <f>HYPERLINK("http://www.cnpol.ru/covers/17591.jpg","фото на сайте")</f>
        <v>фото на сайте</v>
      </c>
    </row>
    <row r="2145" spans="1:19" ht="50.1" customHeight="1">
      <c r="A2145" s="31"/>
      <c r="B2145" s="32" t="s">
        <v>8384</v>
      </c>
      <c r="C2145" s="31" t="s">
        <v>8385</v>
      </c>
      <c r="D2145" s="31" t="s">
        <v>191</v>
      </c>
      <c r="E2145" s="31" t="s">
        <v>8386</v>
      </c>
      <c r="F2145" s="31" t="s">
        <v>31</v>
      </c>
      <c r="G2145" s="31">
        <v>186</v>
      </c>
      <c r="H2145" s="31">
        <v>10</v>
      </c>
      <c r="I2145" s="31">
        <v>24</v>
      </c>
      <c r="J2145" s="31" t="s">
        <v>8387</v>
      </c>
      <c r="K2145" s="31" t="s">
        <v>130</v>
      </c>
      <c r="L2145" s="31" t="s">
        <v>56</v>
      </c>
      <c r="M2145" s="31">
        <v>192</v>
      </c>
      <c r="N2145" s="31">
        <v>2021</v>
      </c>
      <c r="O2145" s="31">
        <v>114</v>
      </c>
      <c r="P2145" s="31"/>
      <c r="Q2145" s="31"/>
      <c r="R2145" s="33"/>
      <c r="S2145" s="34" t="str">
        <f>HYPERLINK("http://www.cnpol.ru/covers/19456.jpg","фото на сайте")</f>
        <v>фото на сайте</v>
      </c>
    </row>
    <row r="2146" spans="1:19" ht="50.1" customHeight="1">
      <c r="A2146" s="31"/>
      <c r="B2146" s="32" t="s">
        <v>8388</v>
      </c>
      <c r="C2146" s="31" t="s">
        <v>8389</v>
      </c>
      <c r="D2146" s="31" t="s">
        <v>8390</v>
      </c>
      <c r="E2146" s="31" t="s">
        <v>8391</v>
      </c>
      <c r="F2146" s="31" t="s">
        <v>31</v>
      </c>
      <c r="G2146" s="31">
        <v>137</v>
      </c>
      <c r="H2146" s="31">
        <v>10</v>
      </c>
      <c r="I2146" s="31">
        <v>30</v>
      </c>
      <c r="J2146" s="31" t="s">
        <v>8392</v>
      </c>
      <c r="K2146" s="31" t="s">
        <v>123</v>
      </c>
      <c r="L2146" s="31" t="s">
        <v>56</v>
      </c>
      <c r="M2146" s="31">
        <v>160</v>
      </c>
      <c r="N2146" s="31">
        <v>2020</v>
      </c>
      <c r="O2146" s="31">
        <v>76</v>
      </c>
      <c r="P2146" s="31"/>
      <c r="Q2146" s="31"/>
      <c r="R2146" s="33"/>
      <c r="S2146" s="34" t="str">
        <f>HYPERLINK("http://www.cnpol.ru/covers/19327.jpg","фото на сайте")</f>
        <v>фото на сайте</v>
      </c>
    </row>
    <row r="2147" spans="1:19" ht="50.1" customHeight="1">
      <c r="A2147" s="31" t="s">
        <v>35</v>
      </c>
      <c r="B2147" s="32" t="s">
        <v>8393</v>
      </c>
      <c r="C2147" s="31" t="s">
        <v>8389</v>
      </c>
      <c r="D2147" s="31" t="s">
        <v>8390</v>
      </c>
      <c r="E2147" s="31" t="s">
        <v>8394</v>
      </c>
      <c r="F2147" s="31" t="s">
        <v>31</v>
      </c>
      <c r="G2147" s="31">
        <v>170</v>
      </c>
      <c r="H2147" s="31">
        <v>10</v>
      </c>
      <c r="I2147" s="31">
        <v>12</v>
      </c>
      <c r="J2147" s="31" t="s">
        <v>8395</v>
      </c>
      <c r="K2147" s="31" t="s">
        <v>123</v>
      </c>
      <c r="L2147" s="31" t="s">
        <v>56</v>
      </c>
      <c r="M2147" s="31">
        <v>159</v>
      </c>
      <c r="N2147" s="31">
        <v>2024</v>
      </c>
      <c r="O2147" s="31">
        <v>77</v>
      </c>
      <c r="P2147" s="31"/>
      <c r="Q2147" s="31"/>
      <c r="R2147" s="33" t="s">
        <v>8396</v>
      </c>
      <c r="S2147" s="34" t="str">
        <f>HYPERLINK("http://www.cnpol.ru/covers/21240.jpg","фото на сайте")</f>
        <v>фото на сайте</v>
      </c>
    </row>
    <row r="2148" spans="1:19" ht="50.1" customHeight="1">
      <c r="A2148" s="31"/>
      <c r="B2148" s="32" t="s">
        <v>8397</v>
      </c>
      <c r="C2148" s="31" t="s">
        <v>528</v>
      </c>
      <c r="D2148" s="31" t="s">
        <v>529</v>
      </c>
      <c r="E2148" s="31" t="s">
        <v>8398</v>
      </c>
      <c r="F2148" s="31" t="s">
        <v>31</v>
      </c>
      <c r="G2148" s="31">
        <v>137</v>
      </c>
      <c r="H2148" s="31">
        <v>10</v>
      </c>
      <c r="I2148" s="31">
        <v>24</v>
      </c>
      <c r="J2148" s="31" t="s">
        <v>8399</v>
      </c>
      <c r="K2148" s="31" t="s">
        <v>55</v>
      </c>
      <c r="L2148" s="31" t="s">
        <v>56</v>
      </c>
      <c r="M2148" s="31">
        <v>160</v>
      </c>
      <c r="N2148" s="31">
        <v>2017</v>
      </c>
      <c r="O2148" s="31">
        <v>68</v>
      </c>
      <c r="P2148" s="31"/>
      <c r="Q2148" s="31"/>
      <c r="R2148" s="33"/>
      <c r="S2148" s="34" t="str">
        <f>HYPERLINK("http://www.cnpol.ru/covers/17748.jpg","фото на сайте")</f>
        <v>фото на сайте</v>
      </c>
    </row>
    <row r="2149" spans="1:19" ht="50.1" customHeight="1">
      <c r="A2149" s="31"/>
      <c r="B2149" s="32" t="s">
        <v>8400</v>
      </c>
      <c r="C2149" s="31" t="s">
        <v>1247</v>
      </c>
      <c r="D2149" s="31" t="s">
        <v>1248</v>
      </c>
      <c r="E2149" s="31" t="s">
        <v>8401</v>
      </c>
      <c r="F2149" s="31" t="s">
        <v>31</v>
      </c>
      <c r="G2149" s="31">
        <v>112</v>
      </c>
      <c r="H2149" s="31">
        <v>10</v>
      </c>
      <c r="I2149" s="31">
        <v>32</v>
      </c>
      <c r="J2149" s="31" t="s">
        <v>8402</v>
      </c>
      <c r="K2149" s="31" t="s">
        <v>123</v>
      </c>
      <c r="L2149" s="31" t="s">
        <v>56</v>
      </c>
      <c r="M2149" s="31">
        <v>160</v>
      </c>
      <c r="N2149" s="31">
        <v>2016</v>
      </c>
      <c r="O2149" s="31">
        <v>60</v>
      </c>
      <c r="P2149" s="31"/>
      <c r="Q2149" s="31"/>
      <c r="R2149" s="33"/>
      <c r="S2149" s="34" t="str">
        <f>HYPERLINK("http://www.cnpol.ru/covers/16538.jpg","фото на сайте")</f>
        <v>фото на сайте</v>
      </c>
    </row>
    <row r="2150" spans="1:19" ht="50.1" customHeight="1">
      <c r="A2150" s="31"/>
      <c r="B2150" s="32" t="s">
        <v>8403</v>
      </c>
      <c r="C2150" s="31" t="s">
        <v>1265</v>
      </c>
      <c r="D2150" s="31" t="s">
        <v>1266</v>
      </c>
      <c r="E2150" s="31" t="s">
        <v>8404</v>
      </c>
      <c r="F2150" s="31" t="s">
        <v>31</v>
      </c>
      <c r="G2150" s="31">
        <v>73</v>
      </c>
      <c r="H2150" s="31">
        <v>10</v>
      </c>
      <c r="I2150" s="31">
        <v>80</v>
      </c>
      <c r="J2150" s="31" t="s">
        <v>8405</v>
      </c>
      <c r="K2150" s="31" t="s">
        <v>123</v>
      </c>
      <c r="L2150" s="31" t="s">
        <v>56</v>
      </c>
      <c r="M2150" s="31">
        <v>125</v>
      </c>
      <c r="N2150" s="31">
        <v>2010</v>
      </c>
      <c r="O2150" s="31">
        <v>62</v>
      </c>
      <c r="P2150" s="31"/>
      <c r="Q2150" s="31"/>
      <c r="R2150" s="33"/>
      <c r="S2150" s="34" t="str">
        <f>HYPERLINK("http://www.cnpol.ru/covers/12271.jpg","фото на сайте")</f>
        <v>фото на сайте</v>
      </c>
    </row>
    <row r="2151" spans="1:19" ht="50.1" customHeight="1">
      <c r="A2151" s="31"/>
      <c r="B2151" s="32" t="s">
        <v>8406</v>
      </c>
      <c r="C2151" s="31" t="s">
        <v>1265</v>
      </c>
      <c r="D2151" s="31" t="s">
        <v>1266</v>
      </c>
      <c r="E2151" s="31" t="s">
        <v>8404</v>
      </c>
      <c r="F2151" s="31" t="s">
        <v>31</v>
      </c>
      <c r="G2151" s="31">
        <v>73</v>
      </c>
      <c r="H2151" s="31">
        <v>10</v>
      </c>
      <c r="I2151" s="31">
        <v>60</v>
      </c>
      <c r="J2151" s="31" t="s">
        <v>8407</v>
      </c>
      <c r="K2151" s="31" t="s">
        <v>123</v>
      </c>
      <c r="L2151" s="31" t="s">
        <v>56</v>
      </c>
      <c r="M2151" s="31">
        <v>128</v>
      </c>
      <c r="N2151" s="31">
        <v>2011</v>
      </c>
      <c r="O2151" s="31">
        <v>64</v>
      </c>
      <c r="P2151" s="31"/>
      <c r="Q2151" s="31"/>
      <c r="R2151" s="33"/>
      <c r="S2151" s="34" t="str">
        <f>HYPERLINK("http://www.cnpol.ru/covers/12769.jpg","фото на сайте")</f>
        <v>фото на сайте</v>
      </c>
    </row>
    <row r="2152" spans="1:19" ht="50.1" customHeight="1">
      <c r="A2152" s="31"/>
      <c r="B2152" s="32" t="s">
        <v>8408</v>
      </c>
      <c r="C2152" s="31" t="s">
        <v>8409</v>
      </c>
      <c r="D2152" s="31" t="s">
        <v>8410</v>
      </c>
      <c r="E2152" s="31" t="s">
        <v>8411</v>
      </c>
      <c r="F2152" s="31" t="s">
        <v>31</v>
      </c>
      <c r="G2152" s="31">
        <v>353</v>
      </c>
      <c r="H2152" s="31">
        <v>20</v>
      </c>
      <c r="I2152" s="31">
        <v>12</v>
      </c>
      <c r="J2152" s="31" t="s">
        <v>8412</v>
      </c>
      <c r="K2152" s="31" t="s">
        <v>33</v>
      </c>
      <c r="L2152" s="31" t="s">
        <v>34</v>
      </c>
      <c r="M2152" s="31">
        <v>283</v>
      </c>
      <c r="N2152" s="31">
        <v>2009</v>
      </c>
      <c r="O2152" s="31">
        <v>256</v>
      </c>
      <c r="P2152" s="31"/>
      <c r="Q2152" s="31"/>
      <c r="R2152" s="33"/>
      <c r="S2152" s="34" t="str">
        <f>HYPERLINK("http://www.cnpol.ru/covers/11063.jpg","фото на сайте")</f>
        <v>фото на сайте</v>
      </c>
    </row>
    <row r="2153" spans="1:19" ht="50.1" customHeight="1">
      <c r="A2153" s="31"/>
      <c r="B2153" s="32" t="s">
        <v>8413</v>
      </c>
      <c r="C2153" s="31" t="s">
        <v>520</v>
      </c>
      <c r="D2153" s="31" t="s">
        <v>4804</v>
      </c>
      <c r="E2153" s="31" t="s">
        <v>8414</v>
      </c>
      <c r="F2153" s="31">
        <v>34</v>
      </c>
      <c r="G2153" s="31">
        <v>117</v>
      </c>
      <c r="H2153" s="31">
        <v>10</v>
      </c>
      <c r="I2153" s="31">
        <v>30</v>
      </c>
      <c r="J2153" s="31" t="s">
        <v>8415</v>
      </c>
      <c r="K2153" s="31" t="s">
        <v>123</v>
      </c>
      <c r="L2153" s="31" t="s">
        <v>56</v>
      </c>
      <c r="M2153" s="31">
        <v>192</v>
      </c>
      <c r="N2153" s="31">
        <v>2016</v>
      </c>
      <c r="O2153" s="31">
        <v>90</v>
      </c>
      <c r="P2153" s="31"/>
      <c r="Q2153" s="31"/>
      <c r="R2153" s="33"/>
      <c r="S2153" s="34" t="str">
        <f>HYPERLINK("http://www.cnpol.ru/covers/16958.jpg","фото на сайте")</f>
        <v>фото на сайте</v>
      </c>
    </row>
    <row r="2154" spans="1:19" ht="50.1" customHeight="1">
      <c r="A2154" s="31"/>
      <c r="B2154" s="32" t="s">
        <v>8416</v>
      </c>
      <c r="C2154" s="31" t="s">
        <v>546</v>
      </c>
      <c r="D2154" s="31" t="s">
        <v>1846</v>
      </c>
      <c r="E2154" s="31" t="s">
        <v>8417</v>
      </c>
      <c r="F2154" s="31">
        <v>393</v>
      </c>
      <c r="G2154" s="31">
        <v>93</v>
      </c>
      <c r="H2154" s="31">
        <v>10</v>
      </c>
      <c r="I2154" s="31">
        <v>30</v>
      </c>
      <c r="J2154" s="31" t="s">
        <v>8418</v>
      </c>
      <c r="K2154" s="31" t="s">
        <v>123</v>
      </c>
      <c r="L2154" s="31" t="s">
        <v>56</v>
      </c>
      <c r="M2154" s="31">
        <v>159</v>
      </c>
      <c r="N2154" s="31">
        <v>2021</v>
      </c>
      <c r="O2154" s="31">
        <v>76</v>
      </c>
      <c r="P2154" s="31"/>
      <c r="Q2154" s="31"/>
      <c r="R2154" s="33"/>
      <c r="S2154" s="34" t="str">
        <f>HYPERLINK("http://www.cnpol.ru/covers/19969.jpg","фото на сайте")</f>
        <v>фото на сайте</v>
      </c>
    </row>
    <row r="2155" spans="1:19" ht="50.1" customHeight="1">
      <c r="A2155" s="31"/>
      <c r="B2155" s="32" t="s">
        <v>8419</v>
      </c>
      <c r="C2155" s="31" t="s">
        <v>546</v>
      </c>
      <c r="D2155" s="31" t="s">
        <v>3610</v>
      </c>
      <c r="E2155" s="31" t="s">
        <v>8420</v>
      </c>
      <c r="F2155" s="31">
        <v>223</v>
      </c>
      <c r="G2155" s="31">
        <v>93</v>
      </c>
      <c r="H2155" s="31">
        <v>10</v>
      </c>
      <c r="I2155" s="31">
        <v>30</v>
      </c>
      <c r="J2155" s="31" t="s">
        <v>8421</v>
      </c>
      <c r="K2155" s="31" t="s">
        <v>123</v>
      </c>
      <c r="L2155" s="31" t="s">
        <v>56</v>
      </c>
      <c r="M2155" s="31">
        <v>160</v>
      </c>
      <c r="N2155" s="31">
        <v>2017</v>
      </c>
      <c r="O2155" s="31">
        <v>76</v>
      </c>
      <c r="P2155" s="31"/>
      <c r="Q2155" s="31"/>
      <c r="R2155" s="33"/>
      <c r="S2155" s="34" t="str">
        <f>HYPERLINK("http://www.cnpol.ru/covers/17524.jpg","фото на сайте")</f>
        <v>фото на сайте</v>
      </c>
    </row>
    <row r="2156" spans="1:19" ht="50.1" customHeight="1">
      <c r="A2156" s="31"/>
      <c r="B2156" s="32" t="s">
        <v>8422</v>
      </c>
      <c r="C2156" s="31" t="s">
        <v>546</v>
      </c>
      <c r="D2156" s="31" t="s">
        <v>765</v>
      </c>
      <c r="E2156" s="31" t="s">
        <v>8423</v>
      </c>
      <c r="F2156" s="31">
        <v>423</v>
      </c>
      <c r="G2156" s="31">
        <v>93</v>
      </c>
      <c r="H2156" s="31">
        <v>10</v>
      </c>
      <c r="I2156" s="31">
        <v>30</v>
      </c>
      <c r="J2156" s="31" t="s">
        <v>8424</v>
      </c>
      <c r="K2156" s="31" t="s">
        <v>123</v>
      </c>
      <c r="L2156" s="31" t="s">
        <v>56</v>
      </c>
      <c r="M2156" s="31">
        <v>159</v>
      </c>
      <c r="N2156" s="31">
        <v>2023</v>
      </c>
      <c r="O2156" s="31">
        <v>76</v>
      </c>
      <c r="P2156" s="31"/>
      <c r="Q2156" s="31"/>
      <c r="R2156" s="33" t="s">
        <v>8425</v>
      </c>
      <c r="S2156" s="34" t="str">
        <f>HYPERLINK("http://www.cnpol.ru/covers/20544.jpg","фото на сайте")</f>
        <v>фото на сайте</v>
      </c>
    </row>
    <row r="2157" spans="1:19" ht="50.1" customHeight="1">
      <c r="A2157" s="31"/>
      <c r="B2157" s="32" t="s">
        <v>8426</v>
      </c>
      <c r="C2157" s="31" t="s">
        <v>533</v>
      </c>
      <c r="D2157" s="31" t="s">
        <v>8427</v>
      </c>
      <c r="E2157" s="31" t="s">
        <v>8428</v>
      </c>
      <c r="F2157" s="31" t="s">
        <v>31</v>
      </c>
      <c r="G2157" s="31">
        <v>236</v>
      </c>
      <c r="H2157" s="31">
        <v>10</v>
      </c>
      <c r="I2157" s="31">
        <v>10</v>
      </c>
      <c r="J2157" s="31" t="s">
        <v>8429</v>
      </c>
      <c r="K2157" s="31" t="s">
        <v>33</v>
      </c>
      <c r="L2157" s="31" t="s">
        <v>34</v>
      </c>
      <c r="M2157" s="31">
        <v>489</v>
      </c>
      <c r="N2157" s="31">
        <v>2001</v>
      </c>
      <c r="O2157" s="31">
        <v>368</v>
      </c>
      <c r="P2157" s="31"/>
      <c r="Q2157" s="31"/>
      <c r="R2157" s="33"/>
      <c r="S2157" s="34" t="str">
        <f>HYPERLINK("http://www.cnpol.ru/covers/2309.jpg","фото на сайте")</f>
        <v>фото на сайте</v>
      </c>
    </row>
    <row r="2158" spans="1:19" ht="50.1" customHeight="1">
      <c r="A2158" s="31"/>
      <c r="B2158" s="32" t="s">
        <v>8430</v>
      </c>
      <c r="C2158" s="31" t="s">
        <v>297</v>
      </c>
      <c r="D2158" s="31" t="s">
        <v>539</v>
      </c>
      <c r="E2158" s="31" t="s">
        <v>8431</v>
      </c>
      <c r="F2158" s="31" t="s">
        <v>31</v>
      </c>
      <c r="G2158" s="31">
        <v>300</v>
      </c>
      <c r="H2158" s="31">
        <v>10</v>
      </c>
      <c r="I2158" s="31">
        <v>14</v>
      </c>
      <c r="J2158" s="31" t="s">
        <v>8432</v>
      </c>
      <c r="K2158" s="31" t="s">
        <v>300</v>
      </c>
      <c r="L2158" s="31" t="s">
        <v>56</v>
      </c>
      <c r="M2158" s="31">
        <v>480</v>
      </c>
      <c r="N2158" s="31">
        <v>2019</v>
      </c>
      <c r="O2158" s="31">
        <v>240</v>
      </c>
      <c r="P2158" s="31"/>
      <c r="Q2158" s="31"/>
      <c r="R2158" s="33"/>
      <c r="S2158" s="34" t="str">
        <f>HYPERLINK("http://www.cnpol.ru/covers/18554.jpg","фото на сайте")</f>
        <v>фото на сайте</v>
      </c>
    </row>
    <row r="2159" spans="1:19" ht="50.1" customHeight="1">
      <c r="A2159" s="31"/>
      <c r="B2159" s="32" t="s">
        <v>8433</v>
      </c>
      <c r="C2159" s="31" t="s">
        <v>302</v>
      </c>
      <c r="D2159" s="31" t="s">
        <v>539</v>
      </c>
      <c r="E2159" s="31" t="s">
        <v>8431</v>
      </c>
      <c r="F2159" s="31" t="s">
        <v>31</v>
      </c>
      <c r="G2159" s="35">
        <v>1005</v>
      </c>
      <c r="H2159" s="31">
        <v>10</v>
      </c>
      <c r="I2159" s="31">
        <v>10</v>
      </c>
      <c r="J2159" s="31" t="s">
        <v>8434</v>
      </c>
      <c r="K2159" s="31" t="s">
        <v>41</v>
      </c>
      <c r="L2159" s="31" t="s">
        <v>304</v>
      </c>
      <c r="M2159" s="31">
        <v>480</v>
      </c>
      <c r="N2159" s="31">
        <v>2017</v>
      </c>
      <c r="O2159" s="31">
        <v>578</v>
      </c>
      <c r="P2159" s="31"/>
      <c r="Q2159" s="31"/>
      <c r="R2159" s="33"/>
      <c r="S2159" s="34" t="str">
        <f>HYPERLINK("http://www.cnpol.ru/covers/17430.jpg","фото на сайте")</f>
        <v>фото на сайте</v>
      </c>
    </row>
    <row r="2160" spans="1:19" ht="50.1" customHeight="1">
      <c r="A2160" s="31"/>
      <c r="B2160" s="32" t="s">
        <v>8435</v>
      </c>
      <c r="C2160" s="31" t="s">
        <v>423</v>
      </c>
      <c r="D2160" s="31" t="s">
        <v>8436</v>
      </c>
      <c r="E2160" s="31" t="s">
        <v>8437</v>
      </c>
      <c r="F2160" s="31" t="s">
        <v>31</v>
      </c>
      <c r="G2160" s="31">
        <v>154</v>
      </c>
      <c r="H2160" s="31">
        <v>10</v>
      </c>
      <c r="I2160" s="31">
        <v>24</v>
      </c>
      <c r="J2160" s="31" t="s">
        <v>8438</v>
      </c>
      <c r="K2160" s="31" t="s">
        <v>55</v>
      </c>
      <c r="L2160" s="31" t="s">
        <v>56</v>
      </c>
      <c r="M2160" s="31">
        <v>284</v>
      </c>
      <c r="N2160" s="31">
        <v>2009</v>
      </c>
      <c r="O2160" s="31">
        <v>118</v>
      </c>
      <c r="P2160" s="31"/>
      <c r="Q2160" s="31"/>
      <c r="R2160" s="33"/>
      <c r="S2160" s="34" t="str">
        <f>HYPERLINK("http://www.cnpol.ru/covers/11057.jpg","фото на сайте")</f>
        <v>фото на сайте</v>
      </c>
    </row>
    <row r="2161" spans="1:19" ht="50.1" customHeight="1">
      <c r="A2161" s="31"/>
      <c r="B2161" s="32" t="s">
        <v>8439</v>
      </c>
      <c r="C2161" s="31" t="s">
        <v>390</v>
      </c>
      <c r="D2161" s="31" t="s">
        <v>1427</v>
      </c>
      <c r="E2161" s="31" t="s">
        <v>8440</v>
      </c>
      <c r="F2161" s="31">
        <v>533</v>
      </c>
      <c r="G2161" s="31">
        <v>86</v>
      </c>
      <c r="H2161" s="31">
        <v>10</v>
      </c>
      <c r="I2161" s="31">
        <v>30</v>
      </c>
      <c r="J2161" s="31" t="s">
        <v>8441</v>
      </c>
      <c r="K2161" s="31" t="s">
        <v>123</v>
      </c>
      <c r="L2161" s="31" t="s">
        <v>56</v>
      </c>
      <c r="M2161" s="31">
        <v>158</v>
      </c>
      <c r="N2161" s="31">
        <v>2015</v>
      </c>
      <c r="O2161" s="31">
        <v>76</v>
      </c>
      <c r="P2161" s="31"/>
      <c r="Q2161" s="31"/>
      <c r="R2161" s="33"/>
      <c r="S2161" s="34" t="str">
        <f>HYPERLINK("http://www.cnpol.ru/covers/16117.jpg","фото на сайте")</f>
        <v>фото на сайте</v>
      </c>
    </row>
    <row r="2162" spans="1:19" ht="50.1" customHeight="1">
      <c r="A2162" s="31" t="s">
        <v>43</v>
      </c>
      <c r="B2162" s="32" t="s">
        <v>8442</v>
      </c>
      <c r="C2162" s="31" t="s">
        <v>390</v>
      </c>
      <c r="D2162" s="31" t="s">
        <v>3986</v>
      </c>
      <c r="E2162" s="31" t="s">
        <v>8443</v>
      </c>
      <c r="F2162" s="31">
        <v>1174</v>
      </c>
      <c r="G2162" s="31">
        <v>86</v>
      </c>
      <c r="H2162" s="31">
        <v>10</v>
      </c>
      <c r="I2162" s="31">
        <v>30</v>
      </c>
      <c r="J2162" s="31" t="s">
        <v>8444</v>
      </c>
      <c r="K2162" s="31" t="s">
        <v>123</v>
      </c>
      <c r="L2162" s="31" t="s">
        <v>56</v>
      </c>
      <c r="M2162" s="31">
        <v>159</v>
      </c>
      <c r="N2162" s="31">
        <v>2024</v>
      </c>
      <c r="O2162" s="31">
        <v>76</v>
      </c>
      <c r="P2162" s="31"/>
      <c r="Q2162" s="31"/>
      <c r="R2162" s="33" t="s">
        <v>8445</v>
      </c>
      <c r="S2162" s="34" t="str">
        <f>HYPERLINK("http://www.cnpol.ru/covers/21128.jpg","фото на сайте")</f>
        <v>фото на сайте</v>
      </c>
    </row>
    <row r="2163" spans="1:19" ht="50.1" customHeight="1">
      <c r="A2163" s="31"/>
      <c r="B2163" s="32" t="s">
        <v>8446</v>
      </c>
      <c r="C2163" s="31" t="s">
        <v>390</v>
      </c>
      <c r="D2163" s="31" t="s">
        <v>3095</v>
      </c>
      <c r="E2163" s="31" t="s">
        <v>8447</v>
      </c>
      <c r="F2163" s="31">
        <v>772</v>
      </c>
      <c r="G2163" s="31">
        <v>86</v>
      </c>
      <c r="H2163" s="31">
        <v>10</v>
      </c>
      <c r="I2163" s="31">
        <v>30</v>
      </c>
      <c r="J2163" s="31" t="s">
        <v>8448</v>
      </c>
      <c r="K2163" s="31" t="s">
        <v>123</v>
      </c>
      <c r="L2163" s="31" t="s">
        <v>56</v>
      </c>
      <c r="M2163" s="31">
        <v>160</v>
      </c>
      <c r="N2163" s="31">
        <v>2017</v>
      </c>
      <c r="O2163" s="31">
        <v>76</v>
      </c>
      <c r="P2163" s="31"/>
      <c r="Q2163" s="31"/>
      <c r="R2163" s="33"/>
      <c r="S2163" s="34" t="str">
        <f>HYPERLINK("http://www.cnpol.ru/covers/17831.jpg","фото на сайте")</f>
        <v>фото на сайте</v>
      </c>
    </row>
    <row r="2164" spans="1:19" ht="50.1" customHeight="1">
      <c r="A2164" s="31"/>
      <c r="B2164" s="32" t="s">
        <v>8449</v>
      </c>
      <c r="C2164" s="31" t="s">
        <v>390</v>
      </c>
      <c r="D2164" s="31" t="s">
        <v>1292</v>
      </c>
      <c r="E2164" s="31" t="s">
        <v>8450</v>
      </c>
      <c r="F2164" s="31">
        <v>631</v>
      </c>
      <c r="G2164" s="31">
        <v>86</v>
      </c>
      <c r="H2164" s="31">
        <v>10</v>
      </c>
      <c r="I2164" s="31">
        <v>30</v>
      </c>
      <c r="J2164" s="31" t="s">
        <v>8451</v>
      </c>
      <c r="K2164" s="31" t="s">
        <v>123</v>
      </c>
      <c r="L2164" s="31" t="s">
        <v>56</v>
      </c>
      <c r="M2164" s="31">
        <v>160</v>
      </c>
      <c r="N2164" s="31">
        <v>2016</v>
      </c>
      <c r="O2164" s="31">
        <v>76</v>
      </c>
      <c r="P2164" s="31"/>
      <c r="Q2164" s="31"/>
      <c r="R2164" s="33"/>
      <c r="S2164" s="34" t="str">
        <f>HYPERLINK("http://www.cnpol.ru/covers/16860.jpg","фото на сайте")</f>
        <v>фото на сайте</v>
      </c>
    </row>
    <row r="2165" spans="1:19" ht="50.1" customHeight="1">
      <c r="A2165" s="31"/>
      <c r="B2165" s="32" t="s">
        <v>8452</v>
      </c>
      <c r="C2165" s="31" t="s">
        <v>390</v>
      </c>
      <c r="D2165" s="31" t="s">
        <v>1758</v>
      </c>
      <c r="E2165" s="31" t="s">
        <v>8453</v>
      </c>
      <c r="F2165" s="31">
        <v>1128</v>
      </c>
      <c r="G2165" s="31">
        <v>86</v>
      </c>
      <c r="H2165" s="31">
        <v>10</v>
      </c>
      <c r="I2165" s="31">
        <v>30</v>
      </c>
      <c r="J2165" s="31" t="s">
        <v>8454</v>
      </c>
      <c r="K2165" s="31" t="s">
        <v>123</v>
      </c>
      <c r="L2165" s="31" t="s">
        <v>56</v>
      </c>
      <c r="M2165" s="31">
        <v>159</v>
      </c>
      <c r="N2165" s="31">
        <v>2023</v>
      </c>
      <c r="O2165" s="31">
        <v>76</v>
      </c>
      <c r="P2165" s="31"/>
      <c r="Q2165" s="31"/>
      <c r="R2165" s="33" t="s">
        <v>8455</v>
      </c>
      <c r="S2165" s="34" t="str">
        <f>HYPERLINK("http://www.cnpol.ru/covers/20538.jpg","фото на сайте")</f>
        <v>фото на сайте</v>
      </c>
    </row>
    <row r="2166" spans="1:19" ht="50.1" customHeight="1">
      <c r="A2166" s="31"/>
      <c r="B2166" s="32" t="s">
        <v>8456</v>
      </c>
      <c r="C2166" s="31" t="s">
        <v>390</v>
      </c>
      <c r="D2166" s="31" t="s">
        <v>1660</v>
      </c>
      <c r="E2166" s="31" t="s">
        <v>8457</v>
      </c>
      <c r="F2166" s="31">
        <v>1046</v>
      </c>
      <c r="G2166" s="31">
        <v>86</v>
      </c>
      <c r="H2166" s="31">
        <v>10</v>
      </c>
      <c r="I2166" s="31">
        <v>30</v>
      </c>
      <c r="J2166" s="31" t="s">
        <v>8458</v>
      </c>
      <c r="K2166" s="31" t="s">
        <v>123</v>
      </c>
      <c r="L2166" s="31" t="s">
        <v>56</v>
      </c>
      <c r="M2166" s="31">
        <v>160</v>
      </c>
      <c r="N2166" s="31">
        <v>2021</v>
      </c>
      <c r="O2166" s="31">
        <v>76</v>
      </c>
      <c r="P2166" s="31"/>
      <c r="Q2166" s="31"/>
      <c r="R2166" s="33"/>
      <c r="S2166" s="34" t="str">
        <f>HYPERLINK("http://www.cnpol.ru/covers/19782.jpg","фото на сайте")</f>
        <v>фото на сайте</v>
      </c>
    </row>
    <row r="2167" spans="1:19" ht="50.1" customHeight="1">
      <c r="A2167" s="31"/>
      <c r="B2167" s="32" t="s">
        <v>8459</v>
      </c>
      <c r="C2167" s="31" t="s">
        <v>546</v>
      </c>
      <c r="D2167" s="31" t="s">
        <v>1628</v>
      </c>
      <c r="E2167" s="31" t="s">
        <v>8460</v>
      </c>
      <c r="F2167" s="31">
        <v>363</v>
      </c>
      <c r="G2167" s="31">
        <v>93</v>
      </c>
      <c r="H2167" s="31">
        <v>10</v>
      </c>
      <c r="I2167" s="31">
        <v>30</v>
      </c>
      <c r="J2167" s="31" t="s">
        <v>8461</v>
      </c>
      <c r="K2167" s="31" t="s">
        <v>123</v>
      </c>
      <c r="L2167" s="31" t="s">
        <v>56</v>
      </c>
      <c r="M2167" s="31">
        <v>160</v>
      </c>
      <c r="N2167" s="31">
        <v>2020</v>
      </c>
      <c r="O2167" s="31">
        <v>76</v>
      </c>
      <c r="P2167" s="31"/>
      <c r="Q2167" s="31"/>
      <c r="R2167" s="33"/>
      <c r="S2167" s="34" t="str">
        <f>HYPERLINK("http://www.cnpol.ru/covers/19424.jpg","фото на сайте")</f>
        <v>фото на сайте</v>
      </c>
    </row>
    <row r="2168" spans="1:19" ht="50.1" customHeight="1">
      <c r="A2168" s="31"/>
      <c r="B2168" s="32" t="s">
        <v>8462</v>
      </c>
      <c r="C2168" s="31" t="s">
        <v>546</v>
      </c>
      <c r="D2168" s="31" t="s">
        <v>3170</v>
      </c>
      <c r="E2168" s="31" t="s">
        <v>8463</v>
      </c>
      <c r="F2168" s="31">
        <v>298</v>
      </c>
      <c r="G2168" s="31">
        <v>93</v>
      </c>
      <c r="H2168" s="31">
        <v>10</v>
      </c>
      <c r="I2168" s="31">
        <v>30</v>
      </c>
      <c r="J2168" s="31" t="s">
        <v>8464</v>
      </c>
      <c r="K2168" s="31" t="s">
        <v>123</v>
      </c>
      <c r="L2168" s="31" t="s">
        <v>56</v>
      </c>
      <c r="M2168" s="31">
        <v>160</v>
      </c>
      <c r="N2168" s="31">
        <v>2019</v>
      </c>
      <c r="O2168" s="31">
        <v>76</v>
      </c>
      <c r="P2168" s="31"/>
      <c r="Q2168" s="31"/>
      <c r="R2168" s="33"/>
      <c r="S2168" s="34" t="str">
        <f>HYPERLINK("http://www.cnpol.ru/covers/18539.jpg","фото на сайте")</f>
        <v>фото на сайте</v>
      </c>
    </row>
    <row r="2169" spans="1:19" ht="50.1" customHeight="1">
      <c r="A2169" s="31"/>
      <c r="B2169" s="32" t="s">
        <v>8465</v>
      </c>
      <c r="C2169" s="31" t="s">
        <v>8466</v>
      </c>
      <c r="D2169" s="31" t="s">
        <v>4769</v>
      </c>
      <c r="E2169" s="31" t="s">
        <v>8467</v>
      </c>
      <c r="F2169" s="31" t="s">
        <v>31</v>
      </c>
      <c r="G2169" s="31">
        <v>169</v>
      </c>
      <c r="H2169" s="31">
        <v>10</v>
      </c>
      <c r="I2169" s="31">
        <v>36</v>
      </c>
      <c r="J2169" s="31" t="s">
        <v>8468</v>
      </c>
      <c r="K2169" s="31" t="s">
        <v>55</v>
      </c>
      <c r="L2169" s="31" t="s">
        <v>56</v>
      </c>
      <c r="M2169" s="31">
        <v>286</v>
      </c>
      <c r="N2169" s="31">
        <v>2010</v>
      </c>
      <c r="O2169" s="31">
        <v>120</v>
      </c>
      <c r="P2169" s="31"/>
      <c r="Q2169" s="31"/>
      <c r="R2169" s="33"/>
      <c r="S2169" s="34" t="str">
        <f>HYPERLINK("http://www.cnpol.ru/covers/12273.jpg","фото на сайте")</f>
        <v>фото на сайте</v>
      </c>
    </row>
    <row r="2170" spans="1:19" ht="50.1" customHeight="1">
      <c r="A2170" s="31"/>
      <c r="B2170" s="32" t="s">
        <v>8469</v>
      </c>
      <c r="C2170" s="31" t="s">
        <v>390</v>
      </c>
      <c r="D2170" s="31" t="s">
        <v>4953</v>
      </c>
      <c r="E2170" s="31" t="s">
        <v>8470</v>
      </c>
      <c r="F2170" s="31">
        <v>494</v>
      </c>
      <c r="G2170" s="31">
        <v>86</v>
      </c>
      <c r="H2170" s="31">
        <v>10</v>
      </c>
      <c r="I2170" s="31">
        <v>30</v>
      </c>
      <c r="J2170" s="31" t="s">
        <v>8471</v>
      </c>
      <c r="K2170" s="31" t="s">
        <v>123</v>
      </c>
      <c r="L2170" s="31" t="s">
        <v>56</v>
      </c>
      <c r="M2170" s="31">
        <v>158</v>
      </c>
      <c r="N2170" s="31">
        <v>2015</v>
      </c>
      <c r="O2170" s="31">
        <v>76</v>
      </c>
      <c r="P2170" s="31"/>
      <c r="Q2170" s="31"/>
      <c r="R2170" s="33"/>
      <c r="S2170" s="34" t="str">
        <f>HYPERLINK("http://www.cnpol.ru/covers/15828.jpg","фото на сайте")</f>
        <v>фото на сайте</v>
      </c>
    </row>
    <row r="2171" spans="1:19" ht="50.1" customHeight="1">
      <c r="A2171" s="31"/>
      <c r="B2171" s="32" t="s">
        <v>8472</v>
      </c>
      <c r="C2171" s="31" t="s">
        <v>6922</v>
      </c>
      <c r="D2171" s="31" t="s">
        <v>8473</v>
      </c>
      <c r="E2171" s="31" t="s">
        <v>8474</v>
      </c>
      <c r="F2171" s="31" t="s">
        <v>31</v>
      </c>
      <c r="G2171" s="31">
        <v>466</v>
      </c>
      <c r="H2171" s="31">
        <v>10</v>
      </c>
      <c r="I2171" s="31">
        <v>16</v>
      </c>
      <c r="J2171" s="31" t="s">
        <v>8475</v>
      </c>
      <c r="K2171" s="31" t="s">
        <v>55</v>
      </c>
      <c r="L2171" s="31" t="s">
        <v>34</v>
      </c>
      <c r="M2171" s="31">
        <v>319</v>
      </c>
      <c r="N2171" s="31">
        <v>2022</v>
      </c>
      <c r="O2171" s="31">
        <v>246</v>
      </c>
      <c r="P2171" s="31"/>
      <c r="Q2171" s="31"/>
      <c r="R2171" s="33"/>
      <c r="S2171" s="34" t="str">
        <f>HYPERLINK("http://www.cnpol.ru/covers/20314.jpg","фото на сайте")</f>
        <v>фото на сайте</v>
      </c>
    </row>
    <row r="2172" spans="1:19" ht="50.1" customHeight="1">
      <c r="A2172" s="31"/>
      <c r="B2172" s="32" t="s">
        <v>8476</v>
      </c>
      <c r="C2172" s="31" t="s">
        <v>6922</v>
      </c>
      <c r="D2172" s="31" t="s">
        <v>8477</v>
      </c>
      <c r="E2172" s="31" t="s">
        <v>8478</v>
      </c>
      <c r="F2172" s="31" t="s">
        <v>31</v>
      </c>
      <c r="G2172" s="31">
        <v>318</v>
      </c>
      <c r="H2172" s="31">
        <v>10</v>
      </c>
      <c r="I2172" s="31">
        <v>24</v>
      </c>
      <c r="J2172" s="31" t="s">
        <v>8479</v>
      </c>
      <c r="K2172" s="31" t="s">
        <v>55</v>
      </c>
      <c r="L2172" s="31" t="s">
        <v>34</v>
      </c>
      <c r="M2172" s="31">
        <v>192</v>
      </c>
      <c r="N2172" s="31">
        <v>2019</v>
      </c>
      <c r="O2172" s="31">
        <v>166</v>
      </c>
      <c r="P2172" s="31"/>
      <c r="Q2172" s="31"/>
      <c r="R2172" s="33"/>
      <c r="S2172" s="34" t="str">
        <f>HYPERLINK("http://www.cnpol.ru/covers/18985.jpg","фото на сайте")</f>
        <v>фото на сайте</v>
      </c>
    </row>
    <row r="2173" spans="1:19" ht="50.1" customHeight="1">
      <c r="A2173" s="31"/>
      <c r="B2173" s="32" t="s">
        <v>8480</v>
      </c>
      <c r="C2173" s="31" t="s">
        <v>390</v>
      </c>
      <c r="D2173" s="31" t="s">
        <v>989</v>
      </c>
      <c r="E2173" s="31" t="s">
        <v>8481</v>
      </c>
      <c r="F2173" s="31">
        <v>892</v>
      </c>
      <c r="G2173" s="31">
        <v>86</v>
      </c>
      <c r="H2173" s="31">
        <v>10</v>
      </c>
      <c r="I2173" s="31">
        <v>30</v>
      </c>
      <c r="J2173" s="31" t="s">
        <v>8482</v>
      </c>
      <c r="K2173" s="31" t="s">
        <v>123</v>
      </c>
      <c r="L2173" s="31" t="s">
        <v>56</v>
      </c>
      <c r="M2173" s="31">
        <v>160</v>
      </c>
      <c r="N2173" s="31">
        <v>2019</v>
      </c>
      <c r="O2173" s="31">
        <v>78</v>
      </c>
      <c r="P2173" s="31"/>
      <c r="Q2173" s="31"/>
      <c r="R2173" s="33"/>
      <c r="S2173" s="34" t="str">
        <f>HYPERLINK("http://www.cnpol.ru/covers/18656.jpg","фото на сайте")</f>
        <v>фото на сайте</v>
      </c>
    </row>
    <row r="2174" spans="1:19" ht="50.1" customHeight="1">
      <c r="A2174" s="31"/>
      <c r="B2174" s="32" t="s">
        <v>8483</v>
      </c>
      <c r="C2174" s="31" t="s">
        <v>413</v>
      </c>
      <c r="D2174" s="31" t="s">
        <v>4589</v>
      </c>
      <c r="E2174" s="31" t="s">
        <v>8484</v>
      </c>
      <c r="F2174" s="31">
        <v>31</v>
      </c>
      <c r="G2174" s="31">
        <v>117</v>
      </c>
      <c r="H2174" s="31">
        <v>10</v>
      </c>
      <c r="I2174" s="31">
        <v>36</v>
      </c>
      <c r="J2174" s="31" t="s">
        <v>8485</v>
      </c>
      <c r="K2174" s="31" t="s">
        <v>123</v>
      </c>
      <c r="L2174" s="31" t="s">
        <v>56</v>
      </c>
      <c r="M2174" s="31">
        <v>190</v>
      </c>
      <c r="N2174" s="31">
        <v>2014</v>
      </c>
      <c r="O2174" s="31">
        <v>92</v>
      </c>
      <c r="P2174" s="31"/>
      <c r="Q2174" s="31"/>
      <c r="R2174" s="33"/>
      <c r="S2174" s="34" t="str">
        <f>HYPERLINK("http://www.cnpol.ru/covers/15605.jpg","фото на сайте")</f>
        <v>фото на сайте</v>
      </c>
    </row>
    <row r="2175" spans="1:19" ht="50.1" customHeight="1">
      <c r="A2175" s="31"/>
      <c r="B2175" s="32" t="s">
        <v>8486</v>
      </c>
      <c r="C2175" s="31" t="s">
        <v>546</v>
      </c>
      <c r="D2175" s="31" t="s">
        <v>6002</v>
      </c>
      <c r="E2175" s="31" t="s">
        <v>8487</v>
      </c>
      <c r="F2175" s="31">
        <v>303</v>
      </c>
      <c r="G2175" s="31">
        <v>93</v>
      </c>
      <c r="H2175" s="31">
        <v>10</v>
      </c>
      <c r="I2175" s="31">
        <v>30</v>
      </c>
      <c r="J2175" s="31" t="s">
        <v>8488</v>
      </c>
      <c r="K2175" s="31" t="s">
        <v>123</v>
      </c>
      <c r="L2175" s="31" t="s">
        <v>56</v>
      </c>
      <c r="M2175" s="31">
        <v>160</v>
      </c>
      <c r="N2175" s="31">
        <v>2019</v>
      </c>
      <c r="O2175" s="31">
        <v>78</v>
      </c>
      <c r="P2175" s="31"/>
      <c r="Q2175" s="31"/>
      <c r="R2175" s="33"/>
      <c r="S2175" s="34" t="str">
        <f>HYPERLINK("http://www.cnpol.ru/covers/18605.jpg","фото на сайте")</f>
        <v>фото на сайте</v>
      </c>
    </row>
    <row r="2176" spans="1:19" ht="50.1" customHeight="1">
      <c r="A2176" s="31"/>
      <c r="B2176" s="32" t="s">
        <v>8489</v>
      </c>
      <c r="C2176" s="31" t="s">
        <v>8490</v>
      </c>
      <c r="D2176" s="31" t="s">
        <v>8491</v>
      </c>
      <c r="E2176" s="31" t="s">
        <v>8492</v>
      </c>
      <c r="F2176" s="31" t="s">
        <v>31</v>
      </c>
      <c r="G2176" s="31">
        <v>88</v>
      </c>
      <c r="H2176" s="31">
        <v>10</v>
      </c>
      <c r="I2176" s="31">
        <v>40</v>
      </c>
      <c r="J2176" s="31" t="s">
        <v>8493</v>
      </c>
      <c r="K2176" s="31" t="s">
        <v>55</v>
      </c>
      <c r="L2176" s="31" t="s">
        <v>56</v>
      </c>
      <c r="M2176" s="31">
        <v>254</v>
      </c>
      <c r="N2176" s="31">
        <v>2010</v>
      </c>
      <c r="O2176" s="31">
        <v>108</v>
      </c>
      <c r="P2176" s="31"/>
      <c r="Q2176" s="31"/>
      <c r="R2176" s="33"/>
      <c r="S2176" s="34" t="str">
        <f>HYPERLINK("http://www.cnpol.ru/covers/12354.jpg","фото на сайте")</f>
        <v>фото на сайте</v>
      </c>
    </row>
    <row r="2177" spans="1:19" ht="50.1" customHeight="1">
      <c r="A2177" s="31"/>
      <c r="B2177" s="32" t="s">
        <v>8494</v>
      </c>
      <c r="C2177" s="31" t="s">
        <v>953</v>
      </c>
      <c r="D2177" s="31" t="s">
        <v>8436</v>
      </c>
      <c r="E2177" s="31" t="s">
        <v>8495</v>
      </c>
      <c r="F2177" s="31" t="s">
        <v>31</v>
      </c>
      <c r="G2177" s="31">
        <v>154</v>
      </c>
      <c r="H2177" s="31">
        <v>10</v>
      </c>
      <c r="I2177" s="31">
        <v>24</v>
      </c>
      <c r="J2177" s="31" t="s">
        <v>8496</v>
      </c>
      <c r="K2177" s="31" t="s">
        <v>55</v>
      </c>
      <c r="L2177" s="31" t="s">
        <v>56</v>
      </c>
      <c r="M2177" s="31">
        <v>349</v>
      </c>
      <c r="N2177" s="31">
        <v>2008</v>
      </c>
      <c r="O2177" s="31">
        <v>146</v>
      </c>
      <c r="P2177" s="31"/>
      <c r="Q2177" s="31"/>
      <c r="R2177" s="33"/>
      <c r="S2177" s="34" t="str">
        <f>HYPERLINK("http://www.cnpol.ru/covers/10182.jpg","фото на сайте")</f>
        <v>фото на сайте</v>
      </c>
    </row>
    <row r="2178" spans="1:19" ht="50.1" customHeight="1">
      <c r="A2178" s="31"/>
      <c r="B2178" s="32" t="s">
        <v>8497</v>
      </c>
      <c r="C2178" s="31" t="s">
        <v>546</v>
      </c>
      <c r="D2178" s="31" t="s">
        <v>1581</v>
      </c>
      <c r="E2178" s="31" t="s">
        <v>8498</v>
      </c>
      <c r="F2178" s="31">
        <v>348</v>
      </c>
      <c r="G2178" s="31">
        <v>93</v>
      </c>
      <c r="H2178" s="31">
        <v>10</v>
      </c>
      <c r="I2178" s="31">
        <v>30</v>
      </c>
      <c r="J2178" s="31" t="s">
        <v>8499</v>
      </c>
      <c r="K2178" s="31" t="s">
        <v>123</v>
      </c>
      <c r="L2178" s="31" t="s">
        <v>56</v>
      </c>
      <c r="M2178" s="31">
        <v>160</v>
      </c>
      <c r="N2178" s="31">
        <v>2020</v>
      </c>
      <c r="O2178" s="31">
        <v>76</v>
      </c>
      <c r="P2178" s="31"/>
      <c r="Q2178" s="31"/>
      <c r="R2178" s="33"/>
      <c r="S2178" s="34" t="str">
        <f>HYPERLINK("http://www.cnpol.ru/covers/19148.jpg","фото на сайте")</f>
        <v>фото на сайте</v>
      </c>
    </row>
    <row r="2179" spans="1:19" ht="50.1" customHeight="1">
      <c r="A2179" s="31"/>
      <c r="B2179" s="32" t="s">
        <v>8500</v>
      </c>
      <c r="C2179" s="31" t="s">
        <v>546</v>
      </c>
      <c r="D2179" s="31" t="s">
        <v>653</v>
      </c>
      <c r="E2179" s="31" t="s">
        <v>8501</v>
      </c>
      <c r="F2179" s="31">
        <v>276</v>
      </c>
      <c r="G2179" s="31">
        <v>93</v>
      </c>
      <c r="H2179" s="31">
        <v>10</v>
      </c>
      <c r="I2179" s="31">
        <v>30</v>
      </c>
      <c r="J2179" s="31" t="s">
        <v>8502</v>
      </c>
      <c r="K2179" s="31" t="s">
        <v>123</v>
      </c>
      <c r="L2179" s="31" t="s">
        <v>56</v>
      </c>
      <c r="M2179" s="31">
        <v>160</v>
      </c>
      <c r="N2179" s="31">
        <v>2018</v>
      </c>
      <c r="O2179" s="31">
        <v>76</v>
      </c>
      <c r="P2179" s="31"/>
      <c r="Q2179" s="31"/>
      <c r="R2179" s="33"/>
      <c r="S2179" s="34" t="str">
        <f>HYPERLINK("http://www.cnpol.ru/covers/18284.jpg","фото на сайте")</f>
        <v>фото на сайте</v>
      </c>
    </row>
    <row r="2180" spans="1:19" ht="50.1" customHeight="1">
      <c r="A2180" s="31"/>
      <c r="B2180" s="32" t="s">
        <v>8503</v>
      </c>
      <c r="C2180" s="31" t="s">
        <v>418</v>
      </c>
      <c r="D2180" s="31" t="s">
        <v>1183</v>
      </c>
      <c r="E2180" s="31" t="s">
        <v>8504</v>
      </c>
      <c r="F2180" s="31">
        <v>79</v>
      </c>
      <c r="G2180" s="31">
        <v>153</v>
      </c>
      <c r="H2180" s="31">
        <v>10</v>
      </c>
      <c r="I2180" s="31">
        <v>24</v>
      </c>
      <c r="J2180" s="31" t="s">
        <v>8505</v>
      </c>
      <c r="K2180" s="31" t="s">
        <v>123</v>
      </c>
      <c r="L2180" s="31" t="s">
        <v>56</v>
      </c>
      <c r="M2180" s="31">
        <v>256</v>
      </c>
      <c r="N2180" s="31">
        <v>2017</v>
      </c>
      <c r="O2180" s="31">
        <v>117</v>
      </c>
      <c r="P2180" s="31"/>
      <c r="Q2180" s="31"/>
      <c r="R2180" s="33"/>
      <c r="S2180" s="34" t="str">
        <f>HYPERLINK("http://www.cnpol.ru/covers/17769.jpg","фото на сайте")</f>
        <v>фото на сайте</v>
      </c>
    </row>
    <row r="2181" spans="1:19" ht="50.1" customHeight="1">
      <c r="A2181" s="31"/>
      <c r="B2181" s="32" t="s">
        <v>8506</v>
      </c>
      <c r="C2181" s="31" t="s">
        <v>1338</v>
      </c>
      <c r="D2181" s="31" t="s">
        <v>2090</v>
      </c>
      <c r="E2181" s="31" t="s">
        <v>8507</v>
      </c>
      <c r="F2181" s="31" t="s">
        <v>31</v>
      </c>
      <c r="G2181" s="31">
        <v>154</v>
      </c>
      <c r="H2181" s="31">
        <v>10</v>
      </c>
      <c r="I2181" s="31">
        <v>16</v>
      </c>
      <c r="J2181" s="31" t="s">
        <v>8508</v>
      </c>
      <c r="K2181" s="31" t="s">
        <v>55</v>
      </c>
      <c r="L2181" s="31" t="s">
        <v>56</v>
      </c>
      <c r="M2181" s="31">
        <v>380</v>
      </c>
      <c r="N2181" s="31">
        <v>2010</v>
      </c>
      <c r="O2181" s="31">
        <v>160</v>
      </c>
      <c r="P2181" s="31"/>
      <c r="Q2181" s="31"/>
      <c r="R2181" s="33"/>
      <c r="S2181" s="34" t="str">
        <f>HYPERLINK("http://www.cnpol.ru/covers/11905.jpg","фото на сайте")</f>
        <v>фото на сайте</v>
      </c>
    </row>
    <row r="2182" spans="1:19" ht="50.1" customHeight="1">
      <c r="A2182" s="31"/>
      <c r="B2182" s="32" t="s">
        <v>8509</v>
      </c>
      <c r="C2182" s="31" t="s">
        <v>390</v>
      </c>
      <c r="D2182" s="31" t="s">
        <v>1581</v>
      </c>
      <c r="E2182" s="31" t="s">
        <v>8510</v>
      </c>
      <c r="F2182" s="31">
        <v>858</v>
      </c>
      <c r="G2182" s="31">
        <v>86</v>
      </c>
      <c r="H2182" s="31">
        <v>10</v>
      </c>
      <c r="I2182" s="31">
        <v>30</v>
      </c>
      <c r="J2182" s="31" t="s">
        <v>8511</v>
      </c>
      <c r="K2182" s="31" t="s">
        <v>123</v>
      </c>
      <c r="L2182" s="31" t="s">
        <v>56</v>
      </c>
      <c r="M2182" s="31">
        <v>160</v>
      </c>
      <c r="N2182" s="31">
        <v>2018</v>
      </c>
      <c r="O2182" s="31">
        <v>76</v>
      </c>
      <c r="P2182" s="31"/>
      <c r="Q2182" s="31"/>
      <c r="R2182" s="33"/>
      <c r="S2182" s="34" t="str">
        <f>HYPERLINK("http://www.cnpol.ru/covers/18438.jpg","фото на сайте")</f>
        <v>фото на сайте</v>
      </c>
    </row>
    <row r="2183" spans="1:19" ht="50.1" customHeight="1">
      <c r="A2183" s="31"/>
      <c r="B2183" s="32" t="s">
        <v>8512</v>
      </c>
      <c r="C2183" s="31" t="s">
        <v>390</v>
      </c>
      <c r="D2183" s="31" t="s">
        <v>5684</v>
      </c>
      <c r="E2183" s="31" t="s">
        <v>8513</v>
      </c>
      <c r="F2183" s="31">
        <v>1152</v>
      </c>
      <c r="G2183" s="31">
        <v>86</v>
      </c>
      <c r="H2183" s="31">
        <v>10</v>
      </c>
      <c r="I2183" s="31">
        <v>30</v>
      </c>
      <c r="J2183" s="31" t="s">
        <v>8514</v>
      </c>
      <c r="K2183" s="31" t="s">
        <v>123</v>
      </c>
      <c r="L2183" s="31" t="s">
        <v>56</v>
      </c>
      <c r="M2183" s="31">
        <v>159</v>
      </c>
      <c r="N2183" s="31">
        <v>2023</v>
      </c>
      <c r="O2183" s="31">
        <v>76</v>
      </c>
      <c r="P2183" s="31"/>
      <c r="Q2183" s="31"/>
      <c r="R2183" s="33" t="s">
        <v>8515</v>
      </c>
      <c r="S2183" s="34" t="str">
        <f>HYPERLINK("http://www.cnpol.ru/covers/20821.jpg","фото на сайте")</f>
        <v>фото на сайте</v>
      </c>
    </row>
    <row r="2184" spans="1:19" ht="50.1" customHeight="1">
      <c r="A2184" s="31"/>
      <c r="B2184" s="32" t="s">
        <v>8516</v>
      </c>
      <c r="C2184" s="31" t="s">
        <v>418</v>
      </c>
      <c r="D2184" s="31" t="s">
        <v>8517</v>
      </c>
      <c r="E2184" s="31" t="s">
        <v>8518</v>
      </c>
      <c r="F2184" s="31">
        <v>105</v>
      </c>
      <c r="G2184" s="31">
        <v>153</v>
      </c>
      <c r="H2184" s="31">
        <v>10</v>
      </c>
      <c r="I2184" s="31">
        <v>24</v>
      </c>
      <c r="J2184" s="31" t="s">
        <v>8519</v>
      </c>
      <c r="K2184" s="31" t="s">
        <v>123</v>
      </c>
      <c r="L2184" s="31" t="s">
        <v>56</v>
      </c>
      <c r="M2184" s="31">
        <v>256</v>
      </c>
      <c r="N2184" s="31">
        <v>2019</v>
      </c>
      <c r="O2184" s="31">
        <v>116</v>
      </c>
      <c r="P2184" s="31"/>
      <c r="Q2184" s="31"/>
      <c r="R2184" s="33"/>
      <c r="S2184" s="34" t="str">
        <f>HYPERLINK("http://www.cnpol.ru/covers/18975.jpg","фото на сайте")</f>
        <v>фото на сайте</v>
      </c>
    </row>
    <row r="2185" spans="1:19" ht="50.1" customHeight="1">
      <c r="A2185" s="31" t="s">
        <v>35</v>
      </c>
      <c r="B2185" s="32" t="s">
        <v>8520</v>
      </c>
      <c r="C2185" s="31" t="s">
        <v>45</v>
      </c>
      <c r="D2185" s="31" t="s">
        <v>5151</v>
      </c>
      <c r="E2185" s="31" t="s">
        <v>8521</v>
      </c>
      <c r="F2185" s="31" t="s">
        <v>31</v>
      </c>
      <c r="G2185" s="35">
        <v>1290</v>
      </c>
      <c r="H2185" s="31">
        <v>10</v>
      </c>
      <c r="I2185" s="31">
        <v>5</v>
      </c>
      <c r="J2185" s="31" t="s">
        <v>8522</v>
      </c>
      <c r="K2185" s="31" t="s">
        <v>33</v>
      </c>
      <c r="L2185" s="31" t="s">
        <v>34</v>
      </c>
      <c r="M2185" s="31">
        <v>510</v>
      </c>
      <c r="N2185" s="31">
        <v>2025</v>
      </c>
      <c r="O2185" s="31">
        <v>533</v>
      </c>
      <c r="P2185" s="31"/>
      <c r="Q2185" s="31"/>
      <c r="R2185" s="33" t="s">
        <v>8523</v>
      </c>
      <c r="S2185" s="34" t="str">
        <f>HYPERLINK("http://www.cnpol.ru/covers/21775.jpg","фото на сайте")</f>
        <v>фото на сайте</v>
      </c>
    </row>
    <row r="2186" spans="1:19" ht="50.1" customHeight="1">
      <c r="A2186" s="31"/>
      <c r="B2186" s="32" t="s">
        <v>8524</v>
      </c>
      <c r="C2186" s="31" t="s">
        <v>390</v>
      </c>
      <c r="D2186" s="31" t="s">
        <v>8525</v>
      </c>
      <c r="E2186" s="31" t="s">
        <v>8526</v>
      </c>
      <c r="F2186" s="31">
        <v>1023</v>
      </c>
      <c r="G2186" s="31">
        <v>86</v>
      </c>
      <c r="H2186" s="31">
        <v>10</v>
      </c>
      <c r="I2186" s="31">
        <v>30</v>
      </c>
      <c r="J2186" s="31" t="s">
        <v>8527</v>
      </c>
      <c r="K2186" s="31" t="s">
        <v>123</v>
      </c>
      <c r="L2186" s="31" t="s">
        <v>56</v>
      </c>
      <c r="M2186" s="31">
        <v>160</v>
      </c>
      <c r="N2186" s="31">
        <v>2021</v>
      </c>
      <c r="O2186" s="31">
        <v>76</v>
      </c>
      <c r="P2186" s="31"/>
      <c r="Q2186" s="31"/>
      <c r="R2186" s="33"/>
      <c r="S2186" s="34" t="str">
        <f>HYPERLINK("http://www.cnpol.ru/covers/19558.jpg","фото на сайте")</f>
        <v>фото на сайте</v>
      </c>
    </row>
    <row r="2187" spans="1:19" ht="50.1" customHeight="1">
      <c r="A2187" s="31"/>
      <c r="B2187" s="32" t="s">
        <v>8528</v>
      </c>
      <c r="C2187" s="31" t="s">
        <v>418</v>
      </c>
      <c r="D2187" s="31" t="s">
        <v>8517</v>
      </c>
      <c r="E2187" s="31" t="s">
        <v>8529</v>
      </c>
      <c r="F2187" s="31">
        <v>89</v>
      </c>
      <c r="G2187" s="31">
        <v>153</v>
      </c>
      <c r="H2187" s="31">
        <v>10</v>
      </c>
      <c r="I2187" s="31">
        <v>24</v>
      </c>
      <c r="J2187" s="31" t="s">
        <v>8530</v>
      </c>
      <c r="K2187" s="31" t="s">
        <v>123</v>
      </c>
      <c r="L2187" s="31" t="s">
        <v>56</v>
      </c>
      <c r="M2187" s="31">
        <v>254</v>
      </c>
      <c r="N2187" s="31">
        <v>2018</v>
      </c>
      <c r="O2187" s="31">
        <v>120</v>
      </c>
      <c r="P2187" s="31"/>
      <c r="Q2187" s="31"/>
      <c r="R2187" s="33"/>
      <c r="S2187" s="34" t="str">
        <f>HYPERLINK("http://www.cnpol.ru/covers/18198.jpg","фото на сайте")</f>
        <v>фото на сайте</v>
      </c>
    </row>
    <row r="2188" spans="1:19" ht="50.1" customHeight="1">
      <c r="A2188" s="31"/>
      <c r="B2188" s="32" t="s">
        <v>8531</v>
      </c>
      <c r="C2188" s="31" t="s">
        <v>390</v>
      </c>
      <c r="D2188" s="31" t="s">
        <v>4953</v>
      </c>
      <c r="E2188" s="31" t="s">
        <v>8532</v>
      </c>
      <c r="F2188" s="31">
        <v>995</v>
      </c>
      <c r="G2188" s="31">
        <v>86</v>
      </c>
      <c r="H2188" s="31">
        <v>10</v>
      </c>
      <c r="I2188" s="31">
        <v>30</v>
      </c>
      <c r="J2188" s="31" t="s">
        <v>8533</v>
      </c>
      <c r="K2188" s="31" t="s">
        <v>123</v>
      </c>
      <c r="L2188" s="31" t="s">
        <v>56</v>
      </c>
      <c r="M2188" s="31">
        <v>160</v>
      </c>
      <c r="N2188" s="31">
        <v>2020</v>
      </c>
      <c r="O2188" s="31">
        <v>76</v>
      </c>
      <c r="P2188" s="31"/>
      <c r="Q2188" s="31"/>
      <c r="R2188" s="33"/>
      <c r="S2188" s="34" t="str">
        <f>HYPERLINK("http://www.cnpol.ru/covers/19329.jpg","фото на сайте")</f>
        <v>фото на сайте</v>
      </c>
    </row>
    <row r="2189" spans="1:19" ht="50.1" customHeight="1">
      <c r="A2189" s="31"/>
      <c r="B2189" s="32" t="s">
        <v>8534</v>
      </c>
      <c r="C2189" s="31" t="s">
        <v>520</v>
      </c>
      <c r="D2189" s="31" t="s">
        <v>4006</v>
      </c>
      <c r="E2189" s="31" t="s">
        <v>8535</v>
      </c>
      <c r="F2189" s="31">
        <v>47</v>
      </c>
      <c r="G2189" s="31">
        <v>117</v>
      </c>
      <c r="H2189" s="31">
        <v>10</v>
      </c>
      <c r="I2189" s="31">
        <v>30</v>
      </c>
      <c r="J2189" s="31" t="s">
        <v>8536</v>
      </c>
      <c r="K2189" s="31" t="s">
        <v>123</v>
      </c>
      <c r="L2189" s="31" t="s">
        <v>56</v>
      </c>
      <c r="M2189" s="31">
        <v>192</v>
      </c>
      <c r="N2189" s="31">
        <v>2017</v>
      </c>
      <c r="O2189" s="31">
        <v>90</v>
      </c>
      <c r="P2189" s="31"/>
      <c r="Q2189" s="31"/>
      <c r="R2189" s="33"/>
      <c r="S2189" s="34" t="str">
        <f>HYPERLINK("http://www.cnpol.ru/covers/17567.jpg","фото на сайте")</f>
        <v>фото на сайте</v>
      </c>
    </row>
    <row r="2190" spans="1:19" ht="50.1" customHeight="1">
      <c r="A2190" s="31"/>
      <c r="B2190" s="32" t="s">
        <v>8537</v>
      </c>
      <c r="C2190" s="31" t="s">
        <v>390</v>
      </c>
      <c r="D2190" s="31" t="s">
        <v>1599</v>
      </c>
      <c r="E2190" s="31" t="s">
        <v>8538</v>
      </c>
      <c r="F2190" s="31">
        <v>564</v>
      </c>
      <c r="G2190" s="31">
        <v>86</v>
      </c>
      <c r="H2190" s="31">
        <v>10</v>
      </c>
      <c r="I2190" s="31">
        <v>30</v>
      </c>
      <c r="J2190" s="31" t="s">
        <v>8539</v>
      </c>
      <c r="K2190" s="31" t="s">
        <v>123</v>
      </c>
      <c r="L2190" s="31" t="s">
        <v>56</v>
      </c>
      <c r="M2190" s="31">
        <v>158</v>
      </c>
      <c r="N2190" s="31">
        <v>2015</v>
      </c>
      <c r="O2190" s="31">
        <v>76</v>
      </c>
      <c r="P2190" s="31"/>
      <c r="Q2190" s="31"/>
      <c r="R2190" s="33"/>
      <c r="S2190" s="34" t="str">
        <f>HYPERLINK("http://www.cnpol.ru/covers/16347.jpg","фото на сайте")</f>
        <v>фото на сайте</v>
      </c>
    </row>
    <row r="2191" spans="1:19" ht="50.1" customHeight="1">
      <c r="A2191" s="31"/>
      <c r="B2191" s="32" t="s">
        <v>8540</v>
      </c>
      <c r="C2191" s="31" t="s">
        <v>418</v>
      </c>
      <c r="D2191" s="31" t="s">
        <v>3894</v>
      </c>
      <c r="E2191" s="31" t="s">
        <v>8541</v>
      </c>
      <c r="F2191" s="31">
        <v>81</v>
      </c>
      <c r="G2191" s="31">
        <v>153</v>
      </c>
      <c r="H2191" s="31">
        <v>10</v>
      </c>
      <c r="I2191" s="31">
        <v>24</v>
      </c>
      <c r="J2191" s="31" t="s">
        <v>8542</v>
      </c>
      <c r="K2191" s="31" t="s">
        <v>123</v>
      </c>
      <c r="L2191" s="31" t="s">
        <v>56</v>
      </c>
      <c r="M2191" s="31">
        <v>256</v>
      </c>
      <c r="N2191" s="31">
        <v>2017</v>
      </c>
      <c r="O2191" s="31">
        <v>117</v>
      </c>
      <c r="P2191" s="31"/>
      <c r="Q2191" s="31"/>
      <c r="R2191" s="33"/>
      <c r="S2191" s="34" t="str">
        <f>HYPERLINK("http://www.cnpol.ru/covers/17821.jpg","фото на сайте")</f>
        <v>фото на сайте</v>
      </c>
    </row>
    <row r="2192" spans="1:19" ht="50.1" customHeight="1">
      <c r="A2192" s="31"/>
      <c r="B2192" s="32" t="s">
        <v>8543</v>
      </c>
      <c r="C2192" s="31" t="s">
        <v>1594</v>
      </c>
      <c r="D2192" s="31" t="s">
        <v>8074</v>
      </c>
      <c r="E2192" s="31" t="s">
        <v>8544</v>
      </c>
      <c r="F2192" s="31" t="s">
        <v>31</v>
      </c>
      <c r="G2192" s="31">
        <v>169</v>
      </c>
      <c r="H2192" s="31">
        <v>10</v>
      </c>
      <c r="I2192" s="31">
        <v>40</v>
      </c>
      <c r="J2192" s="31" t="s">
        <v>8545</v>
      </c>
      <c r="K2192" s="31" t="s">
        <v>55</v>
      </c>
      <c r="L2192" s="31" t="s">
        <v>56</v>
      </c>
      <c r="M2192" s="31">
        <v>288</v>
      </c>
      <c r="N2192" s="31">
        <v>2019</v>
      </c>
      <c r="O2192" s="31">
        <v>122</v>
      </c>
      <c r="P2192" s="31"/>
      <c r="Q2192" s="31"/>
      <c r="R2192" s="33"/>
      <c r="S2192" s="34" t="str">
        <f>HYPERLINK("http://www.cnpol.ru/covers/18778.jpg","фото на сайте")</f>
        <v>фото на сайте</v>
      </c>
    </row>
    <row r="2193" spans="1:19" ht="50.1" customHeight="1">
      <c r="A2193" s="31"/>
      <c r="B2193" s="32" t="s">
        <v>8546</v>
      </c>
      <c r="C2193" s="31" t="s">
        <v>390</v>
      </c>
      <c r="D2193" s="31" t="s">
        <v>8547</v>
      </c>
      <c r="E2193" s="31" t="s">
        <v>8548</v>
      </c>
      <c r="F2193" s="31">
        <v>524</v>
      </c>
      <c r="G2193" s="31">
        <v>86</v>
      </c>
      <c r="H2193" s="31">
        <v>10</v>
      </c>
      <c r="I2193" s="31">
        <v>30</v>
      </c>
      <c r="J2193" s="31" t="s">
        <v>8549</v>
      </c>
      <c r="K2193" s="31" t="s">
        <v>123</v>
      </c>
      <c r="L2193" s="31" t="s">
        <v>56</v>
      </c>
      <c r="M2193" s="31">
        <v>158</v>
      </c>
      <c r="N2193" s="31">
        <v>2015</v>
      </c>
      <c r="O2193" s="31">
        <v>76</v>
      </c>
      <c r="P2193" s="31"/>
      <c r="Q2193" s="31"/>
      <c r="R2193" s="33"/>
      <c r="S2193" s="34" t="str">
        <f>HYPERLINK("http://www.cnpol.ru/covers/16050.jpg","фото на сайте")</f>
        <v>фото на сайте</v>
      </c>
    </row>
    <row r="2194" spans="1:19" ht="50.1" customHeight="1">
      <c r="A2194" s="31"/>
      <c r="B2194" s="32" t="s">
        <v>8550</v>
      </c>
      <c r="C2194" s="31" t="s">
        <v>143</v>
      </c>
      <c r="D2194" s="31" t="s">
        <v>1212</v>
      </c>
      <c r="E2194" s="31" t="s">
        <v>8551</v>
      </c>
      <c r="F2194" s="31" t="s">
        <v>31</v>
      </c>
      <c r="G2194" s="31">
        <v>801</v>
      </c>
      <c r="H2194" s="31">
        <v>10</v>
      </c>
      <c r="I2194" s="31">
        <v>10</v>
      </c>
      <c r="J2194" s="31" t="s">
        <v>8552</v>
      </c>
      <c r="K2194" s="31" t="s">
        <v>33</v>
      </c>
      <c r="L2194" s="31" t="s">
        <v>34</v>
      </c>
      <c r="M2194" s="31">
        <v>446</v>
      </c>
      <c r="N2194" s="31">
        <v>2022</v>
      </c>
      <c r="O2194" s="31">
        <v>464</v>
      </c>
      <c r="P2194" s="31"/>
      <c r="Q2194" s="31"/>
      <c r="R2194" s="33"/>
      <c r="S2194" s="34" t="str">
        <f>HYPERLINK("http://www.cnpol.ru/covers/20106.jpg","фото на сайте")</f>
        <v>фото на сайте</v>
      </c>
    </row>
    <row r="2195" spans="1:19" ht="50.1" customHeight="1">
      <c r="A2195" s="31"/>
      <c r="B2195" s="32" t="s">
        <v>8553</v>
      </c>
      <c r="C2195" s="31" t="s">
        <v>6139</v>
      </c>
      <c r="D2195" s="31" t="s">
        <v>8554</v>
      </c>
      <c r="E2195" s="31" t="s">
        <v>8555</v>
      </c>
      <c r="F2195" s="31" t="s">
        <v>31</v>
      </c>
      <c r="G2195" s="31">
        <v>88</v>
      </c>
      <c r="H2195" s="31">
        <v>10</v>
      </c>
      <c r="I2195" s="31">
        <v>40</v>
      </c>
      <c r="J2195" s="31" t="s">
        <v>8556</v>
      </c>
      <c r="K2195" s="31" t="s">
        <v>123</v>
      </c>
      <c r="L2195" s="31" t="s">
        <v>56</v>
      </c>
      <c r="M2195" s="31">
        <v>160</v>
      </c>
      <c r="N2195" s="31">
        <v>2009</v>
      </c>
      <c r="O2195" s="31">
        <v>80</v>
      </c>
      <c r="P2195" s="31"/>
      <c r="Q2195" s="31"/>
      <c r="R2195" s="33"/>
      <c r="S2195" s="34" t="str">
        <f>HYPERLINK("http://www.cnpol.ru/covers/11506.jpg","фото на сайте")</f>
        <v>фото на сайте</v>
      </c>
    </row>
    <row r="2196" spans="1:19" ht="50.1" customHeight="1">
      <c r="A2196" s="31"/>
      <c r="B2196" s="32" t="s">
        <v>8557</v>
      </c>
      <c r="C2196" s="31" t="s">
        <v>143</v>
      </c>
      <c r="D2196" s="31" t="s">
        <v>1212</v>
      </c>
      <c r="E2196" s="31" t="s">
        <v>8558</v>
      </c>
      <c r="F2196" s="31" t="s">
        <v>31</v>
      </c>
      <c r="G2196" s="31">
        <v>801</v>
      </c>
      <c r="H2196" s="31">
        <v>10</v>
      </c>
      <c r="I2196" s="31">
        <v>8</v>
      </c>
      <c r="J2196" s="31" t="s">
        <v>8559</v>
      </c>
      <c r="K2196" s="31" t="s">
        <v>33</v>
      </c>
      <c r="L2196" s="31" t="s">
        <v>34</v>
      </c>
      <c r="M2196" s="31">
        <v>446</v>
      </c>
      <c r="N2196" s="31">
        <v>2021</v>
      </c>
      <c r="O2196" s="31">
        <v>464</v>
      </c>
      <c r="P2196" s="31"/>
      <c r="Q2196" s="31"/>
      <c r="R2196" s="33"/>
      <c r="S2196" s="34" t="str">
        <f>HYPERLINK("http://www.cnpol.ru/covers/20036.jpg","фото на сайте")</f>
        <v>фото на сайте</v>
      </c>
    </row>
    <row r="2197" spans="1:19" ht="50.1" customHeight="1">
      <c r="A2197" s="31"/>
      <c r="B2197" s="32" t="s">
        <v>8560</v>
      </c>
      <c r="C2197" s="31" t="s">
        <v>413</v>
      </c>
      <c r="D2197" s="31" t="s">
        <v>3817</v>
      </c>
      <c r="E2197" s="31" t="s">
        <v>8561</v>
      </c>
      <c r="F2197" s="31">
        <v>77</v>
      </c>
      <c r="G2197" s="31">
        <v>117</v>
      </c>
      <c r="H2197" s="31">
        <v>10</v>
      </c>
      <c r="I2197" s="31">
        <v>36</v>
      </c>
      <c r="J2197" s="31" t="s">
        <v>8562</v>
      </c>
      <c r="K2197" s="31" t="s">
        <v>123</v>
      </c>
      <c r="L2197" s="31" t="s">
        <v>56</v>
      </c>
      <c r="M2197" s="31">
        <v>189</v>
      </c>
      <c r="N2197" s="31">
        <v>2015</v>
      </c>
      <c r="O2197" s="31">
        <v>90</v>
      </c>
      <c r="P2197" s="31"/>
      <c r="Q2197" s="31"/>
      <c r="R2197" s="33"/>
      <c r="S2197" s="34" t="str">
        <f>HYPERLINK("http://www.cnpol.ru/covers/16294.jpg","фото на сайте")</f>
        <v>фото на сайте</v>
      </c>
    </row>
    <row r="2198" spans="1:19" ht="50.1" customHeight="1">
      <c r="A2198" s="31"/>
      <c r="B2198" s="32" t="s">
        <v>8563</v>
      </c>
      <c r="C2198" s="31" t="s">
        <v>390</v>
      </c>
      <c r="D2198" s="31" t="s">
        <v>1347</v>
      </c>
      <c r="E2198" s="31" t="s">
        <v>8564</v>
      </c>
      <c r="F2198" s="31">
        <v>1016</v>
      </c>
      <c r="G2198" s="31">
        <v>86</v>
      </c>
      <c r="H2198" s="31">
        <v>10</v>
      </c>
      <c r="I2198" s="31">
        <v>30</v>
      </c>
      <c r="J2198" s="31" t="s">
        <v>8565</v>
      </c>
      <c r="K2198" s="31" t="s">
        <v>123</v>
      </c>
      <c r="L2198" s="31" t="s">
        <v>56</v>
      </c>
      <c r="M2198" s="31">
        <v>160</v>
      </c>
      <c r="N2198" s="31">
        <v>2021</v>
      </c>
      <c r="O2198" s="31">
        <v>76</v>
      </c>
      <c r="P2198" s="31"/>
      <c r="Q2198" s="31"/>
      <c r="R2198" s="33"/>
      <c r="S2198" s="34" t="str">
        <f>HYPERLINK("http://www.cnpol.ru/covers/19506.jpg","фото на сайте")</f>
        <v>фото на сайте</v>
      </c>
    </row>
    <row r="2199" spans="1:19" ht="50.1" customHeight="1">
      <c r="A2199" s="31"/>
      <c r="B2199" s="32" t="s">
        <v>8566</v>
      </c>
      <c r="C2199" s="31" t="s">
        <v>413</v>
      </c>
      <c r="D2199" s="31" t="s">
        <v>1461</v>
      </c>
      <c r="E2199" s="31" t="s">
        <v>8564</v>
      </c>
      <c r="F2199" s="31">
        <v>176</v>
      </c>
      <c r="G2199" s="31">
        <v>117</v>
      </c>
      <c r="H2199" s="31">
        <v>10</v>
      </c>
      <c r="I2199" s="31">
        <v>30</v>
      </c>
      <c r="J2199" s="31" t="s">
        <v>8567</v>
      </c>
      <c r="K2199" s="31" t="s">
        <v>123</v>
      </c>
      <c r="L2199" s="31" t="s">
        <v>56</v>
      </c>
      <c r="M2199" s="31">
        <v>192</v>
      </c>
      <c r="N2199" s="31">
        <v>2020</v>
      </c>
      <c r="O2199" s="31">
        <v>90</v>
      </c>
      <c r="P2199" s="31"/>
      <c r="Q2199" s="31"/>
      <c r="R2199" s="33"/>
      <c r="S2199" s="34" t="str">
        <f>HYPERLINK("http://www.cnpol.ru/covers/19242.jpg","фото на сайте")</f>
        <v>фото на сайте</v>
      </c>
    </row>
    <row r="2200" spans="1:19" ht="50.1" customHeight="1">
      <c r="A2200" s="31"/>
      <c r="B2200" s="32" t="s">
        <v>8568</v>
      </c>
      <c r="C2200" s="31" t="s">
        <v>413</v>
      </c>
      <c r="D2200" s="31" t="s">
        <v>1698</v>
      </c>
      <c r="E2200" s="31" t="s">
        <v>8569</v>
      </c>
      <c r="F2200" s="31">
        <v>117</v>
      </c>
      <c r="G2200" s="31">
        <v>117</v>
      </c>
      <c r="H2200" s="31">
        <v>10</v>
      </c>
      <c r="I2200" s="31">
        <v>36</v>
      </c>
      <c r="J2200" s="31" t="s">
        <v>8570</v>
      </c>
      <c r="K2200" s="31" t="s">
        <v>123</v>
      </c>
      <c r="L2200" s="31" t="s">
        <v>56</v>
      </c>
      <c r="M2200" s="31">
        <v>192</v>
      </c>
      <c r="N2200" s="31">
        <v>2016</v>
      </c>
      <c r="O2200" s="31">
        <v>90</v>
      </c>
      <c r="P2200" s="31"/>
      <c r="Q2200" s="31"/>
      <c r="R2200" s="33"/>
      <c r="S2200" s="34" t="str">
        <f>HYPERLINK("http://www.cnpol.ru/covers/16953.jpg","фото на сайте")</f>
        <v>фото на сайте</v>
      </c>
    </row>
    <row r="2201" spans="1:19" ht="50.1" customHeight="1">
      <c r="A2201" s="31"/>
      <c r="B2201" s="32" t="s">
        <v>8571</v>
      </c>
      <c r="C2201" s="31" t="s">
        <v>993</v>
      </c>
      <c r="D2201" s="31" t="s">
        <v>8572</v>
      </c>
      <c r="E2201" s="31" t="s">
        <v>8573</v>
      </c>
      <c r="F2201" s="31" t="s">
        <v>31</v>
      </c>
      <c r="G2201" s="31">
        <v>88</v>
      </c>
      <c r="H2201" s="31">
        <v>10</v>
      </c>
      <c r="I2201" s="31">
        <v>40</v>
      </c>
      <c r="J2201" s="31" t="s">
        <v>8574</v>
      </c>
      <c r="K2201" s="31" t="s">
        <v>123</v>
      </c>
      <c r="L2201" s="31" t="s">
        <v>56</v>
      </c>
      <c r="M2201" s="31">
        <v>127</v>
      </c>
      <c r="N2201" s="31">
        <v>2009</v>
      </c>
      <c r="O2201" s="31">
        <v>62</v>
      </c>
      <c r="P2201" s="31"/>
      <c r="Q2201" s="31"/>
      <c r="R2201" s="33"/>
      <c r="S2201" s="34" t="str">
        <f>HYPERLINK("http://www.cnpol.ru/covers/11639.jpg","фото на сайте")</f>
        <v>фото на сайте</v>
      </c>
    </row>
    <row r="2202" spans="1:19" ht="50.1" customHeight="1">
      <c r="A2202" s="31"/>
      <c r="B2202" s="32" t="s">
        <v>8575</v>
      </c>
      <c r="C2202" s="31" t="s">
        <v>413</v>
      </c>
      <c r="D2202" s="31" t="s">
        <v>859</v>
      </c>
      <c r="E2202" s="31" t="s">
        <v>8576</v>
      </c>
      <c r="F2202" s="31">
        <v>28</v>
      </c>
      <c r="G2202" s="31">
        <v>117</v>
      </c>
      <c r="H2202" s="31">
        <v>10</v>
      </c>
      <c r="I2202" s="31">
        <v>36</v>
      </c>
      <c r="J2202" s="31" t="s">
        <v>8577</v>
      </c>
      <c r="K2202" s="31" t="s">
        <v>123</v>
      </c>
      <c r="L2202" s="31" t="s">
        <v>56</v>
      </c>
      <c r="M2202" s="31">
        <v>190</v>
      </c>
      <c r="N2202" s="31">
        <v>2014</v>
      </c>
      <c r="O2202" s="31">
        <v>90</v>
      </c>
      <c r="P2202" s="31"/>
      <c r="Q2202" s="31"/>
      <c r="R2202" s="33"/>
      <c r="S2202" s="34" t="str">
        <f>HYPERLINK("http://www.cnpol.ru/covers/15549.jpg","фото на сайте")</f>
        <v>фото на сайте</v>
      </c>
    </row>
    <row r="2203" spans="1:19" ht="50.1" customHeight="1">
      <c r="A2203" s="31"/>
      <c r="B2203" s="32" t="s">
        <v>8578</v>
      </c>
      <c r="C2203" s="31" t="s">
        <v>390</v>
      </c>
      <c r="D2203" s="31" t="s">
        <v>765</v>
      </c>
      <c r="E2203" s="31" t="s">
        <v>8579</v>
      </c>
      <c r="F2203" s="31">
        <v>1119</v>
      </c>
      <c r="G2203" s="31">
        <v>86</v>
      </c>
      <c r="H2203" s="31">
        <v>10</v>
      </c>
      <c r="I2203" s="31">
        <v>30</v>
      </c>
      <c r="J2203" s="31" t="s">
        <v>8580</v>
      </c>
      <c r="K2203" s="31" t="s">
        <v>123</v>
      </c>
      <c r="L2203" s="31" t="s">
        <v>56</v>
      </c>
      <c r="M2203" s="31">
        <v>159</v>
      </c>
      <c r="N2203" s="31">
        <v>2022</v>
      </c>
      <c r="O2203" s="31">
        <v>76</v>
      </c>
      <c r="P2203" s="31"/>
      <c r="Q2203" s="31"/>
      <c r="R2203" s="33" t="s">
        <v>8581</v>
      </c>
      <c r="S2203" s="34" t="str">
        <f>HYPERLINK("http://www.cnpol.ru/covers/20463.jpg","фото на сайте")</f>
        <v>фото на сайте</v>
      </c>
    </row>
    <row r="2204" spans="1:19" ht="50.1" customHeight="1">
      <c r="A2204" s="31"/>
      <c r="B2204" s="32" t="s">
        <v>8582</v>
      </c>
      <c r="C2204" s="31" t="s">
        <v>390</v>
      </c>
      <c r="D2204" s="31" t="s">
        <v>1454</v>
      </c>
      <c r="E2204" s="31" t="s">
        <v>8583</v>
      </c>
      <c r="F2204" s="31">
        <v>400</v>
      </c>
      <c r="G2204" s="31">
        <v>86</v>
      </c>
      <c r="H2204" s="31">
        <v>10</v>
      </c>
      <c r="I2204" s="31">
        <v>30</v>
      </c>
      <c r="J2204" s="31" t="s">
        <v>8584</v>
      </c>
      <c r="K2204" s="31" t="s">
        <v>123</v>
      </c>
      <c r="L2204" s="31" t="s">
        <v>56</v>
      </c>
      <c r="M2204" s="31">
        <v>158</v>
      </c>
      <c r="N2204" s="31">
        <v>2014</v>
      </c>
      <c r="O2204" s="31">
        <v>76</v>
      </c>
      <c r="P2204" s="31"/>
      <c r="Q2204" s="31"/>
      <c r="R2204" s="33"/>
      <c r="S2204" s="34" t="str">
        <f>HYPERLINK("http://www.cnpol.ru/covers/15072.jpg","фото на сайте")</f>
        <v>фото на сайте</v>
      </c>
    </row>
    <row r="2205" spans="1:19" ht="50.1" customHeight="1">
      <c r="A2205" s="31"/>
      <c r="B2205" s="32" t="s">
        <v>8585</v>
      </c>
      <c r="C2205" s="31" t="s">
        <v>390</v>
      </c>
      <c r="D2205" s="31" t="s">
        <v>1431</v>
      </c>
      <c r="E2205" s="31" t="s">
        <v>8586</v>
      </c>
      <c r="F2205" s="31">
        <v>1137</v>
      </c>
      <c r="G2205" s="31">
        <v>86</v>
      </c>
      <c r="H2205" s="31">
        <v>10</v>
      </c>
      <c r="I2205" s="31">
        <v>30</v>
      </c>
      <c r="J2205" s="31" t="s">
        <v>8587</v>
      </c>
      <c r="K2205" s="31" t="s">
        <v>123</v>
      </c>
      <c r="L2205" s="31" t="s">
        <v>56</v>
      </c>
      <c r="M2205" s="31">
        <v>159</v>
      </c>
      <c r="N2205" s="31">
        <v>2023</v>
      </c>
      <c r="O2205" s="31">
        <v>76</v>
      </c>
      <c r="P2205" s="31"/>
      <c r="Q2205" s="31"/>
      <c r="R2205" s="33" t="s">
        <v>8588</v>
      </c>
      <c r="S2205" s="34" t="str">
        <f>HYPERLINK("http://www.cnpol.ru/covers/20631.jpg","фото на сайте")</f>
        <v>фото на сайте</v>
      </c>
    </row>
    <row r="2206" spans="1:19" ht="50.1" customHeight="1">
      <c r="A2206" s="31"/>
      <c r="B2206" s="32" t="s">
        <v>8589</v>
      </c>
      <c r="C2206" s="31" t="s">
        <v>390</v>
      </c>
      <c r="D2206" s="31" t="s">
        <v>761</v>
      </c>
      <c r="E2206" s="31" t="s">
        <v>8590</v>
      </c>
      <c r="F2206" s="31">
        <v>345</v>
      </c>
      <c r="G2206" s="31">
        <v>86</v>
      </c>
      <c r="H2206" s="31">
        <v>10</v>
      </c>
      <c r="I2206" s="31">
        <v>30</v>
      </c>
      <c r="J2206" s="31" t="s">
        <v>8591</v>
      </c>
      <c r="K2206" s="31" t="s">
        <v>123</v>
      </c>
      <c r="L2206" s="31" t="s">
        <v>56</v>
      </c>
      <c r="M2206" s="31">
        <v>158</v>
      </c>
      <c r="N2206" s="31">
        <v>2013</v>
      </c>
      <c r="O2206" s="31">
        <v>76</v>
      </c>
      <c r="P2206" s="31"/>
      <c r="Q2206" s="31"/>
      <c r="R2206" s="33"/>
      <c r="S2206" s="34" t="str">
        <f>HYPERLINK("http://www.cnpol.ru/covers/14534.jpg","фото на сайте")</f>
        <v>фото на сайте</v>
      </c>
    </row>
    <row r="2207" spans="1:19" ht="50.1" customHeight="1">
      <c r="A2207" s="31"/>
      <c r="B2207" s="32" t="s">
        <v>8592</v>
      </c>
      <c r="C2207" s="31" t="s">
        <v>413</v>
      </c>
      <c r="D2207" s="31" t="s">
        <v>8593</v>
      </c>
      <c r="E2207" s="31" t="s">
        <v>8594</v>
      </c>
      <c r="F2207" s="31">
        <v>47</v>
      </c>
      <c r="G2207" s="31">
        <v>117</v>
      </c>
      <c r="H2207" s="31">
        <v>10</v>
      </c>
      <c r="I2207" s="31">
        <v>36</v>
      </c>
      <c r="J2207" s="31" t="s">
        <v>8595</v>
      </c>
      <c r="K2207" s="31" t="s">
        <v>123</v>
      </c>
      <c r="L2207" s="31" t="s">
        <v>56</v>
      </c>
      <c r="M2207" s="31">
        <v>190</v>
      </c>
      <c r="N2207" s="31">
        <v>2015</v>
      </c>
      <c r="O2207" s="31">
        <v>92</v>
      </c>
      <c r="P2207" s="31"/>
      <c r="Q2207" s="31"/>
      <c r="R2207" s="33"/>
      <c r="S2207" s="34" t="str">
        <f>HYPERLINK("http://www.cnpol.ru/covers/15855.jpg","фото на сайте")</f>
        <v>фото на сайте</v>
      </c>
    </row>
    <row r="2208" spans="1:19" ht="50.1" customHeight="1">
      <c r="A2208" s="31"/>
      <c r="B2208" s="32" t="s">
        <v>8596</v>
      </c>
      <c r="C2208" s="31" t="s">
        <v>390</v>
      </c>
      <c r="D2208" s="31" t="s">
        <v>3798</v>
      </c>
      <c r="E2208" s="31" t="s">
        <v>8597</v>
      </c>
      <c r="F2208" s="31">
        <v>536</v>
      </c>
      <c r="G2208" s="31">
        <v>86</v>
      </c>
      <c r="H2208" s="31">
        <v>10</v>
      </c>
      <c r="I2208" s="31">
        <v>30</v>
      </c>
      <c r="J2208" s="31" t="s">
        <v>8598</v>
      </c>
      <c r="K2208" s="31" t="s">
        <v>123</v>
      </c>
      <c r="L2208" s="31" t="s">
        <v>56</v>
      </c>
      <c r="M2208" s="31">
        <v>158</v>
      </c>
      <c r="N2208" s="31">
        <v>2015</v>
      </c>
      <c r="O2208" s="31">
        <v>76</v>
      </c>
      <c r="P2208" s="31"/>
      <c r="Q2208" s="31"/>
      <c r="R2208" s="33"/>
      <c r="S2208" s="34" t="str">
        <f>HYPERLINK("http://www.cnpol.ru/covers/16140.jpg","фото на сайте")</f>
        <v>фото на сайте</v>
      </c>
    </row>
    <row r="2209" spans="1:19" ht="50.1" customHeight="1">
      <c r="A2209" s="31"/>
      <c r="B2209" s="32" t="s">
        <v>8599</v>
      </c>
      <c r="C2209" s="31" t="s">
        <v>423</v>
      </c>
      <c r="D2209" s="31" t="s">
        <v>8600</v>
      </c>
      <c r="E2209" s="31" t="s">
        <v>8601</v>
      </c>
      <c r="F2209" s="31" t="s">
        <v>31</v>
      </c>
      <c r="G2209" s="31">
        <v>154</v>
      </c>
      <c r="H2209" s="31">
        <v>10</v>
      </c>
      <c r="I2209" s="31">
        <v>24</v>
      </c>
      <c r="J2209" s="31" t="s">
        <v>8602</v>
      </c>
      <c r="K2209" s="31" t="s">
        <v>55</v>
      </c>
      <c r="L2209" s="31" t="s">
        <v>56</v>
      </c>
      <c r="M2209" s="31">
        <v>254</v>
      </c>
      <c r="N2209" s="31">
        <v>2008</v>
      </c>
      <c r="O2209" s="31">
        <v>102</v>
      </c>
      <c r="P2209" s="31"/>
      <c r="Q2209" s="31"/>
      <c r="R2209" s="33"/>
      <c r="S2209" s="34" t="str">
        <f>HYPERLINK("http://www.cnpol.ru/covers/10790.jpg","фото на сайте")</f>
        <v>фото на сайте</v>
      </c>
    </row>
    <row r="2210" spans="1:19" ht="50.1" customHeight="1">
      <c r="A2210" s="31"/>
      <c r="B2210" s="32" t="s">
        <v>8603</v>
      </c>
      <c r="C2210" s="31" t="s">
        <v>390</v>
      </c>
      <c r="D2210" s="31" t="s">
        <v>4130</v>
      </c>
      <c r="E2210" s="31" t="s">
        <v>8604</v>
      </c>
      <c r="F2210" s="31">
        <v>638</v>
      </c>
      <c r="G2210" s="31">
        <v>86</v>
      </c>
      <c r="H2210" s="31">
        <v>10</v>
      </c>
      <c r="I2210" s="31">
        <v>30</v>
      </c>
      <c r="J2210" s="31" t="s">
        <v>8605</v>
      </c>
      <c r="K2210" s="31" t="s">
        <v>123</v>
      </c>
      <c r="L2210" s="31" t="s">
        <v>56</v>
      </c>
      <c r="M2210" s="31">
        <v>160</v>
      </c>
      <c r="N2210" s="31">
        <v>2016</v>
      </c>
      <c r="O2210" s="31">
        <v>76</v>
      </c>
      <c r="P2210" s="31"/>
      <c r="Q2210" s="31"/>
      <c r="R2210" s="33"/>
      <c r="S2210" s="34" t="str">
        <f>HYPERLINK("http://www.cnpol.ru/covers/16918.jpg","фото на сайте")</f>
        <v>фото на сайте</v>
      </c>
    </row>
    <row r="2211" spans="1:19" ht="50.1" customHeight="1">
      <c r="A2211" s="31"/>
      <c r="B2211" s="32" t="s">
        <v>8606</v>
      </c>
      <c r="C2211" s="31" t="s">
        <v>576</v>
      </c>
      <c r="D2211" s="31" t="s">
        <v>577</v>
      </c>
      <c r="E2211" s="31" t="s">
        <v>8607</v>
      </c>
      <c r="F2211" s="31" t="s">
        <v>31</v>
      </c>
      <c r="G2211" s="31">
        <v>226</v>
      </c>
      <c r="H2211" s="31">
        <v>10</v>
      </c>
      <c r="I2211" s="31">
        <v>20</v>
      </c>
      <c r="J2211" s="31" t="s">
        <v>8608</v>
      </c>
      <c r="K2211" s="31" t="s">
        <v>123</v>
      </c>
      <c r="L2211" s="31" t="s">
        <v>56</v>
      </c>
      <c r="M2211" s="31">
        <v>320</v>
      </c>
      <c r="N2211" s="31">
        <v>2018</v>
      </c>
      <c r="O2211" s="31">
        <v>150</v>
      </c>
      <c r="P2211" s="31"/>
      <c r="Q2211" s="31"/>
      <c r="R2211" s="33"/>
      <c r="S2211" s="34" t="str">
        <f>HYPERLINK("http://www.cnpol.ru/covers/18361.jpg","фото на сайте")</f>
        <v>фото на сайте</v>
      </c>
    </row>
    <row r="2212" spans="1:19" ht="50.1" customHeight="1">
      <c r="A2212" s="31" t="s">
        <v>43</v>
      </c>
      <c r="B2212" s="32" t="s">
        <v>8609</v>
      </c>
      <c r="C2212" s="31" t="s">
        <v>390</v>
      </c>
      <c r="D2212" s="31" t="s">
        <v>8610</v>
      </c>
      <c r="E2212" s="31" t="s">
        <v>8611</v>
      </c>
      <c r="F2212" s="31">
        <v>1173</v>
      </c>
      <c r="G2212" s="31">
        <v>86</v>
      </c>
      <c r="H2212" s="31">
        <v>10</v>
      </c>
      <c r="I2212" s="31">
        <v>30</v>
      </c>
      <c r="J2212" s="31" t="s">
        <v>8612</v>
      </c>
      <c r="K2212" s="31" t="s">
        <v>123</v>
      </c>
      <c r="L2212" s="31" t="s">
        <v>56</v>
      </c>
      <c r="M2212" s="31">
        <v>159</v>
      </c>
      <c r="N2212" s="31">
        <v>2024</v>
      </c>
      <c r="O2212" s="31">
        <v>76</v>
      </c>
      <c r="P2212" s="31"/>
      <c r="Q2212" s="31"/>
      <c r="R2212" s="33" t="s">
        <v>8613</v>
      </c>
      <c r="S2212" s="34" t="str">
        <f>HYPERLINK("http://www.cnpol.ru/covers/21099.jpg","фото на сайте")</f>
        <v>фото на сайте</v>
      </c>
    </row>
    <row r="2213" spans="1:19" ht="50.1" customHeight="1">
      <c r="A2213" s="31"/>
      <c r="B2213" s="32" t="s">
        <v>8614</v>
      </c>
      <c r="C2213" s="31" t="s">
        <v>520</v>
      </c>
      <c r="D2213" s="31" t="s">
        <v>559</v>
      </c>
      <c r="E2213" s="31" t="s">
        <v>8615</v>
      </c>
      <c r="F2213" s="31">
        <v>82</v>
      </c>
      <c r="G2213" s="31">
        <v>117</v>
      </c>
      <c r="H2213" s="31">
        <v>10</v>
      </c>
      <c r="I2213" s="31">
        <v>28</v>
      </c>
      <c r="J2213" s="31" t="s">
        <v>8616</v>
      </c>
      <c r="K2213" s="31" t="s">
        <v>123</v>
      </c>
      <c r="L2213" s="31" t="s">
        <v>56</v>
      </c>
      <c r="M2213" s="31">
        <v>192</v>
      </c>
      <c r="N2213" s="31">
        <v>2021</v>
      </c>
      <c r="O2213" s="31">
        <v>90</v>
      </c>
      <c r="P2213" s="31"/>
      <c r="Q2213" s="31"/>
      <c r="R2213" s="33"/>
      <c r="S2213" s="34" t="str">
        <f>HYPERLINK("http://www.cnpol.ru/covers/19561.jpg","фото на сайте")</f>
        <v>фото на сайте</v>
      </c>
    </row>
    <row r="2214" spans="1:19" ht="50.1" customHeight="1">
      <c r="A2214" s="31"/>
      <c r="B2214" s="32" t="s">
        <v>8617</v>
      </c>
      <c r="C2214" s="31" t="s">
        <v>546</v>
      </c>
      <c r="D2214" s="31" t="s">
        <v>989</v>
      </c>
      <c r="E2214" s="31" t="s">
        <v>8618</v>
      </c>
      <c r="F2214" s="31">
        <v>199</v>
      </c>
      <c r="G2214" s="31">
        <v>93</v>
      </c>
      <c r="H2214" s="31">
        <v>10</v>
      </c>
      <c r="I2214" s="31">
        <v>30</v>
      </c>
      <c r="J2214" s="31" t="s">
        <v>8619</v>
      </c>
      <c r="K2214" s="31" t="s">
        <v>123</v>
      </c>
      <c r="L2214" s="31" t="s">
        <v>56</v>
      </c>
      <c r="M2214" s="31">
        <v>160</v>
      </c>
      <c r="N2214" s="31">
        <v>2016</v>
      </c>
      <c r="O2214" s="31">
        <v>76</v>
      </c>
      <c r="P2214" s="31"/>
      <c r="Q2214" s="31"/>
      <c r="R2214" s="33"/>
      <c r="S2214" s="34" t="str">
        <f>HYPERLINK("http://www.cnpol.ru/covers/17202.jpg","фото на сайте")</f>
        <v>фото на сайте</v>
      </c>
    </row>
    <row r="2215" spans="1:19" ht="50.1" customHeight="1">
      <c r="A2215" s="31"/>
      <c r="B2215" s="32" t="s">
        <v>8620</v>
      </c>
      <c r="C2215" s="31" t="s">
        <v>546</v>
      </c>
      <c r="D2215" s="31" t="s">
        <v>547</v>
      </c>
      <c r="E2215" s="31" t="s">
        <v>8621</v>
      </c>
      <c r="F2215" s="31">
        <v>131</v>
      </c>
      <c r="G2215" s="31">
        <v>93</v>
      </c>
      <c r="H2215" s="31">
        <v>10</v>
      </c>
      <c r="I2215" s="31">
        <v>30</v>
      </c>
      <c r="J2215" s="31" t="s">
        <v>8622</v>
      </c>
      <c r="K2215" s="31" t="s">
        <v>123</v>
      </c>
      <c r="L2215" s="31" t="s">
        <v>56</v>
      </c>
      <c r="M2215" s="31">
        <v>158</v>
      </c>
      <c r="N2215" s="31">
        <v>2015</v>
      </c>
      <c r="O2215" s="31">
        <v>76</v>
      </c>
      <c r="P2215" s="31"/>
      <c r="Q2215" s="31"/>
      <c r="R2215" s="33"/>
      <c r="S2215" s="34" t="str">
        <f>HYPERLINK("http://www.cnpol.ru/covers/16158.jpg","фото на сайте")</f>
        <v>фото на сайте</v>
      </c>
    </row>
    <row r="2216" spans="1:19" ht="50.1" customHeight="1">
      <c r="A2216" s="31"/>
      <c r="B2216" s="32" t="s">
        <v>8623</v>
      </c>
      <c r="C2216" s="31" t="s">
        <v>390</v>
      </c>
      <c r="D2216" s="31" t="s">
        <v>2674</v>
      </c>
      <c r="E2216" s="31" t="s">
        <v>8624</v>
      </c>
      <c r="F2216" s="31">
        <v>702</v>
      </c>
      <c r="G2216" s="31">
        <v>86</v>
      </c>
      <c r="H2216" s="31">
        <v>10</v>
      </c>
      <c r="I2216" s="31">
        <v>30</v>
      </c>
      <c r="J2216" s="31" t="s">
        <v>8625</v>
      </c>
      <c r="K2216" s="31" t="s">
        <v>123</v>
      </c>
      <c r="L2216" s="31" t="s">
        <v>56</v>
      </c>
      <c r="M2216" s="31">
        <v>160</v>
      </c>
      <c r="N2216" s="31">
        <v>2017</v>
      </c>
      <c r="O2216" s="31">
        <v>76</v>
      </c>
      <c r="P2216" s="31"/>
      <c r="Q2216" s="31"/>
      <c r="R2216" s="33"/>
      <c r="S2216" s="34" t="str">
        <f>HYPERLINK("http://www.cnpol.ru/covers/17378.jpg","фото на сайте")</f>
        <v>фото на сайте</v>
      </c>
    </row>
    <row r="2217" spans="1:19" ht="50.1" customHeight="1">
      <c r="A2217" s="31"/>
      <c r="B2217" s="32" t="s">
        <v>8626</v>
      </c>
      <c r="C2217" s="31" t="s">
        <v>413</v>
      </c>
      <c r="D2217" s="31" t="s">
        <v>414</v>
      </c>
      <c r="E2217" s="31" t="s">
        <v>8627</v>
      </c>
      <c r="F2217" s="31">
        <v>177</v>
      </c>
      <c r="G2217" s="31">
        <v>117</v>
      </c>
      <c r="H2217" s="31">
        <v>10</v>
      </c>
      <c r="I2217" s="31">
        <v>30</v>
      </c>
      <c r="J2217" s="31" t="s">
        <v>8628</v>
      </c>
      <c r="K2217" s="31" t="s">
        <v>123</v>
      </c>
      <c r="L2217" s="31" t="s">
        <v>56</v>
      </c>
      <c r="M2217" s="31">
        <v>192</v>
      </c>
      <c r="N2217" s="31">
        <v>2020</v>
      </c>
      <c r="O2217" s="31">
        <v>90</v>
      </c>
      <c r="P2217" s="31"/>
      <c r="Q2217" s="31"/>
      <c r="R2217" s="33"/>
      <c r="S2217" s="34" t="str">
        <f>HYPERLINK("http://www.cnpol.ru/covers/19300.jpg","фото на сайте")</f>
        <v>фото на сайте</v>
      </c>
    </row>
    <row r="2218" spans="1:19" ht="50.1" customHeight="1">
      <c r="A2218" s="31"/>
      <c r="B2218" s="32" t="s">
        <v>8629</v>
      </c>
      <c r="C2218" s="31" t="s">
        <v>390</v>
      </c>
      <c r="D2218" s="31" t="s">
        <v>7550</v>
      </c>
      <c r="E2218" s="31" t="s">
        <v>8627</v>
      </c>
      <c r="F2218" s="31">
        <v>855</v>
      </c>
      <c r="G2218" s="31">
        <v>86</v>
      </c>
      <c r="H2218" s="31">
        <v>10</v>
      </c>
      <c r="I2218" s="31">
        <v>30</v>
      </c>
      <c r="J2218" s="31" t="s">
        <v>8630</v>
      </c>
      <c r="K2218" s="31" t="s">
        <v>123</v>
      </c>
      <c r="L2218" s="31" t="s">
        <v>56</v>
      </c>
      <c r="M2218" s="31">
        <v>160</v>
      </c>
      <c r="N2218" s="31">
        <v>2018</v>
      </c>
      <c r="O2218" s="31">
        <v>92</v>
      </c>
      <c r="P2218" s="31"/>
      <c r="Q2218" s="31"/>
      <c r="R2218" s="33"/>
      <c r="S2218" s="34" t="str">
        <f>HYPERLINK("http://www.cnpol.ru/covers/18414.jpg","фото на сайте")</f>
        <v>фото на сайте</v>
      </c>
    </row>
    <row r="2219" spans="1:19" ht="50.1" customHeight="1">
      <c r="A2219" s="31"/>
      <c r="B2219" s="32" t="s">
        <v>8631</v>
      </c>
      <c r="C2219" s="31" t="s">
        <v>546</v>
      </c>
      <c r="D2219" s="31" t="s">
        <v>3214</v>
      </c>
      <c r="E2219" s="31" t="s">
        <v>8632</v>
      </c>
      <c r="F2219" s="31">
        <v>384</v>
      </c>
      <c r="G2219" s="31">
        <v>93</v>
      </c>
      <c r="H2219" s="31">
        <v>10</v>
      </c>
      <c r="I2219" s="31">
        <v>30</v>
      </c>
      <c r="J2219" s="31" t="s">
        <v>8633</v>
      </c>
      <c r="K2219" s="31" t="s">
        <v>123</v>
      </c>
      <c r="L2219" s="31" t="s">
        <v>56</v>
      </c>
      <c r="M2219" s="31">
        <v>159</v>
      </c>
      <c r="N2219" s="31">
        <v>2021</v>
      </c>
      <c r="O2219" s="31">
        <v>76</v>
      </c>
      <c r="P2219" s="31"/>
      <c r="Q2219" s="31"/>
      <c r="R2219" s="33"/>
      <c r="S2219" s="34" t="str">
        <f>HYPERLINK("http://www.cnpol.ru/covers/19860.jpg","фото на сайте")</f>
        <v>фото на сайте</v>
      </c>
    </row>
    <row r="2220" spans="1:19" ht="50.1" customHeight="1">
      <c r="A2220" s="31"/>
      <c r="B2220" s="32" t="s">
        <v>8634</v>
      </c>
      <c r="C2220" s="31" t="s">
        <v>423</v>
      </c>
      <c r="D2220" s="31" t="s">
        <v>8635</v>
      </c>
      <c r="E2220" s="31" t="s">
        <v>8636</v>
      </c>
      <c r="F2220" s="31" t="s">
        <v>31</v>
      </c>
      <c r="G2220" s="31">
        <v>154</v>
      </c>
      <c r="H2220" s="31">
        <v>10</v>
      </c>
      <c r="I2220" s="31">
        <v>20</v>
      </c>
      <c r="J2220" s="31" t="s">
        <v>8637</v>
      </c>
      <c r="K2220" s="31" t="s">
        <v>55</v>
      </c>
      <c r="L2220" s="31" t="s">
        <v>56</v>
      </c>
      <c r="M2220" s="31">
        <v>317</v>
      </c>
      <c r="N2220" s="31">
        <v>2008</v>
      </c>
      <c r="O2220" s="31">
        <v>134</v>
      </c>
      <c r="P2220" s="31"/>
      <c r="Q2220" s="31"/>
      <c r="R2220" s="33"/>
      <c r="S2220" s="34" t="str">
        <f>HYPERLINK("http://www.cnpol.ru/covers/7501.jpg","фото на сайте")</f>
        <v>фото на сайте</v>
      </c>
    </row>
    <row r="2221" spans="1:19" ht="50.1" customHeight="1">
      <c r="A2221" s="31"/>
      <c r="B2221" s="32" t="s">
        <v>8638</v>
      </c>
      <c r="C2221" s="31" t="s">
        <v>1940</v>
      </c>
      <c r="D2221" s="31" t="s">
        <v>8639</v>
      </c>
      <c r="E2221" s="31" t="s">
        <v>8640</v>
      </c>
      <c r="F2221" s="31" t="s">
        <v>31</v>
      </c>
      <c r="G2221" s="31">
        <v>154</v>
      </c>
      <c r="H2221" s="31">
        <v>10</v>
      </c>
      <c r="I2221" s="31">
        <v>28</v>
      </c>
      <c r="J2221" s="31" t="s">
        <v>8641</v>
      </c>
      <c r="K2221" s="31" t="s">
        <v>55</v>
      </c>
      <c r="L2221" s="31" t="s">
        <v>56</v>
      </c>
      <c r="M2221" s="31">
        <v>285</v>
      </c>
      <c r="N2221" s="31">
        <v>2009</v>
      </c>
      <c r="O2221" s="31">
        <v>122</v>
      </c>
      <c r="P2221" s="31"/>
      <c r="Q2221" s="31"/>
      <c r="R2221" s="33"/>
      <c r="S2221" s="34" t="str">
        <f>HYPERLINK("http://www.cnpol.ru/covers/11155.jpg","фото на сайте")</f>
        <v>фото на сайте</v>
      </c>
    </row>
    <row r="2222" spans="1:19" ht="50.1" customHeight="1">
      <c r="A2222" s="31" t="s">
        <v>35</v>
      </c>
      <c r="B2222" s="32" t="s">
        <v>8642</v>
      </c>
      <c r="C2222" s="31" t="s">
        <v>503</v>
      </c>
      <c r="D2222" s="31" t="s">
        <v>504</v>
      </c>
      <c r="E2222" s="31" t="s">
        <v>8643</v>
      </c>
      <c r="F2222" s="31" t="s">
        <v>31</v>
      </c>
      <c r="G2222" s="35">
        <v>2126</v>
      </c>
      <c r="H2222" s="31">
        <v>10</v>
      </c>
      <c r="I2222" s="31">
        <v>6</v>
      </c>
      <c r="J2222" s="31" t="s">
        <v>8644</v>
      </c>
      <c r="K2222" s="31" t="s">
        <v>41</v>
      </c>
      <c r="L2222" s="31" t="s">
        <v>34</v>
      </c>
      <c r="M2222" s="31">
        <v>718</v>
      </c>
      <c r="N2222" s="31">
        <v>2024</v>
      </c>
      <c r="O2222" s="31">
        <v>887</v>
      </c>
      <c r="P2222" s="31"/>
      <c r="Q2222" s="31"/>
      <c r="R2222" s="33" t="s">
        <v>8645</v>
      </c>
      <c r="S2222" s="34" t="str">
        <f>HYPERLINK("http://www.cnpol.ru/covers/21194.jpg","фото на сайте")</f>
        <v>фото на сайте</v>
      </c>
    </row>
    <row r="2223" spans="1:19" ht="50.1" customHeight="1">
      <c r="A2223" s="31"/>
      <c r="B2223" s="32" t="s">
        <v>8646</v>
      </c>
      <c r="C2223" s="31" t="s">
        <v>302</v>
      </c>
      <c r="D2223" s="31" t="s">
        <v>8647</v>
      </c>
      <c r="E2223" s="31" t="s">
        <v>8648</v>
      </c>
      <c r="F2223" s="31" t="s">
        <v>31</v>
      </c>
      <c r="G2223" s="31">
        <v>917</v>
      </c>
      <c r="H2223" s="31">
        <v>10</v>
      </c>
      <c r="I2223" s="31">
        <v>10</v>
      </c>
      <c r="J2223" s="31" t="s">
        <v>8649</v>
      </c>
      <c r="K2223" s="31" t="s">
        <v>41</v>
      </c>
      <c r="L2223" s="31" t="s">
        <v>304</v>
      </c>
      <c r="M2223" s="31">
        <v>320</v>
      </c>
      <c r="N2223" s="31">
        <v>2016</v>
      </c>
      <c r="O2223" s="31">
        <v>478</v>
      </c>
      <c r="P2223" s="31"/>
      <c r="Q2223" s="31"/>
      <c r="R2223" s="33"/>
      <c r="S2223" s="34" t="str">
        <f>HYPERLINK("http://www.cnpol.ru/covers/17048.jpg","фото на сайте")</f>
        <v>фото на сайте</v>
      </c>
    </row>
    <row r="2224" spans="1:19" ht="50.1" customHeight="1">
      <c r="A2224" s="31"/>
      <c r="B2224" s="32" t="s">
        <v>8650</v>
      </c>
      <c r="C2224" s="31" t="s">
        <v>37</v>
      </c>
      <c r="D2224" s="31" t="s">
        <v>8651</v>
      </c>
      <c r="E2224" s="31" t="s">
        <v>8652</v>
      </c>
      <c r="F2224" s="31" t="s">
        <v>31</v>
      </c>
      <c r="G2224" s="31">
        <v>741</v>
      </c>
      <c r="H2224" s="31">
        <v>10</v>
      </c>
      <c r="I2224" s="31">
        <v>12</v>
      </c>
      <c r="J2224" s="31" t="s">
        <v>8653</v>
      </c>
      <c r="K2224" s="31" t="s">
        <v>33</v>
      </c>
      <c r="L2224" s="31" t="s">
        <v>34</v>
      </c>
      <c r="M2224" s="31">
        <v>304</v>
      </c>
      <c r="N2224" s="31">
        <v>2023</v>
      </c>
      <c r="O2224" s="31">
        <v>305</v>
      </c>
      <c r="P2224" s="31"/>
      <c r="Q2224" s="31"/>
      <c r="R2224" s="33" t="s">
        <v>8654</v>
      </c>
      <c r="S2224" s="34" t="str">
        <f>HYPERLINK("http://www.cnpol.ru/covers/20705.jpg","фото на сайте")</f>
        <v>фото на сайте</v>
      </c>
    </row>
    <row r="2225" spans="1:19" ht="50.1" customHeight="1">
      <c r="A2225" s="31"/>
      <c r="B2225" s="32" t="s">
        <v>8655</v>
      </c>
      <c r="C2225" s="31" t="s">
        <v>37</v>
      </c>
      <c r="D2225" s="31" t="s">
        <v>8656</v>
      </c>
      <c r="E2225" s="31" t="s">
        <v>8657</v>
      </c>
      <c r="F2225" s="31" t="s">
        <v>31</v>
      </c>
      <c r="G2225" s="31">
        <v>791</v>
      </c>
      <c r="H2225" s="31">
        <v>10</v>
      </c>
      <c r="I2225" s="31">
        <v>6</v>
      </c>
      <c r="J2225" s="31" t="s">
        <v>8658</v>
      </c>
      <c r="K2225" s="31" t="s">
        <v>33</v>
      </c>
      <c r="L2225" s="31" t="s">
        <v>34</v>
      </c>
      <c r="M2225" s="31">
        <v>672</v>
      </c>
      <c r="N2225" s="31">
        <v>2021</v>
      </c>
      <c r="O2225" s="31">
        <v>478</v>
      </c>
      <c r="P2225" s="31"/>
      <c r="Q2225" s="31"/>
      <c r="R2225" s="33"/>
      <c r="S2225" s="34" t="str">
        <f>HYPERLINK("http://www.cnpol.ru/covers/19524.jpg","фото на сайте")</f>
        <v>фото на сайте</v>
      </c>
    </row>
    <row r="2226" spans="1:19" ht="50.1" customHeight="1">
      <c r="A2226" s="31"/>
      <c r="B2226" s="32" t="s">
        <v>8659</v>
      </c>
      <c r="C2226" s="31" t="s">
        <v>400</v>
      </c>
      <c r="D2226" s="31" t="s">
        <v>785</v>
      </c>
      <c r="E2226" s="31" t="s">
        <v>8660</v>
      </c>
      <c r="F2226" s="31" t="s">
        <v>31</v>
      </c>
      <c r="G2226" s="31">
        <v>503</v>
      </c>
      <c r="H2226" s="31">
        <v>10</v>
      </c>
      <c r="I2226" s="31">
        <v>14</v>
      </c>
      <c r="J2226" s="31" t="s">
        <v>8661</v>
      </c>
      <c r="K2226" s="31" t="s">
        <v>33</v>
      </c>
      <c r="L2226" s="31" t="s">
        <v>34</v>
      </c>
      <c r="M2226" s="31">
        <v>320</v>
      </c>
      <c r="N2226" s="31">
        <v>2016</v>
      </c>
      <c r="O2226" s="31">
        <v>268</v>
      </c>
      <c r="P2226" s="31"/>
      <c r="Q2226" s="31"/>
      <c r="R2226" s="33"/>
      <c r="S2226" s="34" t="str">
        <f>HYPERLINK("http://www.cnpol.ru/covers/16597.jpg","фото на сайте")</f>
        <v>фото на сайте</v>
      </c>
    </row>
    <row r="2227" spans="1:19" ht="50.1" customHeight="1">
      <c r="A2227" s="31" t="s">
        <v>35</v>
      </c>
      <c r="B2227" s="32" t="s">
        <v>8662</v>
      </c>
      <c r="C2227" s="31" t="s">
        <v>2434</v>
      </c>
      <c r="D2227" s="31" t="s">
        <v>2435</v>
      </c>
      <c r="E2227" s="31" t="s">
        <v>8663</v>
      </c>
      <c r="F2227" s="31" t="s">
        <v>31</v>
      </c>
      <c r="G2227" s="35">
        <v>1015</v>
      </c>
      <c r="H2227" s="31">
        <v>10</v>
      </c>
      <c r="I2227" s="31">
        <v>10</v>
      </c>
      <c r="J2227" s="31" t="s">
        <v>8664</v>
      </c>
      <c r="K2227" s="31" t="s">
        <v>33</v>
      </c>
      <c r="L2227" s="31" t="s">
        <v>34</v>
      </c>
      <c r="M2227" s="31">
        <v>382</v>
      </c>
      <c r="N2227" s="31">
        <v>2024</v>
      </c>
      <c r="O2227" s="31">
        <v>419</v>
      </c>
      <c r="P2227" s="31"/>
      <c r="Q2227" s="31"/>
      <c r="R2227" s="33" t="s">
        <v>8665</v>
      </c>
      <c r="S2227" s="34" t="str">
        <f>HYPERLINK("http://www.cnpol.ru/covers/21077.jpg","фото на сайте")</f>
        <v>фото на сайте</v>
      </c>
    </row>
    <row r="2228" spans="1:19" ht="50.1" customHeight="1">
      <c r="A2228" s="31"/>
      <c r="B2228" s="32" t="s">
        <v>8666</v>
      </c>
      <c r="C2228" s="31" t="s">
        <v>149</v>
      </c>
      <c r="D2228" s="31" t="s">
        <v>150</v>
      </c>
      <c r="E2228" s="31" t="s">
        <v>8667</v>
      </c>
      <c r="F2228" s="31" t="s">
        <v>31</v>
      </c>
      <c r="G2228" s="31">
        <v>244</v>
      </c>
      <c r="H2228" s="31">
        <v>10</v>
      </c>
      <c r="I2228" s="31">
        <v>10</v>
      </c>
      <c r="J2228" s="31" t="s">
        <v>8668</v>
      </c>
      <c r="K2228" s="31" t="s">
        <v>123</v>
      </c>
      <c r="L2228" s="31" t="s">
        <v>56</v>
      </c>
      <c r="M2228" s="31">
        <v>315</v>
      </c>
      <c r="N2228" s="31">
        <v>2023</v>
      </c>
      <c r="O2228" s="31">
        <v>148</v>
      </c>
      <c r="P2228" s="31"/>
      <c r="Q2228" s="31"/>
      <c r="R2228" s="33" t="s">
        <v>8669</v>
      </c>
      <c r="S2228" s="34" t="str">
        <f>HYPERLINK("http://www.cnpol.ru/covers/20716.jpg","фото на сайте")</f>
        <v>фото на сайте</v>
      </c>
    </row>
    <row r="2229" spans="1:19" ht="50.1" customHeight="1">
      <c r="A2229" s="31" t="s">
        <v>35</v>
      </c>
      <c r="B2229" s="32" t="s">
        <v>8670</v>
      </c>
      <c r="C2229" s="31" t="s">
        <v>589</v>
      </c>
      <c r="D2229" s="31" t="s">
        <v>590</v>
      </c>
      <c r="E2229" s="31" t="s">
        <v>8671</v>
      </c>
      <c r="F2229" s="31" t="s">
        <v>31</v>
      </c>
      <c r="G2229" s="31">
        <v>258</v>
      </c>
      <c r="H2229" s="31">
        <v>10</v>
      </c>
      <c r="I2229" s="31">
        <v>20</v>
      </c>
      <c r="J2229" s="31" t="s">
        <v>8672</v>
      </c>
      <c r="K2229" s="31" t="s">
        <v>130</v>
      </c>
      <c r="L2229" s="31" t="s">
        <v>56</v>
      </c>
      <c r="M2229" s="31">
        <v>319</v>
      </c>
      <c r="N2229" s="31">
        <v>2024</v>
      </c>
      <c r="O2229" s="31">
        <v>185</v>
      </c>
      <c r="P2229" s="31"/>
      <c r="Q2229" s="31"/>
      <c r="R2229" s="33" t="s">
        <v>8673</v>
      </c>
      <c r="S2229" s="34" t="str">
        <f>HYPERLINK("http://www.cnpol.ru/covers/21044.jpg","фото на сайте")</f>
        <v>фото на сайте</v>
      </c>
    </row>
    <row r="2230" spans="1:19" ht="50.1" customHeight="1">
      <c r="A2230" s="31"/>
      <c r="B2230" s="32" t="s">
        <v>8674</v>
      </c>
      <c r="C2230" s="31" t="s">
        <v>400</v>
      </c>
      <c r="D2230" s="31" t="s">
        <v>8675</v>
      </c>
      <c r="E2230" s="31" t="s">
        <v>8676</v>
      </c>
      <c r="F2230" s="31" t="s">
        <v>31</v>
      </c>
      <c r="G2230" s="31">
        <v>503</v>
      </c>
      <c r="H2230" s="31">
        <v>10</v>
      </c>
      <c r="I2230" s="31">
        <v>16</v>
      </c>
      <c r="J2230" s="31" t="s">
        <v>8677</v>
      </c>
      <c r="K2230" s="31" t="s">
        <v>1159</v>
      </c>
      <c r="L2230" s="31" t="s">
        <v>34</v>
      </c>
      <c r="M2230" s="31">
        <v>287</v>
      </c>
      <c r="N2230" s="31">
        <v>2010</v>
      </c>
      <c r="O2230" s="31">
        <v>250</v>
      </c>
      <c r="P2230" s="31"/>
      <c r="Q2230" s="31"/>
      <c r="R2230" s="33"/>
      <c r="S2230" s="34" t="str">
        <f>HYPERLINK("http://www.cnpol.ru/covers/11874.jpg","фото на сайте")</f>
        <v>фото на сайте</v>
      </c>
    </row>
    <row r="2231" spans="1:19" ht="50.1" customHeight="1">
      <c r="A2231" s="31" t="s">
        <v>35</v>
      </c>
      <c r="B2231" s="32" t="s">
        <v>8678</v>
      </c>
      <c r="C2231" s="31" t="s">
        <v>1271</v>
      </c>
      <c r="D2231" s="31" t="s">
        <v>1272</v>
      </c>
      <c r="E2231" s="31" t="s">
        <v>8679</v>
      </c>
      <c r="F2231" s="31" t="s">
        <v>31</v>
      </c>
      <c r="G2231" s="31">
        <v>692</v>
      </c>
      <c r="H2231" s="31">
        <v>10</v>
      </c>
      <c r="I2231" s="31">
        <v>16</v>
      </c>
      <c r="J2231" s="31" t="s">
        <v>8680</v>
      </c>
      <c r="K2231" s="31" t="s">
        <v>33</v>
      </c>
      <c r="L2231" s="31" t="s">
        <v>34</v>
      </c>
      <c r="M2231" s="31">
        <v>207</v>
      </c>
      <c r="N2231" s="31">
        <v>2025</v>
      </c>
      <c r="O2231" s="31">
        <v>273</v>
      </c>
      <c r="P2231" s="31"/>
      <c r="Q2231" s="31"/>
      <c r="R2231" s="33" t="s">
        <v>8681</v>
      </c>
      <c r="S2231" s="34" t="str">
        <f>HYPERLINK("http://www.cnpol.ru/covers/21681.jpg","фото на сайте")</f>
        <v>фото на сайте</v>
      </c>
    </row>
    <row r="2232" spans="1:19" ht="50.1" customHeight="1">
      <c r="A2232" s="31"/>
      <c r="B2232" s="32" t="s">
        <v>8682</v>
      </c>
      <c r="C2232" s="31" t="s">
        <v>390</v>
      </c>
      <c r="D2232" s="31" t="s">
        <v>2359</v>
      </c>
      <c r="E2232" s="31" t="s">
        <v>8683</v>
      </c>
      <c r="F2232" s="31">
        <v>562</v>
      </c>
      <c r="G2232" s="31">
        <v>86</v>
      </c>
      <c r="H2232" s="31">
        <v>10</v>
      </c>
      <c r="I2232" s="31">
        <v>30</v>
      </c>
      <c r="J2232" s="31" t="s">
        <v>8684</v>
      </c>
      <c r="K2232" s="31" t="s">
        <v>123</v>
      </c>
      <c r="L2232" s="31" t="s">
        <v>56</v>
      </c>
      <c r="M2232" s="31">
        <v>158</v>
      </c>
      <c r="N2232" s="31">
        <v>2015</v>
      </c>
      <c r="O2232" s="31">
        <v>76</v>
      </c>
      <c r="P2232" s="31"/>
      <c r="Q2232" s="31"/>
      <c r="R2232" s="33"/>
      <c r="S2232" s="34" t="str">
        <f>HYPERLINK("http://www.cnpol.ru/covers/16340.jpg","фото на сайте")</f>
        <v>фото на сайте</v>
      </c>
    </row>
    <row r="2233" spans="1:19" ht="50.1" customHeight="1">
      <c r="A2233" s="31"/>
      <c r="B2233" s="32" t="s">
        <v>8685</v>
      </c>
      <c r="C2233" s="31" t="s">
        <v>8686</v>
      </c>
      <c r="D2233" s="31" t="s">
        <v>8687</v>
      </c>
      <c r="E2233" s="31" t="s">
        <v>8688</v>
      </c>
      <c r="F2233" s="31" t="s">
        <v>31</v>
      </c>
      <c r="G2233" s="31">
        <v>930</v>
      </c>
      <c r="H2233" s="31">
        <v>10</v>
      </c>
      <c r="I2233" s="31">
        <v>12</v>
      </c>
      <c r="J2233" s="31" t="s">
        <v>8689</v>
      </c>
      <c r="K2233" s="31" t="s">
        <v>33</v>
      </c>
      <c r="L2233" s="31" t="s">
        <v>34</v>
      </c>
      <c r="M2233" s="31">
        <v>317</v>
      </c>
      <c r="N2233" s="31">
        <v>2022</v>
      </c>
      <c r="O2233" s="31">
        <v>272</v>
      </c>
      <c r="P2233" s="31"/>
      <c r="Q2233" s="31"/>
      <c r="R2233" s="33"/>
      <c r="S2233" s="34" t="str">
        <f>HYPERLINK("http://www.cnpol.ru/covers/20200.jpg","фото на сайте")</f>
        <v>фото на сайте</v>
      </c>
    </row>
    <row r="2234" spans="1:19" ht="50.1" customHeight="1">
      <c r="A2234" s="31"/>
      <c r="B2234" s="32" t="s">
        <v>8690</v>
      </c>
      <c r="C2234" s="31" t="s">
        <v>5168</v>
      </c>
      <c r="D2234" s="31" t="s">
        <v>5169</v>
      </c>
      <c r="E2234" s="31" t="s">
        <v>8691</v>
      </c>
      <c r="F2234" s="31" t="s">
        <v>31</v>
      </c>
      <c r="G2234" s="31">
        <v>258</v>
      </c>
      <c r="H2234" s="31">
        <v>10</v>
      </c>
      <c r="I2234" s="31">
        <v>14</v>
      </c>
      <c r="J2234" s="31" t="s">
        <v>8692</v>
      </c>
      <c r="K2234" s="31" t="s">
        <v>130</v>
      </c>
      <c r="L2234" s="31" t="s">
        <v>56</v>
      </c>
      <c r="M2234" s="31">
        <v>191</v>
      </c>
      <c r="N2234" s="31">
        <v>2022</v>
      </c>
      <c r="O2234" s="31">
        <v>118</v>
      </c>
      <c r="P2234" s="31"/>
      <c r="Q2234" s="31"/>
      <c r="R2234" s="33"/>
      <c r="S2234" s="34" t="str">
        <f>HYPERLINK("http://www.cnpol.ru/covers/20290.jpg","фото на сайте")</f>
        <v>фото на сайте</v>
      </c>
    </row>
    <row r="2235" spans="1:19" ht="50.1" customHeight="1">
      <c r="A2235" s="31" t="s">
        <v>43</v>
      </c>
      <c r="B2235" s="32" t="s">
        <v>8693</v>
      </c>
      <c r="C2235" s="31" t="s">
        <v>6069</v>
      </c>
      <c r="D2235" s="31" t="s">
        <v>8694</v>
      </c>
      <c r="E2235" s="31" t="s">
        <v>8695</v>
      </c>
      <c r="F2235" s="31" t="s">
        <v>31</v>
      </c>
      <c r="G2235" s="31">
        <v>661</v>
      </c>
      <c r="H2235" s="31">
        <v>10</v>
      </c>
      <c r="I2235" s="31">
        <v>10</v>
      </c>
      <c r="J2235" s="31" t="s">
        <v>8696</v>
      </c>
      <c r="K2235" s="31" t="s">
        <v>33</v>
      </c>
      <c r="L2235" s="31" t="s">
        <v>34</v>
      </c>
      <c r="M2235" s="31">
        <v>153</v>
      </c>
      <c r="N2235" s="31">
        <v>2025</v>
      </c>
      <c r="O2235" s="31">
        <v>136</v>
      </c>
      <c r="P2235" s="31"/>
      <c r="Q2235" s="31"/>
      <c r="R2235" s="33" t="s">
        <v>8697</v>
      </c>
      <c r="S2235" s="34" t="str">
        <f>HYPERLINK("http://www.cnpol.ru/covers/21580.jpg","фото на сайте")</f>
        <v>фото на сайте</v>
      </c>
    </row>
    <row r="2236" spans="1:19" ht="50.1" customHeight="1">
      <c r="A2236" s="31"/>
      <c r="B2236" s="32" t="s">
        <v>8698</v>
      </c>
      <c r="C2236" s="31" t="s">
        <v>390</v>
      </c>
      <c r="D2236" s="31" t="s">
        <v>1754</v>
      </c>
      <c r="E2236" s="31" t="s">
        <v>8699</v>
      </c>
      <c r="F2236" s="31">
        <v>991</v>
      </c>
      <c r="G2236" s="31">
        <v>86</v>
      </c>
      <c r="H2236" s="31">
        <v>10</v>
      </c>
      <c r="I2236" s="31">
        <v>30</v>
      </c>
      <c r="J2236" s="31" t="s">
        <v>8700</v>
      </c>
      <c r="K2236" s="31" t="s">
        <v>123</v>
      </c>
      <c r="L2236" s="31" t="s">
        <v>56</v>
      </c>
      <c r="M2236" s="31">
        <v>160</v>
      </c>
      <c r="N2236" s="31">
        <v>2020</v>
      </c>
      <c r="O2236" s="31">
        <v>76</v>
      </c>
      <c r="P2236" s="31"/>
      <c r="Q2236" s="31"/>
      <c r="R2236" s="33"/>
      <c r="S2236" s="34" t="str">
        <f>HYPERLINK("http://www.cnpol.ru/covers/19292.jpg","фото на сайте")</f>
        <v>фото на сайте</v>
      </c>
    </row>
    <row r="2237" spans="1:19" ht="50.1" customHeight="1">
      <c r="A2237" s="31"/>
      <c r="B2237" s="32" t="s">
        <v>8701</v>
      </c>
      <c r="C2237" s="31" t="s">
        <v>390</v>
      </c>
      <c r="D2237" s="31" t="s">
        <v>7366</v>
      </c>
      <c r="E2237" s="31" t="s">
        <v>8702</v>
      </c>
      <c r="F2237" s="31">
        <v>842</v>
      </c>
      <c r="G2237" s="31">
        <v>86</v>
      </c>
      <c r="H2237" s="31">
        <v>10</v>
      </c>
      <c r="I2237" s="31">
        <v>30</v>
      </c>
      <c r="J2237" s="31" t="s">
        <v>8703</v>
      </c>
      <c r="K2237" s="31" t="s">
        <v>123</v>
      </c>
      <c r="L2237" s="31" t="s">
        <v>56</v>
      </c>
      <c r="M2237" s="31">
        <v>160</v>
      </c>
      <c r="N2237" s="31">
        <v>2018</v>
      </c>
      <c r="O2237" s="31">
        <v>76</v>
      </c>
      <c r="P2237" s="31"/>
      <c r="Q2237" s="31"/>
      <c r="R2237" s="33"/>
      <c r="S2237" s="34" t="str">
        <f>HYPERLINK("http://www.cnpol.ru/covers/18341.jpg","фото на сайте")</f>
        <v>фото на сайте</v>
      </c>
    </row>
    <row r="2238" spans="1:19" ht="50.1" customHeight="1">
      <c r="A2238" s="31" t="s">
        <v>43</v>
      </c>
      <c r="B2238" s="32" t="s">
        <v>8704</v>
      </c>
      <c r="C2238" s="31" t="s">
        <v>546</v>
      </c>
      <c r="D2238" s="31" t="s">
        <v>8705</v>
      </c>
      <c r="E2238" s="31" t="s">
        <v>8706</v>
      </c>
      <c r="F2238" s="31">
        <v>444</v>
      </c>
      <c r="G2238" s="31">
        <v>93</v>
      </c>
      <c r="H2238" s="31">
        <v>10</v>
      </c>
      <c r="I2238" s="31">
        <v>30</v>
      </c>
      <c r="J2238" s="31" t="s">
        <v>8707</v>
      </c>
      <c r="K2238" s="31" t="s">
        <v>123</v>
      </c>
      <c r="L2238" s="31" t="s">
        <v>56</v>
      </c>
      <c r="M2238" s="31">
        <v>159</v>
      </c>
      <c r="N2238" s="31">
        <v>2024</v>
      </c>
      <c r="O2238" s="31">
        <v>76</v>
      </c>
      <c r="P2238" s="31"/>
      <c r="Q2238" s="31"/>
      <c r="R2238" s="33" t="s">
        <v>8708</v>
      </c>
      <c r="S2238" s="34" t="str">
        <f>HYPERLINK("http://www.cnpol.ru/covers/21100.jpg","фото на сайте")</f>
        <v>фото на сайте</v>
      </c>
    </row>
    <row r="2239" spans="1:19" ht="50.1" customHeight="1">
      <c r="A2239" s="31" t="s">
        <v>43</v>
      </c>
      <c r="B2239" s="32" t="s">
        <v>8709</v>
      </c>
      <c r="C2239" s="31" t="s">
        <v>8710</v>
      </c>
      <c r="D2239" s="31" t="s">
        <v>8711</v>
      </c>
      <c r="E2239" s="31" t="s">
        <v>8712</v>
      </c>
      <c r="F2239" s="31" t="s">
        <v>31</v>
      </c>
      <c r="G2239" s="35">
        <v>1009</v>
      </c>
      <c r="H2239" s="31">
        <v>10</v>
      </c>
      <c r="I2239" s="31">
        <v>5</v>
      </c>
      <c r="J2239" s="31" t="s">
        <v>8713</v>
      </c>
      <c r="K2239" s="31" t="s">
        <v>33</v>
      </c>
      <c r="L2239" s="31" t="s">
        <v>34</v>
      </c>
      <c r="M2239" s="31">
        <v>383</v>
      </c>
      <c r="N2239" s="31">
        <v>2022</v>
      </c>
      <c r="O2239" s="31">
        <v>300</v>
      </c>
      <c r="P2239" s="31"/>
      <c r="Q2239" s="31"/>
      <c r="R2239" s="33" t="s">
        <v>8714</v>
      </c>
      <c r="S2239" s="34" t="str">
        <f>HYPERLINK("http://www.cnpol.ru/covers/21700.jpg","фото на сайте")</f>
        <v>фото на сайте</v>
      </c>
    </row>
    <row r="2240" spans="1:19" ht="50.1" customHeight="1">
      <c r="A2240" s="31"/>
      <c r="B2240" s="32" t="s">
        <v>8715</v>
      </c>
      <c r="C2240" s="31" t="s">
        <v>546</v>
      </c>
      <c r="D2240" s="31" t="s">
        <v>8716</v>
      </c>
      <c r="E2240" s="31" t="s">
        <v>8717</v>
      </c>
      <c r="F2240" s="31">
        <v>281</v>
      </c>
      <c r="G2240" s="31">
        <v>93</v>
      </c>
      <c r="H2240" s="31">
        <v>10</v>
      </c>
      <c r="I2240" s="31">
        <v>30</v>
      </c>
      <c r="J2240" s="31" t="s">
        <v>8718</v>
      </c>
      <c r="K2240" s="31" t="s">
        <v>123</v>
      </c>
      <c r="L2240" s="31" t="s">
        <v>56</v>
      </c>
      <c r="M2240" s="31">
        <v>160</v>
      </c>
      <c r="N2240" s="31">
        <v>2018</v>
      </c>
      <c r="O2240" s="31">
        <v>76</v>
      </c>
      <c r="P2240" s="31"/>
      <c r="Q2240" s="31"/>
      <c r="R2240" s="33"/>
      <c r="S2240" s="34" t="str">
        <f>HYPERLINK("http://www.cnpol.ru/covers/18334.jpg","фото на сайте")</f>
        <v>фото на сайте</v>
      </c>
    </row>
    <row r="2241" spans="1:19" ht="50.1" customHeight="1">
      <c r="A2241" s="31"/>
      <c r="B2241" s="32" t="s">
        <v>8719</v>
      </c>
      <c r="C2241" s="31" t="s">
        <v>3229</v>
      </c>
      <c r="D2241" s="31" t="s">
        <v>8720</v>
      </c>
      <c r="E2241" s="31" t="s">
        <v>8721</v>
      </c>
      <c r="F2241" s="31" t="s">
        <v>31</v>
      </c>
      <c r="G2241" s="31">
        <v>593</v>
      </c>
      <c r="H2241" s="31">
        <v>10</v>
      </c>
      <c r="I2241" s="31">
        <v>16</v>
      </c>
      <c r="J2241" s="31" t="s">
        <v>8722</v>
      </c>
      <c r="K2241" s="31" t="s">
        <v>158</v>
      </c>
      <c r="L2241" s="31" t="s">
        <v>34</v>
      </c>
      <c r="M2241" s="31">
        <v>256</v>
      </c>
      <c r="N2241" s="31">
        <v>2017</v>
      </c>
      <c r="O2241" s="31">
        <v>270</v>
      </c>
      <c r="P2241" s="31"/>
      <c r="Q2241" s="31"/>
      <c r="R2241" s="33"/>
      <c r="S2241" s="34" t="str">
        <f>HYPERLINK("http://www.cnpol.ru/covers/17444.jpg","фото на сайте")</f>
        <v>фото на сайте</v>
      </c>
    </row>
    <row r="2242" spans="1:19" ht="50.1" customHeight="1">
      <c r="A2242" s="31"/>
      <c r="B2242" s="32" t="s">
        <v>8723</v>
      </c>
      <c r="C2242" s="31" t="s">
        <v>400</v>
      </c>
      <c r="D2242" s="31" t="s">
        <v>8078</v>
      </c>
      <c r="E2242" s="31" t="s">
        <v>8724</v>
      </c>
      <c r="F2242" s="31" t="s">
        <v>31</v>
      </c>
      <c r="G2242" s="31">
        <v>503</v>
      </c>
      <c r="H2242" s="31">
        <v>10</v>
      </c>
      <c r="I2242" s="31">
        <v>8</v>
      </c>
      <c r="J2242" s="31" t="s">
        <v>8725</v>
      </c>
      <c r="K2242" s="31" t="s">
        <v>33</v>
      </c>
      <c r="L2242" s="31" t="s">
        <v>34</v>
      </c>
      <c r="M2242" s="31">
        <v>474</v>
      </c>
      <c r="N2242" s="31">
        <v>2014</v>
      </c>
      <c r="O2242" s="31">
        <v>366</v>
      </c>
      <c r="P2242" s="31"/>
      <c r="Q2242" s="31"/>
      <c r="R2242" s="33"/>
      <c r="S2242" s="34" t="str">
        <f>HYPERLINK("http://www.cnpol.ru/covers/14863.jpg","фото на сайте")</f>
        <v>фото на сайте</v>
      </c>
    </row>
    <row r="2243" spans="1:19" ht="50.1" customHeight="1">
      <c r="A2243" s="31"/>
      <c r="B2243" s="32" t="s">
        <v>8726</v>
      </c>
      <c r="C2243" s="31" t="s">
        <v>408</v>
      </c>
      <c r="D2243" s="31" t="s">
        <v>8727</v>
      </c>
      <c r="E2243" s="31" t="s">
        <v>8728</v>
      </c>
      <c r="F2243" s="31" t="s">
        <v>31</v>
      </c>
      <c r="G2243" s="31">
        <v>640</v>
      </c>
      <c r="H2243" s="31">
        <v>10</v>
      </c>
      <c r="I2243" s="31">
        <v>18</v>
      </c>
      <c r="J2243" s="31" t="s">
        <v>8729</v>
      </c>
      <c r="K2243" s="31" t="s">
        <v>33</v>
      </c>
      <c r="L2243" s="31" t="s">
        <v>34</v>
      </c>
      <c r="M2243" s="31">
        <v>237</v>
      </c>
      <c r="N2243" s="31">
        <v>2023</v>
      </c>
      <c r="O2243" s="31">
        <v>335</v>
      </c>
      <c r="P2243" s="31"/>
      <c r="Q2243" s="31"/>
      <c r="R2243" s="33" t="s">
        <v>8730</v>
      </c>
      <c r="S2243" s="34" t="str">
        <f>HYPERLINK("http://www.cnpol.ru/covers/20679.jpg","фото на сайте")</f>
        <v>фото на сайте</v>
      </c>
    </row>
    <row r="2244" spans="1:19" ht="50.1" customHeight="1">
      <c r="A2244" s="31"/>
      <c r="B2244" s="32" t="s">
        <v>8731</v>
      </c>
      <c r="C2244" s="31" t="s">
        <v>1611</v>
      </c>
      <c r="D2244" s="31" t="s">
        <v>8732</v>
      </c>
      <c r="E2244" s="31" t="s">
        <v>8733</v>
      </c>
      <c r="F2244" s="31" t="s">
        <v>31</v>
      </c>
      <c r="G2244" s="31">
        <v>178</v>
      </c>
      <c r="H2244" s="31">
        <v>10</v>
      </c>
      <c r="I2244" s="31">
        <v>20</v>
      </c>
      <c r="J2244" s="31" t="s">
        <v>8734</v>
      </c>
      <c r="K2244" s="31" t="s">
        <v>130</v>
      </c>
      <c r="L2244" s="31" t="s">
        <v>56</v>
      </c>
      <c r="M2244" s="31">
        <v>223</v>
      </c>
      <c r="N2244" s="31">
        <v>2017</v>
      </c>
      <c r="O2244" s="31">
        <v>130</v>
      </c>
      <c r="P2244" s="31"/>
      <c r="Q2244" s="31"/>
      <c r="R2244" s="33"/>
      <c r="S2244" s="34" t="str">
        <f>HYPERLINK("http://www.cnpol.ru/covers/17619.jpg","фото на сайте")</f>
        <v>фото на сайте</v>
      </c>
    </row>
    <row r="2245" spans="1:19" ht="50.1" customHeight="1">
      <c r="A2245" s="31"/>
      <c r="B2245" s="32" t="s">
        <v>8735</v>
      </c>
      <c r="C2245" s="31" t="s">
        <v>8736</v>
      </c>
      <c r="D2245" s="31" t="s">
        <v>8737</v>
      </c>
      <c r="E2245" s="31" t="s">
        <v>8733</v>
      </c>
      <c r="F2245" s="31" t="s">
        <v>31</v>
      </c>
      <c r="G2245" s="31">
        <v>137</v>
      </c>
      <c r="H2245" s="31">
        <v>10</v>
      </c>
      <c r="I2245" s="31">
        <v>30</v>
      </c>
      <c r="J2245" s="31" t="s">
        <v>8738</v>
      </c>
      <c r="K2245" s="31" t="s">
        <v>130</v>
      </c>
      <c r="L2245" s="31" t="s">
        <v>56</v>
      </c>
      <c r="M2245" s="31">
        <v>223</v>
      </c>
      <c r="N2245" s="31">
        <v>2008</v>
      </c>
      <c r="O2245" s="31">
        <v>138</v>
      </c>
      <c r="P2245" s="31"/>
      <c r="Q2245" s="31"/>
      <c r="R2245" s="33"/>
      <c r="S2245" s="34" t="str">
        <f>HYPERLINK("http://www.cnpol.ru/covers/10446.jpg","фото на сайте")</f>
        <v>фото на сайте</v>
      </c>
    </row>
    <row r="2246" spans="1:19" ht="50.1" customHeight="1">
      <c r="A2246" s="31"/>
      <c r="B2246" s="32" t="s">
        <v>8739</v>
      </c>
      <c r="C2246" s="31" t="s">
        <v>746</v>
      </c>
      <c r="D2246" s="31" t="s">
        <v>8740</v>
      </c>
      <c r="E2246" s="31" t="s">
        <v>8741</v>
      </c>
      <c r="F2246" s="31" t="s">
        <v>31</v>
      </c>
      <c r="G2246" s="31">
        <v>522</v>
      </c>
      <c r="H2246" s="31">
        <v>10</v>
      </c>
      <c r="I2246" s="31">
        <v>14</v>
      </c>
      <c r="J2246" s="31" t="s">
        <v>8742</v>
      </c>
      <c r="K2246" s="31" t="s">
        <v>33</v>
      </c>
      <c r="L2246" s="31" t="s">
        <v>34</v>
      </c>
      <c r="M2246" s="31">
        <v>416</v>
      </c>
      <c r="N2246" s="31">
        <v>2016</v>
      </c>
      <c r="O2246" s="31">
        <v>346</v>
      </c>
      <c r="P2246" s="31"/>
      <c r="Q2246" s="31"/>
      <c r="R2246" s="33"/>
      <c r="S2246" s="34" t="str">
        <f>HYPERLINK("http://www.cnpol.ru/covers/16873.jpg","фото на сайте")</f>
        <v>фото на сайте</v>
      </c>
    </row>
    <row r="2247" spans="1:19" ht="50.1" customHeight="1">
      <c r="A2247" s="31"/>
      <c r="B2247" s="32" t="s">
        <v>8743</v>
      </c>
      <c r="C2247" s="31" t="s">
        <v>520</v>
      </c>
      <c r="D2247" s="31" t="s">
        <v>8744</v>
      </c>
      <c r="E2247" s="31" t="s">
        <v>8745</v>
      </c>
      <c r="F2247" s="31">
        <v>45</v>
      </c>
      <c r="G2247" s="31">
        <v>117</v>
      </c>
      <c r="H2247" s="31">
        <v>10</v>
      </c>
      <c r="I2247" s="31">
        <v>36</v>
      </c>
      <c r="J2247" s="31" t="s">
        <v>8746</v>
      </c>
      <c r="K2247" s="31" t="s">
        <v>123</v>
      </c>
      <c r="L2247" s="31" t="s">
        <v>56</v>
      </c>
      <c r="M2247" s="31">
        <v>192</v>
      </c>
      <c r="N2247" s="31">
        <v>2017</v>
      </c>
      <c r="O2247" s="31">
        <v>90</v>
      </c>
      <c r="P2247" s="31"/>
      <c r="Q2247" s="31"/>
      <c r="R2247" s="33"/>
      <c r="S2247" s="34" t="str">
        <f>HYPERLINK("http://www.cnpol.ru/covers/17496.jpg","фото на сайте")</f>
        <v>фото на сайте</v>
      </c>
    </row>
    <row r="2248" spans="1:19" ht="50.1" customHeight="1">
      <c r="A2248" s="31"/>
      <c r="B2248" s="32" t="s">
        <v>8747</v>
      </c>
      <c r="C2248" s="31" t="s">
        <v>390</v>
      </c>
      <c r="D2248" s="31" t="s">
        <v>1454</v>
      </c>
      <c r="E2248" s="31" t="s">
        <v>8748</v>
      </c>
      <c r="F2248" s="31">
        <v>487</v>
      </c>
      <c r="G2248" s="31">
        <v>86</v>
      </c>
      <c r="H2248" s="31">
        <v>10</v>
      </c>
      <c r="I2248" s="31">
        <v>30</v>
      </c>
      <c r="J2248" s="31" t="s">
        <v>8749</v>
      </c>
      <c r="K2248" s="31" t="s">
        <v>123</v>
      </c>
      <c r="L2248" s="31" t="s">
        <v>56</v>
      </c>
      <c r="M2248" s="31">
        <v>158</v>
      </c>
      <c r="N2248" s="31">
        <v>2015</v>
      </c>
      <c r="O2248" s="31">
        <v>74</v>
      </c>
      <c r="P2248" s="31"/>
      <c r="Q2248" s="31"/>
      <c r="R2248" s="33"/>
      <c r="S2248" s="34" t="str">
        <f>HYPERLINK("http://www.cnpol.ru/covers/15772.jpg","фото на сайте")</f>
        <v>фото на сайте</v>
      </c>
    </row>
    <row r="2249" spans="1:19" ht="50.1" customHeight="1">
      <c r="A2249" s="31"/>
      <c r="B2249" s="32" t="s">
        <v>8750</v>
      </c>
      <c r="C2249" s="31" t="s">
        <v>1265</v>
      </c>
      <c r="D2249" s="31" t="s">
        <v>1266</v>
      </c>
      <c r="E2249" s="31" t="s">
        <v>8751</v>
      </c>
      <c r="F2249" s="31" t="s">
        <v>31</v>
      </c>
      <c r="G2249" s="31">
        <v>88</v>
      </c>
      <c r="H2249" s="31">
        <v>10</v>
      </c>
      <c r="I2249" s="31">
        <v>40</v>
      </c>
      <c r="J2249" s="31" t="s">
        <v>8752</v>
      </c>
      <c r="K2249" s="31" t="s">
        <v>123</v>
      </c>
      <c r="L2249" s="31" t="s">
        <v>56</v>
      </c>
      <c r="M2249" s="31">
        <v>124</v>
      </c>
      <c r="N2249" s="31">
        <v>2010</v>
      </c>
      <c r="O2249" s="31">
        <v>62</v>
      </c>
      <c r="P2249" s="31"/>
      <c r="Q2249" s="31"/>
      <c r="R2249" s="33"/>
      <c r="S2249" s="34" t="str">
        <f>HYPERLINK("http://www.cnpol.ru/covers/11770.jpg","фото на сайте")</f>
        <v>фото на сайте</v>
      </c>
    </row>
    <row r="2250" spans="1:19" ht="50.1" customHeight="1">
      <c r="A2250" s="31"/>
      <c r="B2250" s="32" t="s">
        <v>8753</v>
      </c>
      <c r="C2250" s="31" t="s">
        <v>400</v>
      </c>
      <c r="D2250" s="31" t="s">
        <v>785</v>
      </c>
      <c r="E2250" s="31" t="s">
        <v>8754</v>
      </c>
      <c r="F2250" s="31" t="s">
        <v>31</v>
      </c>
      <c r="G2250" s="31">
        <v>503</v>
      </c>
      <c r="H2250" s="31">
        <v>10</v>
      </c>
      <c r="I2250" s="31">
        <v>16</v>
      </c>
      <c r="J2250" s="31" t="s">
        <v>8755</v>
      </c>
      <c r="K2250" s="31" t="s">
        <v>33</v>
      </c>
      <c r="L2250" s="31" t="s">
        <v>34</v>
      </c>
      <c r="M2250" s="31">
        <v>288</v>
      </c>
      <c r="N2250" s="31">
        <v>2016</v>
      </c>
      <c r="O2250" s="31">
        <v>258</v>
      </c>
      <c r="P2250" s="31"/>
      <c r="Q2250" s="31"/>
      <c r="R2250" s="33"/>
      <c r="S2250" s="34" t="str">
        <f>HYPERLINK("http://www.cnpol.ru/covers/16974.jpg","фото на сайте")</f>
        <v>фото на сайте</v>
      </c>
    </row>
    <row r="2251" spans="1:19" ht="50.1" customHeight="1">
      <c r="A2251" s="31" t="s">
        <v>43</v>
      </c>
      <c r="B2251" s="32" t="s">
        <v>8756</v>
      </c>
      <c r="C2251" s="31" t="s">
        <v>1390</v>
      </c>
      <c r="D2251" s="31" t="s">
        <v>236</v>
      </c>
      <c r="E2251" s="31" t="s">
        <v>8757</v>
      </c>
      <c r="F2251" s="31" t="s">
        <v>31</v>
      </c>
      <c r="G2251" s="31">
        <v>514</v>
      </c>
      <c r="H2251" s="31">
        <v>10</v>
      </c>
      <c r="I2251" s="31">
        <v>14</v>
      </c>
      <c r="J2251" s="31" t="s">
        <v>8758</v>
      </c>
      <c r="K2251" s="31" t="s">
        <v>33</v>
      </c>
      <c r="L2251" s="31" t="s">
        <v>34</v>
      </c>
      <c r="M2251" s="31">
        <v>319</v>
      </c>
      <c r="N2251" s="31">
        <v>2024</v>
      </c>
      <c r="O2251" s="31">
        <v>268</v>
      </c>
      <c r="P2251" s="31"/>
      <c r="Q2251" s="31"/>
      <c r="R2251" s="33" t="s">
        <v>8759</v>
      </c>
      <c r="S2251" s="34" t="str">
        <f>HYPERLINK("http://www.cnpol.ru/covers/20996.jpg","фото на сайте")</f>
        <v>фото на сайте</v>
      </c>
    </row>
    <row r="2252" spans="1:19" ht="50.1" customHeight="1">
      <c r="A2252" s="31"/>
      <c r="B2252" s="32" t="s">
        <v>8760</v>
      </c>
      <c r="C2252" s="31" t="s">
        <v>132</v>
      </c>
      <c r="D2252" s="31" t="s">
        <v>8761</v>
      </c>
      <c r="E2252" s="31" t="s">
        <v>8762</v>
      </c>
      <c r="F2252" s="31" t="s">
        <v>31</v>
      </c>
      <c r="G2252" s="31">
        <v>461</v>
      </c>
      <c r="H2252" s="31">
        <v>10</v>
      </c>
      <c r="I2252" s="31">
        <v>25</v>
      </c>
      <c r="J2252" s="31" t="s">
        <v>8763</v>
      </c>
      <c r="K2252" s="31" t="s">
        <v>3186</v>
      </c>
      <c r="L2252" s="31" t="s">
        <v>34</v>
      </c>
      <c r="M2252" s="31">
        <v>43</v>
      </c>
      <c r="N2252" s="31">
        <v>2008</v>
      </c>
      <c r="O2252" s="31">
        <v>110</v>
      </c>
      <c r="P2252" s="31"/>
      <c r="Q2252" s="31"/>
      <c r="R2252" s="33"/>
      <c r="S2252" s="34" t="str">
        <f>HYPERLINK("http://www.cnpol.ru/covers/14.jpg","фото на сайте")</f>
        <v>фото на сайте</v>
      </c>
    </row>
    <row r="2253" spans="1:19" ht="50.1" customHeight="1">
      <c r="A2253" s="31"/>
      <c r="B2253" s="32" t="s">
        <v>8764</v>
      </c>
      <c r="C2253" s="31" t="s">
        <v>8765</v>
      </c>
      <c r="D2253" s="31" t="s">
        <v>1814</v>
      </c>
      <c r="E2253" s="31" t="s">
        <v>8766</v>
      </c>
      <c r="F2253" s="31" t="s">
        <v>31</v>
      </c>
      <c r="G2253" s="31">
        <v>571</v>
      </c>
      <c r="H2253" s="31">
        <v>10</v>
      </c>
      <c r="I2253" s="31">
        <v>10</v>
      </c>
      <c r="J2253" s="31" t="s">
        <v>8767</v>
      </c>
      <c r="K2253" s="31" t="s">
        <v>260</v>
      </c>
      <c r="L2253" s="31" t="s">
        <v>210</v>
      </c>
      <c r="M2253" s="31">
        <v>72</v>
      </c>
      <c r="N2253" s="31">
        <v>2022</v>
      </c>
      <c r="O2253" s="31">
        <v>234</v>
      </c>
      <c r="P2253" s="31"/>
      <c r="Q2253" s="31"/>
      <c r="R2253" s="33"/>
      <c r="S2253" s="34" t="str">
        <f>HYPERLINK("http://www.cnpol.ru/covers/20063.jpg","фото на сайте")</f>
        <v>фото на сайте</v>
      </c>
    </row>
    <row r="2254" spans="1:19" ht="50.1" customHeight="1">
      <c r="A2254" s="31"/>
      <c r="B2254" s="32" t="s">
        <v>8768</v>
      </c>
      <c r="C2254" s="31" t="s">
        <v>3790</v>
      </c>
      <c r="D2254" s="31" t="s">
        <v>8769</v>
      </c>
      <c r="E2254" s="31" t="s">
        <v>8770</v>
      </c>
      <c r="F2254" s="31" t="s">
        <v>31</v>
      </c>
      <c r="G2254" s="31">
        <v>441</v>
      </c>
      <c r="H2254" s="31">
        <v>10</v>
      </c>
      <c r="I2254" s="31">
        <v>26</v>
      </c>
      <c r="J2254" s="31" t="s">
        <v>8771</v>
      </c>
      <c r="K2254" s="31" t="s">
        <v>33</v>
      </c>
      <c r="L2254" s="31" t="s">
        <v>34</v>
      </c>
      <c r="M2254" s="31">
        <v>157</v>
      </c>
      <c r="N2254" s="31">
        <v>2008</v>
      </c>
      <c r="O2254" s="31">
        <v>200</v>
      </c>
      <c r="P2254" s="31"/>
      <c r="Q2254" s="31"/>
      <c r="R2254" s="33"/>
      <c r="S2254" s="34" t="str">
        <f>HYPERLINK("http://www.cnpol.ru/covers/10761.jpg","фото на сайте")</f>
        <v>фото на сайте</v>
      </c>
    </row>
    <row r="2255" spans="1:19" ht="50.1" customHeight="1">
      <c r="A2255" s="31"/>
      <c r="B2255" s="32" t="s">
        <v>8772</v>
      </c>
      <c r="C2255" s="31" t="s">
        <v>400</v>
      </c>
      <c r="D2255" s="31" t="s">
        <v>8773</v>
      </c>
      <c r="E2255" s="31" t="s">
        <v>8774</v>
      </c>
      <c r="F2255" s="31" t="s">
        <v>31</v>
      </c>
      <c r="G2255" s="31">
        <v>503</v>
      </c>
      <c r="H2255" s="31">
        <v>10</v>
      </c>
      <c r="I2255" s="31">
        <v>14</v>
      </c>
      <c r="J2255" s="31" t="s">
        <v>8775</v>
      </c>
      <c r="K2255" s="31" t="s">
        <v>33</v>
      </c>
      <c r="L2255" s="31" t="s">
        <v>34</v>
      </c>
      <c r="M2255" s="31">
        <v>320</v>
      </c>
      <c r="N2255" s="31">
        <v>2015</v>
      </c>
      <c r="O2255" s="31">
        <v>260</v>
      </c>
      <c r="P2255" s="31"/>
      <c r="Q2255" s="31"/>
      <c r="R2255" s="33"/>
      <c r="S2255" s="34" t="str">
        <f>HYPERLINK("http://www.cnpol.ru/covers/15871.jpg","фото на сайте")</f>
        <v>фото на сайте</v>
      </c>
    </row>
    <row r="2256" spans="1:19" ht="50.1" customHeight="1">
      <c r="A2256" s="31"/>
      <c r="B2256" s="32" t="s">
        <v>8776</v>
      </c>
      <c r="C2256" s="31" t="s">
        <v>400</v>
      </c>
      <c r="D2256" s="31" t="s">
        <v>8773</v>
      </c>
      <c r="E2256" s="31" t="s">
        <v>8777</v>
      </c>
      <c r="F2256" s="31" t="s">
        <v>31</v>
      </c>
      <c r="G2256" s="31">
        <v>503</v>
      </c>
      <c r="H2256" s="31">
        <v>10</v>
      </c>
      <c r="I2256" s="31">
        <v>14</v>
      </c>
      <c r="J2256" s="31" t="s">
        <v>8778</v>
      </c>
      <c r="K2256" s="31" t="s">
        <v>33</v>
      </c>
      <c r="L2256" s="31" t="s">
        <v>34</v>
      </c>
      <c r="M2256" s="31">
        <v>320</v>
      </c>
      <c r="N2256" s="31">
        <v>2018</v>
      </c>
      <c r="O2256" s="31">
        <v>278</v>
      </c>
      <c r="P2256" s="31"/>
      <c r="Q2256" s="31"/>
      <c r="R2256" s="33"/>
      <c r="S2256" s="34" t="str">
        <f>HYPERLINK("http://www.cnpol.ru/covers/18232.jpg","фото на сайте")</f>
        <v>фото на сайте</v>
      </c>
    </row>
    <row r="2257" spans="1:19" ht="50.1" customHeight="1">
      <c r="A2257" s="31"/>
      <c r="B2257" s="32" t="s">
        <v>8779</v>
      </c>
      <c r="C2257" s="31" t="s">
        <v>400</v>
      </c>
      <c r="D2257" s="31" t="s">
        <v>2412</v>
      </c>
      <c r="E2257" s="31" t="s">
        <v>8780</v>
      </c>
      <c r="F2257" s="31" t="s">
        <v>31</v>
      </c>
      <c r="G2257" s="31">
        <v>503</v>
      </c>
      <c r="H2257" s="31">
        <v>10</v>
      </c>
      <c r="I2257" s="31">
        <v>14</v>
      </c>
      <c r="J2257" s="31" t="s">
        <v>8781</v>
      </c>
      <c r="K2257" s="31" t="s">
        <v>33</v>
      </c>
      <c r="L2257" s="31" t="s">
        <v>34</v>
      </c>
      <c r="M2257" s="31">
        <v>320</v>
      </c>
      <c r="N2257" s="31">
        <v>2018</v>
      </c>
      <c r="O2257" s="31">
        <v>278</v>
      </c>
      <c r="P2257" s="31"/>
      <c r="Q2257" s="31"/>
      <c r="R2257" s="33"/>
      <c r="S2257" s="34" t="str">
        <f>HYPERLINK("http://www.cnpol.ru/covers/18274.jpg","фото на сайте")</f>
        <v>фото на сайте</v>
      </c>
    </row>
    <row r="2258" spans="1:19" ht="50.1" customHeight="1">
      <c r="A2258" s="31"/>
      <c r="B2258" s="32" t="s">
        <v>8782</v>
      </c>
      <c r="C2258" s="31" t="s">
        <v>546</v>
      </c>
      <c r="D2258" s="31" t="s">
        <v>653</v>
      </c>
      <c r="E2258" s="31" t="s">
        <v>8783</v>
      </c>
      <c r="F2258" s="31">
        <v>247</v>
      </c>
      <c r="G2258" s="31">
        <v>93</v>
      </c>
      <c r="H2258" s="31">
        <v>10</v>
      </c>
      <c r="I2258" s="31">
        <v>30</v>
      </c>
      <c r="J2258" s="31" t="s">
        <v>8784</v>
      </c>
      <c r="K2258" s="31" t="s">
        <v>123</v>
      </c>
      <c r="L2258" s="31" t="s">
        <v>56</v>
      </c>
      <c r="M2258" s="31">
        <v>160</v>
      </c>
      <c r="N2258" s="31">
        <v>2017</v>
      </c>
      <c r="O2258" s="31">
        <v>76</v>
      </c>
      <c r="P2258" s="31"/>
      <c r="Q2258" s="31"/>
      <c r="R2258" s="33"/>
      <c r="S2258" s="34" t="str">
        <f>HYPERLINK("http://www.cnpol.ru/covers/17833.jpg","фото на сайте")</f>
        <v>фото на сайте</v>
      </c>
    </row>
    <row r="2259" spans="1:19" ht="50.1" customHeight="1">
      <c r="A2259" s="31"/>
      <c r="B2259" s="32" t="s">
        <v>8785</v>
      </c>
      <c r="C2259" s="31" t="s">
        <v>1323</v>
      </c>
      <c r="D2259" s="31" t="s">
        <v>1324</v>
      </c>
      <c r="E2259" s="31" t="s">
        <v>8786</v>
      </c>
      <c r="F2259" s="31" t="s">
        <v>31</v>
      </c>
      <c r="G2259" s="31">
        <v>169</v>
      </c>
      <c r="H2259" s="31">
        <v>10</v>
      </c>
      <c r="I2259" s="31">
        <v>9</v>
      </c>
      <c r="J2259" s="31" t="s">
        <v>8787</v>
      </c>
      <c r="K2259" s="31" t="s">
        <v>55</v>
      </c>
      <c r="L2259" s="31" t="s">
        <v>56</v>
      </c>
      <c r="M2259" s="31">
        <v>287</v>
      </c>
      <c r="N2259" s="31">
        <v>2022</v>
      </c>
      <c r="O2259" s="31">
        <v>122</v>
      </c>
      <c r="P2259" s="31"/>
      <c r="Q2259" s="31"/>
      <c r="R2259" s="33"/>
      <c r="S2259" s="34" t="str">
        <f>HYPERLINK("http://www.cnpol.ru/covers/20340.jpg","фото на сайте")</f>
        <v>фото на сайте</v>
      </c>
    </row>
    <row r="2260" spans="1:19" ht="50.1" customHeight="1">
      <c r="A2260" s="31"/>
      <c r="B2260" s="32" t="s">
        <v>8788</v>
      </c>
      <c r="C2260" s="31" t="s">
        <v>143</v>
      </c>
      <c r="D2260" s="31" t="s">
        <v>2593</v>
      </c>
      <c r="E2260" s="31" t="s">
        <v>8789</v>
      </c>
      <c r="F2260" s="31" t="s">
        <v>31</v>
      </c>
      <c r="G2260" s="35">
        <v>1125</v>
      </c>
      <c r="H2260" s="31">
        <v>10</v>
      </c>
      <c r="I2260" s="31">
        <v>10</v>
      </c>
      <c r="J2260" s="31" t="s">
        <v>8790</v>
      </c>
      <c r="K2260" s="31" t="s">
        <v>33</v>
      </c>
      <c r="L2260" s="31" t="s">
        <v>34</v>
      </c>
      <c r="M2260" s="31">
        <v>447</v>
      </c>
      <c r="N2260" s="31">
        <v>2023</v>
      </c>
      <c r="O2260" s="31">
        <v>497</v>
      </c>
      <c r="P2260" s="31"/>
      <c r="Q2260" s="31"/>
      <c r="R2260" s="33" t="s">
        <v>8791</v>
      </c>
      <c r="S2260" s="34" t="str">
        <f>HYPERLINK("http://www.cnpol.ru/covers/20877.jpg","фото на сайте")</f>
        <v>фото на сайте</v>
      </c>
    </row>
    <row r="2261" spans="1:19" ht="50.1" customHeight="1">
      <c r="A2261" s="31"/>
      <c r="B2261" s="32" t="s">
        <v>8792</v>
      </c>
      <c r="C2261" s="31" t="s">
        <v>1442</v>
      </c>
      <c r="D2261" s="31" t="s">
        <v>1443</v>
      </c>
      <c r="E2261" s="31" t="s">
        <v>8793</v>
      </c>
      <c r="F2261" s="31" t="s">
        <v>31</v>
      </c>
      <c r="G2261" s="35">
        <v>1162</v>
      </c>
      <c r="H2261" s="31">
        <v>10</v>
      </c>
      <c r="I2261" s="31">
        <v>8</v>
      </c>
      <c r="J2261" s="31" t="s">
        <v>8794</v>
      </c>
      <c r="K2261" s="31" t="s">
        <v>33</v>
      </c>
      <c r="L2261" s="31" t="s">
        <v>34</v>
      </c>
      <c r="M2261" s="31">
        <v>444</v>
      </c>
      <c r="N2261" s="31">
        <v>2023</v>
      </c>
      <c r="O2261" s="31">
        <v>481</v>
      </c>
      <c r="P2261" s="31"/>
      <c r="Q2261" s="31"/>
      <c r="R2261" s="33" t="s">
        <v>8795</v>
      </c>
      <c r="S2261" s="34" t="str">
        <f>HYPERLINK("http://www.cnpol.ru/covers/20880.jpg","фото на сайте")</f>
        <v>фото на сайте</v>
      </c>
    </row>
    <row r="2262" spans="1:19" ht="50.1" customHeight="1">
      <c r="A2262" s="31"/>
      <c r="B2262" s="32" t="s">
        <v>8796</v>
      </c>
      <c r="C2262" s="31" t="s">
        <v>418</v>
      </c>
      <c r="D2262" s="31" t="s">
        <v>1183</v>
      </c>
      <c r="E2262" s="31" t="s">
        <v>8797</v>
      </c>
      <c r="F2262" s="31">
        <v>32</v>
      </c>
      <c r="G2262" s="31">
        <v>153</v>
      </c>
      <c r="H2262" s="31">
        <v>10</v>
      </c>
      <c r="I2262" s="31">
        <v>24</v>
      </c>
      <c r="J2262" s="31" t="s">
        <v>8798</v>
      </c>
      <c r="K2262" s="31" t="s">
        <v>123</v>
      </c>
      <c r="L2262" s="31" t="s">
        <v>56</v>
      </c>
      <c r="M2262" s="31">
        <v>254</v>
      </c>
      <c r="N2262" s="31">
        <v>2013</v>
      </c>
      <c r="O2262" s="31">
        <v>120</v>
      </c>
      <c r="P2262" s="31"/>
      <c r="Q2262" s="31"/>
      <c r="R2262" s="33"/>
      <c r="S2262" s="34" t="str">
        <f>HYPERLINK("http://www.cnpol.ru/covers/14594.jpg","фото на сайте")</f>
        <v>фото на сайте</v>
      </c>
    </row>
    <row r="2263" spans="1:19" ht="50.1" customHeight="1">
      <c r="A2263" s="31"/>
      <c r="B2263" s="32" t="s">
        <v>8799</v>
      </c>
      <c r="C2263" s="31" t="s">
        <v>5756</v>
      </c>
      <c r="D2263" s="31" t="s">
        <v>5757</v>
      </c>
      <c r="E2263" s="31" t="s">
        <v>8800</v>
      </c>
      <c r="F2263" s="31" t="s">
        <v>31</v>
      </c>
      <c r="G2263" s="31">
        <v>275</v>
      </c>
      <c r="H2263" s="31">
        <v>10</v>
      </c>
      <c r="I2263" s="31">
        <v>7</v>
      </c>
      <c r="J2263" s="31" t="s">
        <v>8801</v>
      </c>
      <c r="K2263" s="31" t="s">
        <v>123</v>
      </c>
      <c r="L2263" s="31" t="s">
        <v>56</v>
      </c>
      <c r="M2263" s="31">
        <v>448</v>
      </c>
      <c r="N2263" s="31">
        <v>2023</v>
      </c>
      <c r="O2263" s="31">
        <v>208</v>
      </c>
      <c r="P2263" s="31"/>
      <c r="Q2263" s="31"/>
      <c r="R2263" s="33" t="s">
        <v>8802</v>
      </c>
      <c r="S2263" s="34" t="str">
        <f>HYPERLINK("http://www.cnpol.ru/covers/20496.jpg","фото на сайте")</f>
        <v>фото на сайте</v>
      </c>
    </row>
    <row r="2264" spans="1:19" ht="50.1" customHeight="1">
      <c r="A2264" s="31"/>
      <c r="B2264" s="32" t="s">
        <v>8803</v>
      </c>
      <c r="C2264" s="31" t="s">
        <v>400</v>
      </c>
      <c r="D2264" s="31" t="s">
        <v>8804</v>
      </c>
      <c r="E2264" s="31" t="s">
        <v>8805</v>
      </c>
      <c r="F2264" s="31" t="s">
        <v>31</v>
      </c>
      <c r="G2264" s="31">
        <v>503</v>
      </c>
      <c r="H2264" s="31">
        <v>10</v>
      </c>
      <c r="I2264" s="31">
        <v>14</v>
      </c>
      <c r="J2264" s="31" t="s">
        <v>8806</v>
      </c>
      <c r="K2264" s="31" t="s">
        <v>33</v>
      </c>
      <c r="L2264" s="31" t="s">
        <v>34</v>
      </c>
      <c r="M2264" s="31">
        <v>288</v>
      </c>
      <c r="N2264" s="31">
        <v>2019</v>
      </c>
      <c r="O2264" s="31">
        <v>254</v>
      </c>
      <c r="P2264" s="31"/>
      <c r="Q2264" s="31"/>
      <c r="R2264" s="33"/>
      <c r="S2264" s="34" t="str">
        <f>HYPERLINK("http://www.cnpol.ru/covers/18719.jpg","фото на сайте")</f>
        <v>фото на сайте</v>
      </c>
    </row>
    <row r="2265" spans="1:19" ht="50.1" customHeight="1">
      <c r="A2265" s="31"/>
      <c r="B2265" s="32" t="s">
        <v>8807</v>
      </c>
      <c r="C2265" s="31" t="s">
        <v>390</v>
      </c>
      <c r="D2265" s="31" t="s">
        <v>1187</v>
      </c>
      <c r="E2265" s="31" t="s">
        <v>8808</v>
      </c>
      <c r="F2265" s="31">
        <v>590</v>
      </c>
      <c r="G2265" s="31">
        <v>86</v>
      </c>
      <c r="H2265" s="31">
        <v>10</v>
      </c>
      <c r="I2265" s="31">
        <v>30</v>
      </c>
      <c r="J2265" s="31" t="s">
        <v>8809</v>
      </c>
      <c r="K2265" s="31" t="s">
        <v>123</v>
      </c>
      <c r="L2265" s="31" t="s">
        <v>56</v>
      </c>
      <c r="M2265" s="31">
        <v>158</v>
      </c>
      <c r="N2265" s="31">
        <v>2016</v>
      </c>
      <c r="O2265" s="31">
        <v>76</v>
      </c>
      <c r="P2265" s="31"/>
      <c r="Q2265" s="31"/>
      <c r="R2265" s="33"/>
      <c r="S2265" s="34" t="str">
        <f>HYPERLINK("http://www.cnpol.ru/covers/16525.jpg","фото на сайте")</f>
        <v>фото на сайте</v>
      </c>
    </row>
    <row r="2266" spans="1:19" ht="50.1" customHeight="1">
      <c r="A2266" s="31"/>
      <c r="B2266" s="32" t="s">
        <v>8810</v>
      </c>
      <c r="C2266" s="31" t="s">
        <v>400</v>
      </c>
      <c r="D2266" s="31" t="s">
        <v>8811</v>
      </c>
      <c r="E2266" s="31" t="s">
        <v>8812</v>
      </c>
      <c r="F2266" s="31" t="s">
        <v>31</v>
      </c>
      <c r="G2266" s="31">
        <v>503</v>
      </c>
      <c r="H2266" s="31">
        <v>10</v>
      </c>
      <c r="I2266" s="31">
        <v>14</v>
      </c>
      <c r="J2266" s="31" t="s">
        <v>8813</v>
      </c>
      <c r="K2266" s="31" t="s">
        <v>33</v>
      </c>
      <c r="L2266" s="31" t="s">
        <v>34</v>
      </c>
      <c r="M2266" s="31">
        <v>288</v>
      </c>
      <c r="N2266" s="31">
        <v>2019</v>
      </c>
      <c r="O2266" s="31">
        <v>258</v>
      </c>
      <c r="P2266" s="31"/>
      <c r="Q2266" s="31"/>
      <c r="R2266" s="33"/>
      <c r="S2266" s="34" t="str">
        <f>HYPERLINK("http://www.cnpol.ru/covers/18879.jpg","фото на сайте")</f>
        <v>фото на сайте</v>
      </c>
    </row>
    <row r="2267" spans="1:19" ht="50.1" customHeight="1">
      <c r="A2267" s="31"/>
      <c r="B2267" s="32" t="s">
        <v>8814</v>
      </c>
      <c r="C2267" s="31" t="s">
        <v>400</v>
      </c>
      <c r="D2267" s="31" t="s">
        <v>3260</v>
      </c>
      <c r="E2267" s="31" t="s">
        <v>8815</v>
      </c>
      <c r="F2267" s="31" t="s">
        <v>31</v>
      </c>
      <c r="G2267" s="31">
        <v>503</v>
      </c>
      <c r="H2267" s="31">
        <v>10</v>
      </c>
      <c r="I2267" s="31">
        <v>10</v>
      </c>
      <c r="J2267" s="31" t="s">
        <v>8816</v>
      </c>
      <c r="K2267" s="31" t="s">
        <v>33</v>
      </c>
      <c r="L2267" s="31" t="s">
        <v>34</v>
      </c>
      <c r="M2267" s="31">
        <v>480</v>
      </c>
      <c r="N2267" s="31">
        <v>2017</v>
      </c>
      <c r="O2267" s="31">
        <v>364</v>
      </c>
      <c r="P2267" s="31"/>
      <c r="Q2267" s="31"/>
      <c r="R2267" s="33"/>
      <c r="S2267" s="34" t="str">
        <f>HYPERLINK("http://www.cnpol.ru/covers/17758.jpg","фото на сайте")</f>
        <v>фото на сайте</v>
      </c>
    </row>
    <row r="2268" spans="1:19" ht="50.1" customHeight="1">
      <c r="A2268" s="31"/>
      <c r="B2268" s="32" t="s">
        <v>8817</v>
      </c>
      <c r="C2268" s="31" t="s">
        <v>546</v>
      </c>
      <c r="D2268" s="31" t="s">
        <v>653</v>
      </c>
      <c r="E2268" s="31" t="s">
        <v>8818</v>
      </c>
      <c r="F2268" s="31">
        <v>255</v>
      </c>
      <c r="G2268" s="31">
        <v>93</v>
      </c>
      <c r="H2268" s="31">
        <v>10</v>
      </c>
      <c r="I2268" s="31">
        <v>30</v>
      </c>
      <c r="J2268" s="31" t="s">
        <v>8819</v>
      </c>
      <c r="K2268" s="31" t="s">
        <v>123</v>
      </c>
      <c r="L2268" s="31" t="s">
        <v>56</v>
      </c>
      <c r="M2268" s="31">
        <v>160</v>
      </c>
      <c r="N2268" s="31">
        <v>2018</v>
      </c>
      <c r="O2268" s="31">
        <v>76</v>
      </c>
      <c r="P2268" s="31"/>
      <c r="Q2268" s="31"/>
      <c r="R2268" s="33"/>
      <c r="S2268" s="34" t="str">
        <f>HYPERLINK("http://www.cnpol.ru/covers/17953.jpg","фото на сайте")</f>
        <v>фото на сайте</v>
      </c>
    </row>
    <row r="2269" spans="1:19" ht="50.1" customHeight="1">
      <c r="A2269" s="31"/>
      <c r="B2269" s="32" t="s">
        <v>8820</v>
      </c>
      <c r="C2269" s="31" t="s">
        <v>390</v>
      </c>
      <c r="D2269" s="31" t="s">
        <v>1343</v>
      </c>
      <c r="E2269" s="31" t="s">
        <v>8821</v>
      </c>
      <c r="F2269" s="31">
        <v>837</v>
      </c>
      <c r="G2269" s="31">
        <v>86</v>
      </c>
      <c r="H2269" s="31">
        <v>10</v>
      </c>
      <c r="I2269" s="31">
        <v>30</v>
      </c>
      <c r="J2269" s="31" t="s">
        <v>8822</v>
      </c>
      <c r="K2269" s="31" t="s">
        <v>123</v>
      </c>
      <c r="L2269" s="31" t="s">
        <v>56</v>
      </c>
      <c r="M2269" s="31">
        <v>160</v>
      </c>
      <c r="N2269" s="31">
        <v>2018</v>
      </c>
      <c r="O2269" s="31">
        <v>76</v>
      </c>
      <c r="P2269" s="31"/>
      <c r="Q2269" s="31"/>
      <c r="R2269" s="33"/>
      <c r="S2269" s="34" t="str">
        <f>HYPERLINK("http://www.cnpol.ru/covers/18316.jpg","фото на сайте")</f>
        <v>фото на сайте</v>
      </c>
    </row>
    <row r="2270" spans="1:19" ht="50.1" customHeight="1">
      <c r="A2270" s="31"/>
      <c r="B2270" s="32" t="s">
        <v>8823</v>
      </c>
      <c r="C2270" s="31" t="s">
        <v>730</v>
      </c>
      <c r="D2270" s="31" t="s">
        <v>8824</v>
      </c>
      <c r="E2270" s="31" t="s">
        <v>8825</v>
      </c>
      <c r="F2270" s="31" t="s">
        <v>31</v>
      </c>
      <c r="G2270" s="31">
        <v>441</v>
      </c>
      <c r="H2270" s="31">
        <v>10</v>
      </c>
      <c r="I2270" s="31">
        <v>22</v>
      </c>
      <c r="J2270" s="31" t="s">
        <v>8826</v>
      </c>
      <c r="K2270" s="31" t="s">
        <v>33</v>
      </c>
      <c r="L2270" s="31" t="s">
        <v>34</v>
      </c>
      <c r="M2270" s="31">
        <v>160</v>
      </c>
      <c r="N2270" s="31">
        <v>2018</v>
      </c>
      <c r="O2270" s="31">
        <v>182</v>
      </c>
      <c r="P2270" s="31"/>
      <c r="Q2270" s="31"/>
      <c r="R2270" s="33"/>
      <c r="S2270" s="34" t="str">
        <f>HYPERLINK("http://www.cnpol.ru/covers/18117.jpg","фото на сайте")</f>
        <v>фото на сайте</v>
      </c>
    </row>
    <row r="2271" spans="1:19" ht="50.1" customHeight="1">
      <c r="A2271" s="31"/>
      <c r="B2271" s="32" t="s">
        <v>8827</v>
      </c>
      <c r="C2271" s="31" t="s">
        <v>730</v>
      </c>
      <c r="D2271" s="31" t="s">
        <v>8828</v>
      </c>
      <c r="E2271" s="31" t="s">
        <v>8829</v>
      </c>
      <c r="F2271" s="31" t="s">
        <v>31</v>
      </c>
      <c r="G2271" s="31">
        <v>441</v>
      </c>
      <c r="H2271" s="31">
        <v>10</v>
      </c>
      <c r="I2271" s="31">
        <v>16</v>
      </c>
      <c r="J2271" s="31" t="s">
        <v>8830</v>
      </c>
      <c r="K2271" s="31" t="s">
        <v>33</v>
      </c>
      <c r="L2271" s="31" t="s">
        <v>34</v>
      </c>
      <c r="M2271" s="31">
        <v>256</v>
      </c>
      <c r="N2271" s="31">
        <v>2017</v>
      </c>
      <c r="O2271" s="31">
        <v>236</v>
      </c>
      <c r="P2271" s="31"/>
      <c r="Q2271" s="31"/>
      <c r="R2271" s="33"/>
      <c r="S2271" s="34" t="str">
        <f>HYPERLINK("http://www.cnpol.ru/covers/17705.jpg","фото на сайте")</f>
        <v>фото на сайте</v>
      </c>
    </row>
    <row r="2272" spans="1:19" ht="50.1" customHeight="1">
      <c r="A2272" s="31"/>
      <c r="B2272" s="32" t="s">
        <v>8831</v>
      </c>
      <c r="C2272" s="31" t="s">
        <v>6252</v>
      </c>
      <c r="D2272" s="31" t="s">
        <v>8832</v>
      </c>
      <c r="E2272" s="31" t="s">
        <v>8833</v>
      </c>
      <c r="F2272" s="31" t="s">
        <v>31</v>
      </c>
      <c r="G2272" s="35">
        <v>9569</v>
      </c>
      <c r="H2272" s="31">
        <v>10</v>
      </c>
      <c r="I2272" s="31">
        <v>4</v>
      </c>
      <c r="J2272" s="31" t="s">
        <v>8834</v>
      </c>
      <c r="K2272" s="31" t="s">
        <v>8835</v>
      </c>
      <c r="L2272" s="31" t="s">
        <v>34</v>
      </c>
      <c r="M2272" s="31">
        <v>328</v>
      </c>
      <c r="N2272" s="31">
        <v>2007</v>
      </c>
      <c r="O2272" s="31">
        <v>1450</v>
      </c>
      <c r="P2272" s="31"/>
      <c r="Q2272" s="31"/>
      <c r="R2272" s="33"/>
      <c r="S2272" s="34" t="str">
        <f>HYPERLINK("http://www.cnpol.ru/covers/7311.jpg","фото на сайте")</f>
        <v>фото на сайте</v>
      </c>
    </row>
    <row r="2273" spans="1:19" ht="50.1" customHeight="1">
      <c r="A2273" s="31"/>
      <c r="B2273" s="32" t="s">
        <v>8836</v>
      </c>
      <c r="C2273" s="31" t="s">
        <v>528</v>
      </c>
      <c r="D2273" s="31" t="s">
        <v>529</v>
      </c>
      <c r="E2273" s="31" t="s">
        <v>8837</v>
      </c>
      <c r="F2273" s="31" t="s">
        <v>31</v>
      </c>
      <c r="G2273" s="31">
        <v>137</v>
      </c>
      <c r="H2273" s="31">
        <v>10</v>
      </c>
      <c r="I2273" s="31">
        <v>60</v>
      </c>
      <c r="J2273" s="31" t="s">
        <v>8838</v>
      </c>
      <c r="K2273" s="31" t="s">
        <v>55</v>
      </c>
      <c r="L2273" s="31" t="s">
        <v>56</v>
      </c>
      <c r="M2273" s="31">
        <v>158</v>
      </c>
      <c r="N2273" s="31">
        <v>2013</v>
      </c>
      <c r="O2273" s="31">
        <v>68</v>
      </c>
      <c r="P2273" s="31"/>
      <c r="Q2273" s="31"/>
      <c r="R2273" s="33"/>
      <c r="S2273" s="34" t="str">
        <f>HYPERLINK("http://www.cnpol.ru/covers/14361.jpg","фото на сайте")</f>
        <v>фото на сайте</v>
      </c>
    </row>
    <row r="2274" spans="1:19" ht="50.1" customHeight="1">
      <c r="A2274" s="31"/>
      <c r="B2274" s="32" t="s">
        <v>8839</v>
      </c>
      <c r="C2274" s="31" t="s">
        <v>1102</v>
      </c>
      <c r="D2274" s="31" t="s">
        <v>5873</v>
      </c>
      <c r="E2274" s="31" t="s">
        <v>8840</v>
      </c>
      <c r="F2274" s="31" t="s">
        <v>31</v>
      </c>
      <c r="G2274" s="31">
        <v>593</v>
      </c>
      <c r="H2274" s="31">
        <v>10</v>
      </c>
      <c r="I2274" s="31">
        <v>12</v>
      </c>
      <c r="J2274" s="31" t="s">
        <v>8841</v>
      </c>
      <c r="K2274" s="31" t="s">
        <v>33</v>
      </c>
      <c r="L2274" s="31" t="s">
        <v>34</v>
      </c>
      <c r="M2274" s="31">
        <v>320</v>
      </c>
      <c r="N2274" s="31">
        <v>2019</v>
      </c>
      <c r="O2274" s="31">
        <v>272</v>
      </c>
      <c r="P2274" s="31"/>
      <c r="Q2274" s="31"/>
      <c r="R2274" s="33"/>
      <c r="S2274" s="34" t="str">
        <f>HYPERLINK("http://www.cnpol.ru/covers/18734.jpg","фото на сайте")</f>
        <v>фото на сайте</v>
      </c>
    </row>
    <row r="2275" spans="1:19" ht="50.1" customHeight="1">
      <c r="A2275" s="31"/>
      <c r="B2275" s="32" t="s">
        <v>8842</v>
      </c>
      <c r="C2275" s="31" t="s">
        <v>1022</v>
      </c>
      <c r="D2275" s="31" t="s">
        <v>8843</v>
      </c>
      <c r="E2275" s="31" t="s">
        <v>8844</v>
      </c>
      <c r="F2275" s="31" t="s">
        <v>31</v>
      </c>
      <c r="G2275" s="31">
        <v>539</v>
      </c>
      <c r="H2275" s="31">
        <v>10</v>
      </c>
      <c r="I2275" s="31">
        <v>14</v>
      </c>
      <c r="J2275" s="31" t="s">
        <v>8845</v>
      </c>
      <c r="K2275" s="31" t="s">
        <v>33</v>
      </c>
      <c r="L2275" s="31" t="s">
        <v>34</v>
      </c>
      <c r="M2275" s="31">
        <v>320</v>
      </c>
      <c r="N2275" s="31">
        <v>2017</v>
      </c>
      <c r="O2275" s="31">
        <v>270</v>
      </c>
      <c r="P2275" s="31"/>
      <c r="Q2275" s="31"/>
      <c r="R2275" s="33"/>
      <c r="S2275" s="34" t="str">
        <f>HYPERLINK("http://www.cnpol.ru/covers/17605.jpg","фото на сайте")</f>
        <v>фото на сайте</v>
      </c>
    </row>
    <row r="2276" spans="1:19" ht="50.1" customHeight="1">
      <c r="A2276" s="31"/>
      <c r="B2276" s="32" t="s">
        <v>8846</v>
      </c>
      <c r="C2276" s="31" t="s">
        <v>390</v>
      </c>
      <c r="D2276" s="31" t="s">
        <v>2359</v>
      </c>
      <c r="E2276" s="31" t="s">
        <v>8847</v>
      </c>
      <c r="F2276" s="31">
        <v>745</v>
      </c>
      <c r="G2276" s="31">
        <v>86</v>
      </c>
      <c r="H2276" s="31">
        <v>10</v>
      </c>
      <c r="I2276" s="31">
        <v>30</v>
      </c>
      <c r="J2276" s="31" t="s">
        <v>8848</v>
      </c>
      <c r="K2276" s="31" t="s">
        <v>123</v>
      </c>
      <c r="L2276" s="31" t="s">
        <v>56</v>
      </c>
      <c r="M2276" s="31">
        <v>160</v>
      </c>
      <c r="N2276" s="31">
        <v>2017</v>
      </c>
      <c r="O2276" s="31">
        <v>76</v>
      </c>
      <c r="P2276" s="31"/>
      <c r="Q2276" s="31"/>
      <c r="R2276" s="33"/>
      <c r="S2276" s="34" t="str">
        <f>HYPERLINK("http://www.cnpol.ru/covers/17648.jpg","фото на сайте")</f>
        <v>фото на сайте</v>
      </c>
    </row>
    <row r="2277" spans="1:19" ht="50.1" customHeight="1">
      <c r="A2277" s="31"/>
      <c r="B2277" s="32" t="s">
        <v>8849</v>
      </c>
      <c r="C2277" s="31" t="s">
        <v>1448</v>
      </c>
      <c r="D2277" s="31" t="s">
        <v>7130</v>
      </c>
      <c r="E2277" s="31" t="s">
        <v>8850</v>
      </c>
      <c r="F2277" s="31" t="s">
        <v>31</v>
      </c>
      <c r="G2277" s="35">
        <v>1148</v>
      </c>
      <c r="H2277" s="31">
        <v>10</v>
      </c>
      <c r="I2277" s="31">
        <v>10</v>
      </c>
      <c r="J2277" s="31" t="s">
        <v>8851</v>
      </c>
      <c r="K2277" s="31" t="s">
        <v>319</v>
      </c>
      <c r="L2277" s="31" t="s">
        <v>34</v>
      </c>
      <c r="M2277" s="31">
        <v>96</v>
      </c>
      <c r="N2277" s="31">
        <v>2023</v>
      </c>
      <c r="O2277" s="31">
        <v>472</v>
      </c>
      <c r="P2277" s="31"/>
      <c r="Q2277" s="31"/>
      <c r="R2277" s="33" t="s">
        <v>8852</v>
      </c>
      <c r="S2277" s="34" t="str">
        <f>HYPERLINK("http://www.cnpol.ru/covers/20929.jpg","фото на сайте")</f>
        <v>фото на сайте</v>
      </c>
    </row>
    <row r="2278" spans="1:19" ht="50.1" customHeight="1">
      <c r="A2278" s="31"/>
      <c r="B2278" s="32" t="s">
        <v>8853</v>
      </c>
      <c r="C2278" s="31" t="s">
        <v>818</v>
      </c>
      <c r="D2278" s="31" t="s">
        <v>8854</v>
      </c>
      <c r="E2278" s="31" t="s">
        <v>8855</v>
      </c>
      <c r="F2278" s="31" t="s">
        <v>31</v>
      </c>
      <c r="G2278" s="31">
        <v>88</v>
      </c>
      <c r="H2278" s="31">
        <v>10</v>
      </c>
      <c r="I2278" s="31">
        <v>40</v>
      </c>
      <c r="J2278" s="31" t="s">
        <v>8856</v>
      </c>
      <c r="K2278" s="31" t="s">
        <v>55</v>
      </c>
      <c r="L2278" s="31" t="s">
        <v>56</v>
      </c>
      <c r="M2278" s="31">
        <v>156</v>
      </c>
      <c r="N2278" s="31">
        <v>2004</v>
      </c>
      <c r="O2278" s="31">
        <v>72</v>
      </c>
      <c r="P2278" s="31"/>
      <c r="Q2278" s="31"/>
      <c r="R2278" s="33"/>
      <c r="S2278" s="34" t="str">
        <f>HYPERLINK("http://www.cnpol.ru/covers/5322.jpg","фото на сайте")</f>
        <v>фото на сайте</v>
      </c>
    </row>
    <row r="2279" spans="1:19" ht="50.1" customHeight="1">
      <c r="A2279" s="31"/>
      <c r="B2279" s="32" t="s">
        <v>8857</v>
      </c>
      <c r="C2279" s="31" t="s">
        <v>528</v>
      </c>
      <c r="D2279" s="31" t="s">
        <v>529</v>
      </c>
      <c r="E2279" s="31" t="s">
        <v>8858</v>
      </c>
      <c r="F2279" s="31" t="s">
        <v>31</v>
      </c>
      <c r="G2279" s="31">
        <v>137</v>
      </c>
      <c r="H2279" s="31">
        <v>10</v>
      </c>
      <c r="I2279" s="31">
        <v>24</v>
      </c>
      <c r="J2279" s="31" t="s">
        <v>8859</v>
      </c>
      <c r="K2279" s="31" t="s">
        <v>55</v>
      </c>
      <c r="L2279" s="31" t="s">
        <v>56</v>
      </c>
      <c r="M2279" s="31">
        <v>160</v>
      </c>
      <c r="N2279" s="31">
        <v>2016</v>
      </c>
      <c r="O2279" s="31">
        <v>66</v>
      </c>
      <c r="P2279" s="31"/>
      <c r="Q2279" s="31"/>
      <c r="R2279" s="33"/>
      <c r="S2279" s="34" t="str">
        <f>HYPERLINK("http://www.cnpol.ru/covers/17095.jpg","фото на сайте")</f>
        <v>фото на сайте</v>
      </c>
    </row>
    <row r="2280" spans="1:19" ht="50.1" customHeight="1">
      <c r="A2280" s="31"/>
      <c r="B2280" s="32" t="s">
        <v>8860</v>
      </c>
      <c r="C2280" s="31" t="s">
        <v>1668</v>
      </c>
      <c r="D2280" s="31" t="s">
        <v>1669</v>
      </c>
      <c r="E2280" s="31" t="s">
        <v>8861</v>
      </c>
      <c r="F2280" s="31" t="s">
        <v>31</v>
      </c>
      <c r="G2280" s="31">
        <v>575</v>
      </c>
      <c r="H2280" s="31">
        <v>10</v>
      </c>
      <c r="I2280" s="31">
        <v>14</v>
      </c>
      <c r="J2280" s="31" t="s">
        <v>8862</v>
      </c>
      <c r="K2280" s="31" t="s">
        <v>33</v>
      </c>
      <c r="L2280" s="31" t="s">
        <v>34</v>
      </c>
      <c r="M2280" s="31">
        <v>317</v>
      </c>
      <c r="N2280" s="31">
        <v>2022</v>
      </c>
      <c r="O2280" s="31">
        <v>272</v>
      </c>
      <c r="P2280" s="31"/>
      <c r="Q2280" s="31"/>
      <c r="R2280" s="33" t="s">
        <v>8863</v>
      </c>
      <c r="S2280" s="34" t="str">
        <f>HYPERLINK("http://www.cnpol.ru/covers/20473.jpg","фото на сайте")</f>
        <v>фото на сайте</v>
      </c>
    </row>
    <row r="2281" spans="1:19" ht="50.1" customHeight="1">
      <c r="A2281" s="31"/>
      <c r="B2281" s="32" t="s">
        <v>8864</v>
      </c>
      <c r="C2281" s="31" t="s">
        <v>3422</v>
      </c>
      <c r="D2281" s="31" t="s">
        <v>2408</v>
      </c>
      <c r="E2281" s="31" t="s">
        <v>8865</v>
      </c>
      <c r="F2281" s="31" t="s">
        <v>31</v>
      </c>
      <c r="G2281" s="31">
        <v>154</v>
      </c>
      <c r="H2281" s="31">
        <v>10</v>
      </c>
      <c r="I2281" s="31">
        <v>20</v>
      </c>
      <c r="J2281" s="31" t="s">
        <v>8866</v>
      </c>
      <c r="K2281" s="31" t="s">
        <v>55</v>
      </c>
      <c r="L2281" s="31" t="s">
        <v>56</v>
      </c>
      <c r="M2281" s="31">
        <v>287</v>
      </c>
      <c r="N2281" s="31">
        <v>2008</v>
      </c>
      <c r="O2281" s="31">
        <v>118</v>
      </c>
      <c r="P2281" s="31"/>
      <c r="Q2281" s="31"/>
      <c r="R2281" s="33"/>
      <c r="S2281" s="34" t="str">
        <f>HYPERLINK("http://www.cnpol.ru/covers/10205.jpg","фото на сайте")</f>
        <v>фото на сайте</v>
      </c>
    </row>
    <row r="2282" spans="1:19" ht="50.1" customHeight="1">
      <c r="A2282" s="31"/>
      <c r="B2282" s="32" t="s">
        <v>8867</v>
      </c>
      <c r="C2282" s="31" t="s">
        <v>390</v>
      </c>
      <c r="D2282" s="31" t="s">
        <v>2106</v>
      </c>
      <c r="E2282" s="31" t="s">
        <v>8868</v>
      </c>
      <c r="F2282" s="31">
        <v>1032</v>
      </c>
      <c r="G2282" s="31">
        <v>86</v>
      </c>
      <c r="H2282" s="31">
        <v>10</v>
      </c>
      <c r="I2282" s="31">
        <v>30</v>
      </c>
      <c r="J2282" s="31" t="s">
        <v>8869</v>
      </c>
      <c r="K2282" s="31" t="s">
        <v>123</v>
      </c>
      <c r="L2282" s="31" t="s">
        <v>56</v>
      </c>
      <c r="M2282" s="31">
        <v>160</v>
      </c>
      <c r="N2282" s="31">
        <v>2021</v>
      </c>
      <c r="O2282" s="31">
        <v>76</v>
      </c>
      <c r="P2282" s="31"/>
      <c r="Q2282" s="31"/>
      <c r="R2282" s="33"/>
      <c r="S2282" s="34" t="str">
        <f>HYPERLINK("http://www.cnpol.ru/covers/19641.jpg","фото на сайте")</f>
        <v>фото на сайте</v>
      </c>
    </row>
    <row r="2283" spans="1:19" ht="50.1" customHeight="1">
      <c r="A2283" s="31"/>
      <c r="B2283" s="32" t="s">
        <v>8870</v>
      </c>
      <c r="C2283" s="31" t="s">
        <v>390</v>
      </c>
      <c r="D2283" s="31" t="s">
        <v>391</v>
      </c>
      <c r="E2283" s="31" t="s">
        <v>8871</v>
      </c>
      <c r="F2283" s="31">
        <v>968</v>
      </c>
      <c r="G2283" s="31">
        <v>86</v>
      </c>
      <c r="H2283" s="31">
        <v>10</v>
      </c>
      <c r="I2283" s="31">
        <v>30</v>
      </c>
      <c r="J2283" s="31" t="s">
        <v>8872</v>
      </c>
      <c r="K2283" s="31" t="s">
        <v>123</v>
      </c>
      <c r="L2283" s="31" t="s">
        <v>56</v>
      </c>
      <c r="M2283" s="31">
        <v>160</v>
      </c>
      <c r="N2283" s="31">
        <v>2020</v>
      </c>
      <c r="O2283" s="31">
        <v>76</v>
      </c>
      <c r="P2283" s="31"/>
      <c r="Q2283" s="31"/>
      <c r="R2283" s="33"/>
      <c r="S2283" s="34" t="str">
        <f>HYPERLINK("http://www.cnpol.ru/covers/19113.jpg","фото на сайте")</f>
        <v>фото на сайте</v>
      </c>
    </row>
    <row r="2284" spans="1:19" ht="50.1" customHeight="1">
      <c r="A2284" s="31"/>
      <c r="B2284" s="32" t="s">
        <v>8873</v>
      </c>
      <c r="C2284" s="31" t="s">
        <v>390</v>
      </c>
      <c r="D2284" s="31" t="s">
        <v>1581</v>
      </c>
      <c r="E2284" s="31" t="s">
        <v>8874</v>
      </c>
      <c r="F2284" s="31">
        <v>1013</v>
      </c>
      <c r="G2284" s="31">
        <v>86</v>
      </c>
      <c r="H2284" s="31">
        <v>10</v>
      </c>
      <c r="I2284" s="31">
        <v>30</v>
      </c>
      <c r="J2284" s="31" t="s">
        <v>8875</v>
      </c>
      <c r="K2284" s="31" t="s">
        <v>123</v>
      </c>
      <c r="L2284" s="31" t="s">
        <v>56</v>
      </c>
      <c r="M2284" s="31">
        <v>160</v>
      </c>
      <c r="N2284" s="31">
        <v>2021</v>
      </c>
      <c r="O2284" s="31">
        <v>76</v>
      </c>
      <c r="P2284" s="31"/>
      <c r="Q2284" s="31"/>
      <c r="R2284" s="33"/>
      <c r="S2284" s="34" t="str">
        <f>HYPERLINK("http://www.cnpol.ru/covers/19463.jpg","фото на сайте")</f>
        <v>фото на сайте</v>
      </c>
    </row>
    <row r="2285" spans="1:19" ht="50.1" customHeight="1">
      <c r="A2285" s="31"/>
      <c r="B2285" s="32" t="s">
        <v>8876</v>
      </c>
      <c r="C2285" s="31" t="s">
        <v>413</v>
      </c>
      <c r="D2285" s="31" t="s">
        <v>8877</v>
      </c>
      <c r="E2285" s="31" t="s">
        <v>8878</v>
      </c>
      <c r="F2285" s="31">
        <v>23</v>
      </c>
      <c r="G2285" s="31">
        <v>117</v>
      </c>
      <c r="H2285" s="31">
        <v>10</v>
      </c>
      <c r="I2285" s="31">
        <v>36</v>
      </c>
      <c r="J2285" s="31" t="s">
        <v>8879</v>
      </c>
      <c r="K2285" s="31" t="s">
        <v>123</v>
      </c>
      <c r="L2285" s="31" t="s">
        <v>56</v>
      </c>
      <c r="M2285" s="31">
        <v>190</v>
      </c>
      <c r="N2285" s="31">
        <v>2014</v>
      </c>
      <c r="O2285" s="31">
        <v>92</v>
      </c>
      <c r="P2285" s="31"/>
      <c r="Q2285" s="31"/>
      <c r="R2285" s="33"/>
      <c r="S2285" s="34" t="str">
        <f>HYPERLINK("http://www.cnpol.ru/covers/15489.jpg","фото на сайте")</f>
        <v>фото на сайте</v>
      </c>
    </row>
    <row r="2286" spans="1:19" ht="50.1" customHeight="1">
      <c r="A2286" s="31"/>
      <c r="B2286" s="32" t="s">
        <v>8880</v>
      </c>
      <c r="C2286" s="31" t="s">
        <v>390</v>
      </c>
      <c r="D2286" s="31" t="s">
        <v>4130</v>
      </c>
      <c r="E2286" s="31" t="s">
        <v>8881</v>
      </c>
      <c r="F2286" s="31">
        <v>709</v>
      </c>
      <c r="G2286" s="31">
        <v>86</v>
      </c>
      <c r="H2286" s="31">
        <v>10</v>
      </c>
      <c r="I2286" s="31">
        <v>30</v>
      </c>
      <c r="J2286" s="31" t="s">
        <v>8882</v>
      </c>
      <c r="K2286" s="31" t="s">
        <v>123</v>
      </c>
      <c r="L2286" s="31" t="s">
        <v>56</v>
      </c>
      <c r="M2286" s="31">
        <v>160</v>
      </c>
      <c r="N2286" s="31">
        <v>2017</v>
      </c>
      <c r="O2286" s="31">
        <v>76</v>
      </c>
      <c r="P2286" s="31"/>
      <c r="Q2286" s="31"/>
      <c r="R2286" s="33"/>
      <c r="S2286" s="34" t="str">
        <f>HYPERLINK("http://www.cnpol.ru/covers/17436.jpg","фото на сайте")</f>
        <v>фото на сайте</v>
      </c>
    </row>
    <row r="2287" spans="1:19" ht="50.1" customHeight="1">
      <c r="A2287" s="31"/>
      <c r="B2287" s="32" t="s">
        <v>8883</v>
      </c>
      <c r="C2287" s="31" t="s">
        <v>413</v>
      </c>
      <c r="D2287" s="31" t="s">
        <v>989</v>
      </c>
      <c r="E2287" s="31" t="s">
        <v>8884</v>
      </c>
      <c r="F2287" s="31">
        <v>183</v>
      </c>
      <c r="G2287" s="31">
        <v>117</v>
      </c>
      <c r="H2287" s="31">
        <v>10</v>
      </c>
      <c r="I2287" s="31">
        <v>28</v>
      </c>
      <c r="J2287" s="31" t="s">
        <v>8885</v>
      </c>
      <c r="K2287" s="31" t="s">
        <v>123</v>
      </c>
      <c r="L2287" s="31" t="s">
        <v>56</v>
      </c>
      <c r="M2287" s="31">
        <v>192</v>
      </c>
      <c r="N2287" s="31">
        <v>2021</v>
      </c>
      <c r="O2287" s="31">
        <v>90</v>
      </c>
      <c r="P2287" s="31"/>
      <c r="Q2287" s="31"/>
      <c r="R2287" s="33"/>
      <c r="S2287" s="34" t="str">
        <f>HYPERLINK("http://www.cnpol.ru/covers/19849.jpg","фото на сайте")</f>
        <v>фото на сайте</v>
      </c>
    </row>
    <row r="2288" spans="1:19" ht="50.1" customHeight="1">
      <c r="A2288" s="31"/>
      <c r="B2288" s="32" t="s">
        <v>8886</v>
      </c>
      <c r="C2288" s="31" t="s">
        <v>390</v>
      </c>
      <c r="D2288" s="31" t="s">
        <v>2285</v>
      </c>
      <c r="E2288" s="31" t="s">
        <v>8887</v>
      </c>
      <c r="F2288" s="31">
        <v>946</v>
      </c>
      <c r="G2288" s="31">
        <v>86</v>
      </c>
      <c r="H2288" s="31">
        <v>10</v>
      </c>
      <c r="I2288" s="31">
        <v>30</v>
      </c>
      <c r="J2288" s="31" t="s">
        <v>8888</v>
      </c>
      <c r="K2288" s="31" t="s">
        <v>123</v>
      </c>
      <c r="L2288" s="31" t="s">
        <v>56</v>
      </c>
      <c r="M2288" s="31">
        <v>160</v>
      </c>
      <c r="N2288" s="31">
        <v>2019</v>
      </c>
      <c r="O2288" s="31">
        <v>76</v>
      </c>
      <c r="P2288" s="31"/>
      <c r="Q2288" s="31"/>
      <c r="R2288" s="33"/>
      <c r="S2288" s="34" t="str">
        <f>HYPERLINK("http://www.cnpol.ru/covers/18971.jpg","фото на сайте")</f>
        <v>фото на сайте</v>
      </c>
    </row>
    <row r="2289" spans="1:19" ht="50.1" customHeight="1">
      <c r="A2289" s="31"/>
      <c r="B2289" s="32" t="s">
        <v>8889</v>
      </c>
      <c r="C2289" s="31" t="s">
        <v>1668</v>
      </c>
      <c r="D2289" s="31" t="s">
        <v>1669</v>
      </c>
      <c r="E2289" s="31" t="s">
        <v>8890</v>
      </c>
      <c r="F2289" s="31" t="s">
        <v>31</v>
      </c>
      <c r="G2289" s="31">
        <v>575</v>
      </c>
      <c r="H2289" s="31">
        <v>10</v>
      </c>
      <c r="I2289" s="31">
        <v>12</v>
      </c>
      <c r="J2289" s="31" t="s">
        <v>8891</v>
      </c>
      <c r="K2289" s="31" t="s">
        <v>33</v>
      </c>
      <c r="L2289" s="31" t="s">
        <v>34</v>
      </c>
      <c r="M2289" s="31">
        <v>351</v>
      </c>
      <c r="N2289" s="31">
        <v>2022</v>
      </c>
      <c r="O2289" s="31">
        <v>294</v>
      </c>
      <c r="P2289" s="31"/>
      <c r="Q2289" s="31"/>
      <c r="R2289" s="33"/>
      <c r="S2289" s="34" t="str">
        <f>HYPERLINK("http://www.cnpol.ru/covers/20347.jpg","фото на сайте")</f>
        <v>фото на сайте</v>
      </c>
    </row>
    <row r="2290" spans="1:19" ht="50.1" customHeight="1">
      <c r="A2290" s="31"/>
      <c r="B2290" s="32" t="s">
        <v>8892</v>
      </c>
      <c r="C2290" s="31" t="s">
        <v>1050</v>
      </c>
      <c r="D2290" s="31" t="s">
        <v>2278</v>
      </c>
      <c r="E2290" s="31" t="s">
        <v>8893</v>
      </c>
      <c r="F2290" s="31" t="s">
        <v>31</v>
      </c>
      <c r="G2290" s="31">
        <v>386</v>
      </c>
      <c r="H2290" s="31">
        <v>10</v>
      </c>
      <c r="I2290" s="31">
        <v>20</v>
      </c>
      <c r="J2290" s="31" t="s">
        <v>8894</v>
      </c>
      <c r="K2290" s="31" t="s">
        <v>33</v>
      </c>
      <c r="L2290" s="31" t="s">
        <v>210</v>
      </c>
      <c r="M2290" s="31">
        <v>254</v>
      </c>
      <c r="N2290" s="31">
        <v>2021</v>
      </c>
      <c r="O2290" s="31">
        <v>160</v>
      </c>
      <c r="P2290" s="31"/>
      <c r="Q2290" s="31"/>
      <c r="R2290" s="33"/>
      <c r="S2290" s="34" t="str">
        <f>HYPERLINK("http://www.cnpol.ru/covers/19732.jpg","фото на сайте")</f>
        <v>фото на сайте</v>
      </c>
    </row>
    <row r="2291" spans="1:19" ht="50.1" customHeight="1">
      <c r="A2291" s="31"/>
      <c r="B2291" s="32" t="s">
        <v>8895</v>
      </c>
      <c r="C2291" s="31" t="s">
        <v>520</v>
      </c>
      <c r="D2291" s="31" t="s">
        <v>5028</v>
      </c>
      <c r="E2291" s="31" t="s">
        <v>8896</v>
      </c>
      <c r="F2291" s="31">
        <v>28</v>
      </c>
      <c r="G2291" s="31">
        <v>117</v>
      </c>
      <c r="H2291" s="31">
        <v>10</v>
      </c>
      <c r="I2291" s="31">
        <v>30</v>
      </c>
      <c r="J2291" s="31" t="s">
        <v>8897</v>
      </c>
      <c r="K2291" s="31" t="s">
        <v>123</v>
      </c>
      <c r="L2291" s="31" t="s">
        <v>56</v>
      </c>
      <c r="M2291" s="31">
        <v>192</v>
      </c>
      <c r="N2291" s="31">
        <v>2016</v>
      </c>
      <c r="O2291" s="31">
        <v>90</v>
      </c>
      <c r="P2291" s="31"/>
      <c r="Q2291" s="31"/>
      <c r="R2291" s="33"/>
      <c r="S2291" s="34" t="str">
        <f>HYPERLINK("http://www.cnpol.ru/covers/16817.jpg","фото на сайте")</f>
        <v>фото на сайте</v>
      </c>
    </row>
    <row r="2292" spans="1:19" ht="50.1" customHeight="1">
      <c r="A2292" s="31" t="s">
        <v>43</v>
      </c>
      <c r="B2292" s="32" t="s">
        <v>8898</v>
      </c>
      <c r="C2292" s="31" t="s">
        <v>1064</v>
      </c>
      <c r="D2292" s="31" t="s">
        <v>1065</v>
      </c>
      <c r="E2292" s="31" t="s">
        <v>8899</v>
      </c>
      <c r="F2292" s="31" t="s">
        <v>31</v>
      </c>
      <c r="G2292" s="35">
        <v>1077</v>
      </c>
      <c r="H2292" s="31">
        <v>10</v>
      </c>
      <c r="I2292" s="31">
        <v>5</v>
      </c>
      <c r="J2292" s="31" t="s">
        <v>8900</v>
      </c>
      <c r="K2292" s="31" t="s">
        <v>33</v>
      </c>
      <c r="L2292" s="31" t="s">
        <v>34</v>
      </c>
      <c r="M2292" s="31">
        <v>470</v>
      </c>
      <c r="N2292" s="31">
        <v>2025</v>
      </c>
      <c r="O2292" s="31">
        <v>310</v>
      </c>
      <c r="P2292" s="31"/>
      <c r="Q2292" s="31"/>
      <c r="R2292" s="33" t="s">
        <v>8901</v>
      </c>
      <c r="S2292" s="34" t="str">
        <f>HYPERLINK("http://www.cnpol.ru/covers/21625.jpg","фото на сайте")</f>
        <v>фото на сайте</v>
      </c>
    </row>
    <row r="2293" spans="1:19" ht="50.1" customHeight="1">
      <c r="A2293" s="31"/>
      <c r="B2293" s="32" t="s">
        <v>8902</v>
      </c>
      <c r="C2293" s="31" t="s">
        <v>546</v>
      </c>
      <c r="D2293" s="31" t="s">
        <v>1842</v>
      </c>
      <c r="E2293" s="31" t="s">
        <v>8903</v>
      </c>
      <c r="F2293" s="31">
        <v>210</v>
      </c>
      <c r="G2293" s="31">
        <v>93</v>
      </c>
      <c r="H2293" s="31">
        <v>10</v>
      </c>
      <c r="I2293" s="31">
        <v>30</v>
      </c>
      <c r="J2293" s="31" t="s">
        <v>8904</v>
      </c>
      <c r="K2293" s="31" t="s">
        <v>123</v>
      </c>
      <c r="L2293" s="31" t="s">
        <v>56</v>
      </c>
      <c r="M2293" s="31">
        <v>160</v>
      </c>
      <c r="N2293" s="31">
        <v>2017</v>
      </c>
      <c r="O2293" s="31">
        <v>76</v>
      </c>
      <c r="P2293" s="31"/>
      <c r="Q2293" s="31"/>
      <c r="R2293" s="33"/>
      <c r="S2293" s="34" t="str">
        <f>HYPERLINK("http://www.cnpol.ru/covers/17352.jpg","фото на сайте")</f>
        <v>фото на сайте</v>
      </c>
    </row>
    <row r="2294" spans="1:19" ht="50.1" customHeight="1">
      <c r="A2294" s="31"/>
      <c r="B2294" s="32" t="s">
        <v>8905</v>
      </c>
      <c r="C2294" s="31" t="s">
        <v>2420</v>
      </c>
      <c r="D2294" s="31" t="s">
        <v>8906</v>
      </c>
      <c r="E2294" s="31" t="s">
        <v>8907</v>
      </c>
      <c r="F2294" s="31" t="s">
        <v>31</v>
      </c>
      <c r="G2294" s="31">
        <v>88</v>
      </c>
      <c r="H2294" s="31">
        <v>10</v>
      </c>
      <c r="I2294" s="31">
        <v>30</v>
      </c>
      <c r="J2294" s="31" t="s">
        <v>8908</v>
      </c>
      <c r="K2294" s="31" t="s">
        <v>123</v>
      </c>
      <c r="L2294" s="31" t="s">
        <v>56</v>
      </c>
      <c r="M2294" s="31">
        <v>159</v>
      </c>
      <c r="N2294" s="31">
        <v>2007</v>
      </c>
      <c r="O2294" s="31">
        <v>76</v>
      </c>
      <c r="P2294" s="31"/>
      <c r="Q2294" s="31"/>
      <c r="R2294" s="33"/>
      <c r="S2294" s="34" t="str">
        <f>HYPERLINK("http://www.cnpol.ru/covers/7327.jpg","фото на сайте")</f>
        <v>фото на сайте</v>
      </c>
    </row>
    <row r="2295" spans="1:19" ht="50.1" customHeight="1">
      <c r="A2295" s="31"/>
      <c r="B2295" s="32" t="s">
        <v>8909</v>
      </c>
      <c r="C2295" s="31" t="s">
        <v>2233</v>
      </c>
      <c r="D2295" s="31" t="s">
        <v>8910</v>
      </c>
      <c r="E2295" s="31" t="s">
        <v>8911</v>
      </c>
      <c r="F2295" s="31" t="s">
        <v>31</v>
      </c>
      <c r="G2295" s="31">
        <v>137</v>
      </c>
      <c r="H2295" s="31">
        <v>10</v>
      </c>
      <c r="I2295" s="31">
        <v>20</v>
      </c>
      <c r="J2295" s="31" t="s">
        <v>8912</v>
      </c>
      <c r="K2295" s="31" t="s">
        <v>55</v>
      </c>
      <c r="L2295" s="31" t="s">
        <v>56</v>
      </c>
      <c r="M2295" s="31">
        <v>253</v>
      </c>
      <c r="N2295" s="31">
        <v>2009</v>
      </c>
      <c r="O2295" s="31">
        <v>108</v>
      </c>
      <c r="P2295" s="31"/>
      <c r="Q2295" s="31"/>
      <c r="R2295" s="33"/>
      <c r="S2295" s="34" t="str">
        <f>HYPERLINK("http://www.cnpol.ru/covers/11556.jpg","фото на сайте")</f>
        <v>фото на сайте</v>
      </c>
    </row>
    <row r="2296" spans="1:19" ht="50.1" customHeight="1">
      <c r="A2296" s="31"/>
      <c r="B2296" s="32" t="s">
        <v>8913</v>
      </c>
      <c r="C2296" s="31" t="s">
        <v>413</v>
      </c>
      <c r="D2296" s="31" t="s">
        <v>8024</v>
      </c>
      <c r="E2296" s="31" t="s">
        <v>8914</v>
      </c>
      <c r="F2296" s="31">
        <v>118</v>
      </c>
      <c r="G2296" s="31">
        <v>117</v>
      </c>
      <c r="H2296" s="31">
        <v>10</v>
      </c>
      <c r="I2296" s="31">
        <v>36</v>
      </c>
      <c r="J2296" s="31" t="s">
        <v>8915</v>
      </c>
      <c r="K2296" s="31" t="s">
        <v>123</v>
      </c>
      <c r="L2296" s="31" t="s">
        <v>56</v>
      </c>
      <c r="M2296" s="31">
        <v>192</v>
      </c>
      <c r="N2296" s="31">
        <v>2016</v>
      </c>
      <c r="O2296" s="31">
        <v>90</v>
      </c>
      <c r="P2296" s="31"/>
      <c r="Q2296" s="31"/>
      <c r="R2296" s="33"/>
      <c r="S2296" s="34" t="str">
        <f>HYPERLINK("http://www.cnpol.ru/covers/16954.jpg","фото на сайте")</f>
        <v>фото на сайте</v>
      </c>
    </row>
    <row r="2297" spans="1:19" ht="50.1" customHeight="1">
      <c r="A2297" s="31" t="s">
        <v>35</v>
      </c>
      <c r="B2297" s="32" t="s">
        <v>8916</v>
      </c>
      <c r="C2297" s="31" t="s">
        <v>143</v>
      </c>
      <c r="D2297" s="31" t="s">
        <v>8917</v>
      </c>
      <c r="E2297" s="31" t="s">
        <v>8918</v>
      </c>
      <c r="F2297" s="31" t="s">
        <v>31</v>
      </c>
      <c r="G2297" s="31">
        <v>807</v>
      </c>
      <c r="H2297" s="31">
        <v>10</v>
      </c>
      <c r="I2297" s="31">
        <v>10</v>
      </c>
      <c r="J2297" s="31" t="s">
        <v>8919</v>
      </c>
      <c r="K2297" s="31" t="s">
        <v>33</v>
      </c>
      <c r="L2297" s="31" t="s">
        <v>34</v>
      </c>
      <c r="M2297" s="31">
        <v>255</v>
      </c>
      <c r="N2297" s="31">
        <v>2025</v>
      </c>
      <c r="O2297" s="31" t="s">
        <v>220</v>
      </c>
      <c r="P2297" s="31"/>
      <c r="Q2297" s="31"/>
      <c r="R2297" s="33" t="s">
        <v>8920</v>
      </c>
      <c r="S2297" s="34" t="str">
        <f>HYPERLINK("http://www.cnpol.ru/covers/21870.jpg","фото на сайте")</f>
        <v>фото на сайте</v>
      </c>
    </row>
    <row r="2298" spans="1:19" ht="50.1" customHeight="1">
      <c r="A2298" s="31"/>
      <c r="B2298" s="32" t="s">
        <v>8921</v>
      </c>
      <c r="C2298" s="31" t="s">
        <v>479</v>
      </c>
      <c r="D2298" s="31" t="s">
        <v>8922</v>
      </c>
      <c r="E2298" s="31" t="s">
        <v>8923</v>
      </c>
      <c r="F2298" s="31" t="s">
        <v>31</v>
      </c>
      <c r="G2298" s="31">
        <v>522</v>
      </c>
      <c r="H2298" s="31">
        <v>10</v>
      </c>
      <c r="I2298" s="31">
        <v>14</v>
      </c>
      <c r="J2298" s="31" t="s">
        <v>8924</v>
      </c>
      <c r="K2298" s="31" t="s">
        <v>33</v>
      </c>
      <c r="L2298" s="31" t="s">
        <v>34</v>
      </c>
      <c r="M2298" s="31">
        <v>288</v>
      </c>
      <c r="N2298" s="31">
        <v>2015</v>
      </c>
      <c r="O2298" s="31">
        <v>248</v>
      </c>
      <c r="P2298" s="31"/>
      <c r="Q2298" s="31"/>
      <c r="R2298" s="33"/>
      <c r="S2298" s="34" t="str">
        <f>HYPERLINK("http://www.cnpol.ru/covers/16398.jpg","фото на сайте")</f>
        <v>фото на сайте</v>
      </c>
    </row>
    <row r="2299" spans="1:19" ht="50.1" customHeight="1">
      <c r="A2299" s="31"/>
      <c r="B2299" s="32" t="s">
        <v>8925</v>
      </c>
      <c r="C2299" s="31" t="s">
        <v>6638</v>
      </c>
      <c r="D2299" s="31" t="s">
        <v>6639</v>
      </c>
      <c r="E2299" s="31" t="s">
        <v>8926</v>
      </c>
      <c r="F2299" s="31" t="s">
        <v>31</v>
      </c>
      <c r="G2299" s="31">
        <v>425</v>
      </c>
      <c r="H2299" s="31">
        <v>10</v>
      </c>
      <c r="I2299" s="31">
        <v>16</v>
      </c>
      <c r="J2299" s="31" t="s">
        <v>8927</v>
      </c>
      <c r="K2299" s="31" t="s">
        <v>33</v>
      </c>
      <c r="L2299" s="31" t="s">
        <v>34</v>
      </c>
      <c r="M2299" s="31">
        <v>258</v>
      </c>
      <c r="N2299" s="31">
        <v>2021</v>
      </c>
      <c r="O2299" s="31">
        <v>330</v>
      </c>
      <c r="P2299" s="31"/>
      <c r="Q2299" s="31"/>
      <c r="R2299" s="33"/>
      <c r="S2299" s="34" t="str">
        <f>HYPERLINK("http://www.cnpol.ru/covers/19808.jpg","фото на сайте")</f>
        <v>фото на сайте</v>
      </c>
    </row>
    <row r="2300" spans="1:19" ht="50.1" customHeight="1">
      <c r="A2300" s="31"/>
      <c r="B2300" s="32" t="s">
        <v>8928</v>
      </c>
      <c r="C2300" s="31" t="s">
        <v>400</v>
      </c>
      <c r="D2300" s="31" t="s">
        <v>2412</v>
      </c>
      <c r="E2300" s="31" t="s">
        <v>8929</v>
      </c>
      <c r="F2300" s="31" t="s">
        <v>31</v>
      </c>
      <c r="G2300" s="31">
        <v>503</v>
      </c>
      <c r="H2300" s="31">
        <v>10</v>
      </c>
      <c r="I2300" s="31">
        <v>14</v>
      </c>
      <c r="J2300" s="31" t="s">
        <v>8930</v>
      </c>
      <c r="K2300" s="31" t="s">
        <v>33</v>
      </c>
      <c r="L2300" s="31" t="s">
        <v>34</v>
      </c>
      <c r="M2300" s="31">
        <v>288</v>
      </c>
      <c r="N2300" s="31">
        <v>2017</v>
      </c>
      <c r="O2300" s="31">
        <v>242</v>
      </c>
      <c r="P2300" s="31"/>
      <c r="Q2300" s="31"/>
      <c r="R2300" s="33"/>
      <c r="S2300" s="34" t="str">
        <f>HYPERLINK("http://www.cnpol.ru/covers/17484.jpg","фото на сайте")</f>
        <v>фото на сайте</v>
      </c>
    </row>
    <row r="2301" spans="1:19" ht="50.1" customHeight="1">
      <c r="A2301" s="31"/>
      <c r="B2301" s="32" t="s">
        <v>8931</v>
      </c>
      <c r="C2301" s="31" t="s">
        <v>297</v>
      </c>
      <c r="D2301" s="31" t="s">
        <v>539</v>
      </c>
      <c r="E2301" s="31" t="s">
        <v>8932</v>
      </c>
      <c r="F2301" s="31" t="s">
        <v>31</v>
      </c>
      <c r="G2301" s="31">
        <v>300</v>
      </c>
      <c r="H2301" s="31">
        <v>10</v>
      </c>
      <c r="I2301" s="31">
        <v>14</v>
      </c>
      <c r="J2301" s="31" t="s">
        <v>8933</v>
      </c>
      <c r="K2301" s="31" t="s">
        <v>300</v>
      </c>
      <c r="L2301" s="31" t="s">
        <v>56</v>
      </c>
      <c r="M2301" s="31">
        <v>416</v>
      </c>
      <c r="N2301" s="31">
        <v>2017</v>
      </c>
      <c r="O2301" s="31">
        <v>202</v>
      </c>
      <c r="P2301" s="31"/>
      <c r="Q2301" s="31"/>
      <c r="R2301" s="33"/>
      <c r="S2301" s="34" t="str">
        <f>HYPERLINK("http://www.cnpol.ru/covers/17615.jpg","фото на сайте")</f>
        <v>фото на сайте</v>
      </c>
    </row>
    <row r="2302" spans="1:19" ht="50.1" customHeight="1">
      <c r="A2302" s="31"/>
      <c r="B2302" s="32" t="s">
        <v>8934</v>
      </c>
      <c r="C2302" s="31" t="s">
        <v>385</v>
      </c>
      <c r="D2302" s="31" t="s">
        <v>386</v>
      </c>
      <c r="E2302" s="31" t="s">
        <v>8935</v>
      </c>
      <c r="F2302" s="31" t="s">
        <v>31</v>
      </c>
      <c r="G2302" s="31">
        <v>162</v>
      </c>
      <c r="H2302" s="31">
        <v>10</v>
      </c>
      <c r="I2302" s="31">
        <v>32</v>
      </c>
      <c r="J2302" s="31" t="s">
        <v>8936</v>
      </c>
      <c r="K2302" s="31" t="s">
        <v>55</v>
      </c>
      <c r="L2302" s="31" t="s">
        <v>56</v>
      </c>
      <c r="M2302" s="31">
        <v>256</v>
      </c>
      <c r="N2302" s="31">
        <v>2016</v>
      </c>
      <c r="O2302" s="31">
        <v>106</v>
      </c>
      <c r="P2302" s="31"/>
      <c r="Q2302" s="31"/>
      <c r="R2302" s="33"/>
      <c r="S2302" s="34" t="str">
        <f>HYPERLINK("http://www.cnpol.ru/covers/16612.jpg","фото на сайте")</f>
        <v>фото на сайте</v>
      </c>
    </row>
    <row r="2303" spans="1:19" ht="50.1" customHeight="1">
      <c r="A2303" s="31"/>
      <c r="B2303" s="32" t="s">
        <v>8937</v>
      </c>
      <c r="C2303" s="31" t="s">
        <v>385</v>
      </c>
      <c r="D2303" s="31" t="s">
        <v>386</v>
      </c>
      <c r="E2303" s="31" t="s">
        <v>8935</v>
      </c>
      <c r="F2303" s="31" t="s">
        <v>31</v>
      </c>
      <c r="G2303" s="31">
        <v>162</v>
      </c>
      <c r="H2303" s="31">
        <v>10</v>
      </c>
      <c r="I2303" s="31">
        <v>32</v>
      </c>
      <c r="J2303" s="31" t="s">
        <v>8938</v>
      </c>
      <c r="K2303" s="31" t="s">
        <v>55</v>
      </c>
      <c r="L2303" s="31" t="s">
        <v>56</v>
      </c>
      <c r="M2303" s="31">
        <v>256</v>
      </c>
      <c r="N2303" s="31">
        <v>2016</v>
      </c>
      <c r="O2303" s="31">
        <v>106</v>
      </c>
      <c r="P2303" s="31"/>
      <c r="Q2303" s="31"/>
      <c r="R2303" s="33"/>
      <c r="S2303" s="34" t="str">
        <f>HYPERLINK("http://www.cnpol.ru/covers/0171.jpg","фото на сайте")</f>
        <v>фото на сайте</v>
      </c>
    </row>
    <row r="2304" spans="1:19" ht="50.1" customHeight="1">
      <c r="A2304" s="31"/>
      <c r="B2304" s="32" t="s">
        <v>8939</v>
      </c>
      <c r="C2304" s="31" t="s">
        <v>4922</v>
      </c>
      <c r="D2304" s="31" t="s">
        <v>8940</v>
      </c>
      <c r="E2304" s="31" t="s">
        <v>8941</v>
      </c>
      <c r="F2304" s="31" t="s">
        <v>31</v>
      </c>
      <c r="G2304" s="31">
        <v>733</v>
      </c>
      <c r="H2304" s="31">
        <v>10</v>
      </c>
      <c r="I2304" s="31">
        <v>8</v>
      </c>
      <c r="J2304" s="31" t="s">
        <v>8942</v>
      </c>
      <c r="K2304" s="31" t="s">
        <v>33</v>
      </c>
      <c r="L2304" s="31" t="s">
        <v>34</v>
      </c>
      <c r="M2304" s="31">
        <v>495</v>
      </c>
      <c r="N2304" s="31">
        <v>2023</v>
      </c>
      <c r="O2304" s="31">
        <v>485</v>
      </c>
      <c r="P2304" s="31"/>
      <c r="Q2304" s="31"/>
      <c r="R2304" s="33" t="s">
        <v>8943</v>
      </c>
      <c r="S2304" s="34" t="str">
        <f>HYPERLINK("http://www.cnpol.ru/covers/20813.jpg","фото на сайте")</f>
        <v>фото на сайте</v>
      </c>
    </row>
    <row r="2305" spans="1:19" ht="50.1" customHeight="1">
      <c r="A2305" s="31"/>
      <c r="B2305" s="32" t="s">
        <v>8944</v>
      </c>
      <c r="C2305" s="31" t="s">
        <v>3422</v>
      </c>
      <c r="D2305" s="31" t="s">
        <v>2408</v>
      </c>
      <c r="E2305" s="31" t="s">
        <v>8945</v>
      </c>
      <c r="F2305" s="31" t="s">
        <v>31</v>
      </c>
      <c r="G2305" s="31">
        <v>154</v>
      </c>
      <c r="H2305" s="31">
        <v>10</v>
      </c>
      <c r="I2305" s="31">
        <v>20</v>
      </c>
      <c r="J2305" s="31" t="s">
        <v>8946</v>
      </c>
      <c r="K2305" s="31" t="s">
        <v>55</v>
      </c>
      <c r="L2305" s="31" t="s">
        <v>56</v>
      </c>
      <c r="M2305" s="31">
        <v>287</v>
      </c>
      <c r="N2305" s="31">
        <v>2008</v>
      </c>
      <c r="O2305" s="31">
        <v>122</v>
      </c>
      <c r="P2305" s="31"/>
      <c r="Q2305" s="31"/>
      <c r="R2305" s="33"/>
      <c r="S2305" s="34" t="str">
        <f>HYPERLINK("http://www.cnpol.ru/covers/10217.jpg","фото на сайте")</f>
        <v>фото на сайте</v>
      </c>
    </row>
    <row r="2306" spans="1:19" ht="50.1" customHeight="1">
      <c r="A2306" s="31"/>
      <c r="B2306" s="32" t="s">
        <v>8947</v>
      </c>
      <c r="C2306" s="31" t="s">
        <v>297</v>
      </c>
      <c r="D2306" s="31" t="s">
        <v>1096</v>
      </c>
      <c r="E2306" s="31" t="s">
        <v>8948</v>
      </c>
      <c r="F2306" s="31" t="s">
        <v>31</v>
      </c>
      <c r="G2306" s="31">
        <v>300</v>
      </c>
      <c r="H2306" s="31">
        <v>10</v>
      </c>
      <c r="I2306" s="31">
        <v>12</v>
      </c>
      <c r="J2306" s="31" t="s">
        <v>8949</v>
      </c>
      <c r="K2306" s="31" t="s">
        <v>300</v>
      </c>
      <c r="L2306" s="31" t="s">
        <v>56</v>
      </c>
      <c r="M2306" s="31">
        <v>544</v>
      </c>
      <c r="N2306" s="31">
        <v>2019</v>
      </c>
      <c r="O2306" s="31">
        <v>270</v>
      </c>
      <c r="P2306" s="31"/>
      <c r="Q2306" s="31"/>
      <c r="R2306" s="33"/>
      <c r="S2306" s="34" t="str">
        <f>HYPERLINK("http://www.cnpol.ru/covers/18662.jpg","фото на сайте")</f>
        <v>фото на сайте</v>
      </c>
    </row>
    <row r="2307" spans="1:19" ht="50.1" customHeight="1">
      <c r="A2307" s="31"/>
      <c r="B2307" s="32" t="s">
        <v>8950</v>
      </c>
      <c r="C2307" s="31" t="s">
        <v>390</v>
      </c>
      <c r="D2307" s="31" t="s">
        <v>814</v>
      </c>
      <c r="E2307" s="31" t="s">
        <v>8951</v>
      </c>
      <c r="F2307" s="31">
        <v>1118</v>
      </c>
      <c r="G2307" s="31">
        <v>86</v>
      </c>
      <c r="H2307" s="31">
        <v>10</v>
      </c>
      <c r="I2307" s="31">
        <v>30</v>
      </c>
      <c r="J2307" s="31" t="s">
        <v>8952</v>
      </c>
      <c r="K2307" s="31" t="s">
        <v>123</v>
      </c>
      <c r="L2307" s="31" t="s">
        <v>56</v>
      </c>
      <c r="M2307" s="31">
        <v>159</v>
      </c>
      <c r="N2307" s="31">
        <v>2022</v>
      </c>
      <c r="O2307" s="31">
        <v>76</v>
      </c>
      <c r="P2307" s="31"/>
      <c r="Q2307" s="31"/>
      <c r="R2307" s="33" t="s">
        <v>8953</v>
      </c>
      <c r="S2307" s="34" t="str">
        <f>HYPERLINK("http://www.cnpol.ru/covers/20462.jpg","фото на сайте")</f>
        <v>фото на сайте</v>
      </c>
    </row>
    <row r="2308" spans="1:19" ht="50.1" customHeight="1">
      <c r="A2308" s="31"/>
      <c r="B2308" s="32" t="s">
        <v>8954</v>
      </c>
      <c r="C2308" s="31" t="s">
        <v>390</v>
      </c>
      <c r="D2308" s="31" t="s">
        <v>7366</v>
      </c>
      <c r="E2308" s="31" t="s">
        <v>8955</v>
      </c>
      <c r="F2308" s="31">
        <v>324</v>
      </c>
      <c r="G2308" s="31">
        <v>86</v>
      </c>
      <c r="H2308" s="31">
        <v>10</v>
      </c>
      <c r="I2308" s="31">
        <v>30</v>
      </c>
      <c r="J2308" s="31" t="s">
        <v>8956</v>
      </c>
      <c r="K2308" s="31" t="s">
        <v>123</v>
      </c>
      <c r="L2308" s="31" t="s">
        <v>56</v>
      </c>
      <c r="M2308" s="31">
        <v>158</v>
      </c>
      <c r="N2308" s="31">
        <v>2013</v>
      </c>
      <c r="O2308" s="31">
        <v>78</v>
      </c>
      <c r="P2308" s="31"/>
      <c r="Q2308" s="31"/>
      <c r="R2308" s="33"/>
      <c r="S2308" s="34" t="str">
        <f>HYPERLINK("http://www.cnpol.ru/covers/14339.jpg","фото на сайте")</f>
        <v>фото на сайте</v>
      </c>
    </row>
    <row r="2309" spans="1:19" ht="50.1" customHeight="1">
      <c r="A2309" s="31"/>
      <c r="B2309" s="32" t="s">
        <v>8957</v>
      </c>
      <c r="C2309" s="31" t="s">
        <v>390</v>
      </c>
      <c r="D2309" s="31" t="s">
        <v>391</v>
      </c>
      <c r="E2309" s="31" t="s">
        <v>8958</v>
      </c>
      <c r="F2309" s="31">
        <v>771</v>
      </c>
      <c r="G2309" s="31">
        <v>86</v>
      </c>
      <c r="H2309" s="31">
        <v>10</v>
      </c>
      <c r="I2309" s="31">
        <v>30</v>
      </c>
      <c r="J2309" s="31" t="s">
        <v>8959</v>
      </c>
      <c r="K2309" s="31" t="s">
        <v>123</v>
      </c>
      <c r="L2309" s="31" t="s">
        <v>56</v>
      </c>
      <c r="M2309" s="31">
        <v>160</v>
      </c>
      <c r="N2309" s="31">
        <v>2017</v>
      </c>
      <c r="O2309" s="31">
        <v>76</v>
      </c>
      <c r="P2309" s="31"/>
      <c r="Q2309" s="31"/>
      <c r="R2309" s="33"/>
      <c r="S2309" s="34" t="str">
        <f>HYPERLINK("http://www.cnpol.ru/covers/17816.jpg","фото на сайте")</f>
        <v>фото на сайте</v>
      </c>
    </row>
    <row r="2310" spans="1:19" ht="50.1" customHeight="1">
      <c r="A2310" s="31"/>
      <c r="B2310" s="32" t="s">
        <v>8960</v>
      </c>
      <c r="C2310" s="31" t="s">
        <v>1594</v>
      </c>
      <c r="D2310" s="31" t="s">
        <v>8074</v>
      </c>
      <c r="E2310" s="31" t="s">
        <v>8961</v>
      </c>
      <c r="F2310" s="31" t="s">
        <v>31</v>
      </c>
      <c r="G2310" s="31">
        <v>169</v>
      </c>
      <c r="H2310" s="31">
        <v>10</v>
      </c>
      <c r="I2310" s="31">
        <v>40</v>
      </c>
      <c r="J2310" s="31" t="s">
        <v>8962</v>
      </c>
      <c r="K2310" s="31" t="s">
        <v>55</v>
      </c>
      <c r="L2310" s="31" t="s">
        <v>56</v>
      </c>
      <c r="M2310" s="31">
        <v>256</v>
      </c>
      <c r="N2310" s="31">
        <v>2020</v>
      </c>
      <c r="O2310" s="31">
        <v>108</v>
      </c>
      <c r="P2310" s="31"/>
      <c r="Q2310" s="31"/>
      <c r="R2310" s="33"/>
      <c r="S2310" s="34" t="str">
        <f>HYPERLINK("http://www.cnpol.ru/covers/19021.jpg","фото на сайте")</f>
        <v>фото на сайте</v>
      </c>
    </row>
    <row r="2311" spans="1:19" ht="50.1" customHeight="1">
      <c r="A2311" s="31"/>
      <c r="B2311" s="32" t="s">
        <v>8963</v>
      </c>
      <c r="C2311" s="31" t="s">
        <v>390</v>
      </c>
      <c r="D2311" s="31" t="s">
        <v>6150</v>
      </c>
      <c r="E2311" s="31" t="s">
        <v>8964</v>
      </c>
      <c r="F2311" s="31">
        <v>1094</v>
      </c>
      <c r="G2311" s="31">
        <v>86</v>
      </c>
      <c r="H2311" s="31">
        <v>10</v>
      </c>
      <c r="I2311" s="31">
        <v>30</v>
      </c>
      <c r="J2311" s="31" t="s">
        <v>8965</v>
      </c>
      <c r="K2311" s="31" t="s">
        <v>123</v>
      </c>
      <c r="L2311" s="31" t="s">
        <v>56</v>
      </c>
      <c r="M2311" s="31">
        <v>159</v>
      </c>
      <c r="N2311" s="31">
        <v>2022</v>
      </c>
      <c r="O2311" s="31">
        <v>76</v>
      </c>
      <c r="P2311" s="31"/>
      <c r="Q2311" s="31"/>
      <c r="R2311" s="33"/>
      <c r="S2311" s="34" t="str">
        <f>HYPERLINK("http://www.cnpol.ru/covers/20270.jpg","фото на сайте")</f>
        <v>фото на сайте</v>
      </c>
    </row>
    <row r="2312" spans="1:19" ht="50.1" customHeight="1">
      <c r="A2312" s="31"/>
      <c r="B2312" s="32" t="s">
        <v>8966</v>
      </c>
      <c r="C2312" s="31" t="s">
        <v>297</v>
      </c>
      <c r="D2312" s="31" t="s">
        <v>8967</v>
      </c>
      <c r="E2312" s="31" t="s">
        <v>8968</v>
      </c>
      <c r="F2312" s="31" t="s">
        <v>31</v>
      </c>
      <c r="G2312" s="31">
        <v>329</v>
      </c>
      <c r="H2312" s="31">
        <v>10</v>
      </c>
      <c r="I2312" s="31">
        <v>6</v>
      </c>
      <c r="J2312" s="31" t="s">
        <v>8969</v>
      </c>
      <c r="K2312" s="31" t="s">
        <v>300</v>
      </c>
      <c r="L2312" s="31" t="s">
        <v>56</v>
      </c>
      <c r="M2312" s="31">
        <v>479</v>
      </c>
      <c r="N2312" s="31">
        <v>2024</v>
      </c>
      <c r="O2312" s="31">
        <v>600</v>
      </c>
      <c r="P2312" s="31"/>
      <c r="Q2312" s="31"/>
      <c r="R2312" s="33" t="s">
        <v>8970</v>
      </c>
      <c r="S2312" s="34" t="str">
        <f>HYPERLINK("http://www.cnpol.ru/covers/20935.jpg","фото на сайте")</f>
        <v>фото на сайте</v>
      </c>
    </row>
    <row r="2313" spans="1:19" ht="50.1" customHeight="1">
      <c r="A2313" s="31"/>
      <c r="B2313" s="32" t="s">
        <v>8971</v>
      </c>
      <c r="C2313" s="31" t="s">
        <v>302</v>
      </c>
      <c r="D2313" s="31" t="s">
        <v>8967</v>
      </c>
      <c r="E2313" s="31" t="s">
        <v>8968</v>
      </c>
      <c r="F2313" s="31" t="s">
        <v>31</v>
      </c>
      <c r="G2313" s="31">
        <v>917</v>
      </c>
      <c r="H2313" s="31">
        <v>10</v>
      </c>
      <c r="I2313" s="31">
        <v>10</v>
      </c>
      <c r="J2313" s="31" t="s">
        <v>8972</v>
      </c>
      <c r="K2313" s="31" t="s">
        <v>41</v>
      </c>
      <c r="L2313" s="31" t="s">
        <v>304</v>
      </c>
      <c r="M2313" s="31">
        <v>447</v>
      </c>
      <c r="N2313" s="31">
        <v>2022</v>
      </c>
      <c r="O2313" s="31">
        <v>606</v>
      </c>
      <c r="P2313" s="31"/>
      <c r="Q2313" s="31"/>
      <c r="R2313" s="33"/>
      <c r="S2313" s="34" t="str">
        <f>HYPERLINK("http://www.cnpol.ru/covers/20170.jpg","фото на сайте")</f>
        <v>фото на сайте</v>
      </c>
    </row>
    <row r="2314" spans="1:19" ht="50.1" customHeight="1">
      <c r="A2314" s="31"/>
      <c r="B2314" s="32" t="s">
        <v>8973</v>
      </c>
      <c r="C2314" s="31" t="s">
        <v>385</v>
      </c>
      <c r="D2314" s="31" t="s">
        <v>386</v>
      </c>
      <c r="E2314" s="31" t="s">
        <v>8974</v>
      </c>
      <c r="F2314" s="31" t="s">
        <v>31</v>
      </c>
      <c r="G2314" s="31">
        <v>162</v>
      </c>
      <c r="H2314" s="31">
        <v>10</v>
      </c>
      <c r="I2314" s="31">
        <v>32</v>
      </c>
      <c r="J2314" s="31" t="s">
        <v>8975</v>
      </c>
      <c r="K2314" s="31" t="s">
        <v>55</v>
      </c>
      <c r="L2314" s="31" t="s">
        <v>56</v>
      </c>
      <c r="M2314" s="31">
        <v>256</v>
      </c>
      <c r="N2314" s="31">
        <v>2016</v>
      </c>
      <c r="O2314" s="31">
        <v>110</v>
      </c>
      <c r="P2314" s="31"/>
      <c r="Q2314" s="31"/>
      <c r="R2314" s="33"/>
      <c r="S2314" s="34" t="str">
        <f>HYPERLINK("http://www.cnpol.ru/covers/0148.jpg","фото на сайте")</f>
        <v>фото на сайте</v>
      </c>
    </row>
    <row r="2315" spans="1:19" ht="50.1" customHeight="1">
      <c r="A2315" s="31" t="s">
        <v>35</v>
      </c>
      <c r="B2315" s="32" t="s">
        <v>8976</v>
      </c>
      <c r="C2315" s="31" t="s">
        <v>45</v>
      </c>
      <c r="D2315" s="31" t="s">
        <v>8977</v>
      </c>
      <c r="E2315" s="31" t="s">
        <v>8978</v>
      </c>
      <c r="F2315" s="31" t="s">
        <v>31</v>
      </c>
      <c r="G2315" s="35">
        <v>1547</v>
      </c>
      <c r="H2315" s="31">
        <v>10</v>
      </c>
      <c r="I2315" s="31">
        <v>6</v>
      </c>
      <c r="J2315" s="31" t="s">
        <v>8979</v>
      </c>
      <c r="K2315" s="31" t="s">
        <v>33</v>
      </c>
      <c r="L2315" s="31" t="s">
        <v>34</v>
      </c>
      <c r="M2315" s="31">
        <v>639</v>
      </c>
      <c r="N2315" s="31">
        <v>2026</v>
      </c>
      <c r="O2315" s="31" t="s">
        <v>220</v>
      </c>
      <c r="P2315" s="31"/>
      <c r="Q2315" s="31"/>
      <c r="R2315" s="33" t="s">
        <v>8980</v>
      </c>
      <c r="S2315" s="34" t="str">
        <f>HYPERLINK("http://www.cnpol.ru/covers/21896.jpg","фото на сайте")</f>
        <v>фото на сайте</v>
      </c>
    </row>
    <row r="2316" spans="1:19" ht="50.1" customHeight="1">
      <c r="A2316" s="31"/>
      <c r="B2316" s="32" t="s">
        <v>8981</v>
      </c>
      <c r="C2316" s="31" t="s">
        <v>400</v>
      </c>
      <c r="D2316" s="31" t="s">
        <v>8982</v>
      </c>
      <c r="E2316" s="31" t="s">
        <v>8983</v>
      </c>
      <c r="F2316" s="31" t="s">
        <v>31</v>
      </c>
      <c r="G2316" s="31">
        <v>503</v>
      </c>
      <c r="H2316" s="31">
        <v>10</v>
      </c>
      <c r="I2316" s="31">
        <v>14</v>
      </c>
      <c r="J2316" s="31" t="s">
        <v>8984</v>
      </c>
      <c r="K2316" s="31" t="s">
        <v>33</v>
      </c>
      <c r="L2316" s="31" t="s">
        <v>34</v>
      </c>
      <c r="M2316" s="31">
        <v>317</v>
      </c>
      <c r="N2316" s="31">
        <v>2014</v>
      </c>
      <c r="O2316" s="31">
        <v>264</v>
      </c>
      <c r="P2316" s="31"/>
      <c r="Q2316" s="31"/>
      <c r="R2316" s="33"/>
      <c r="S2316" s="34" t="str">
        <f>HYPERLINK("http://www.cnpol.ru/covers/14763.jpg","фото на сайте")</f>
        <v>фото на сайте</v>
      </c>
    </row>
    <row r="2317" spans="1:19" ht="50.1" customHeight="1">
      <c r="A2317" s="31" t="s">
        <v>35</v>
      </c>
      <c r="B2317" s="32" t="s">
        <v>8985</v>
      </c>
      <c r="C2317" s="31" t="s">
        <v>779</v>
      </c>
      <c r="D2317" s="31" t="s">
        <v>780</v>
      </c>
      <c r="E2317" s="31" t="s">
        <v>8986</v>
      </c>
      <c r="F2317" s="31" t="s">
        <v>31</v>
      </c>
      <c r="G2317" s="31">
        <v>759</v>
      </c>
      <c r="H2317" s="31">
        <v>10</v>
      </c>
      <c r="I2317" s="31">
        <v>16</v>
      </c>
      <c r="J2317" s="31" t="s">
        <v>8987</v>
      </c>
      <c r="K2317" s="31" t="s">
        <v>33</v>
      </c>
      <c r="L2317" s="31" t="s">
        <v>34</v>
      </c>
      <c r="M2317" s="31">
        <v>176</v>
      </c>
      <c r="N2317" s="31">
        <v>2024</v>
      </c>
      <c r="O2317" s="31">
        <v>286</v>
      </c>
      <c r="P2317" s="31"/>
      <c r="Q2317" s="31"/>
      <c r="R2317" s="33" t="s">
        <v>8988</v>
      </c>
      <c r="S2317" s="34" t="str">
        <f>HYPERLINK("http://www.cnpol.ru/covers/21031.jpg","фото на сайте")</f>
        <v>фото на сайте</v>
      </c>
    </row>
    <row r="2318" spans="1:19" ht="50.1" customHeight="1">
      <c r="A2318" s="31"/>
      <c r="B2318" s="32" t="s">
        <v>8989</v>
      </c>
      <c r="C2318" s="31" t="s">
        <v>400</v>
      </c>
      <c r="D2318" s="31" t="s">
        <v>8990</v>
      </c>
      <c r="E2318" s="31" t="s">
        <v>8991</v>
      </c>
      <c r="F2318" s="31" t="s">
        <v>31</v>
      </c>
      <c r="G2318" s="31">
        <v>503</v>
      </c>
      <c r="H2318" s="31">
        <v>10</v>
      </c>
      <c r="I2318" s="31">
        <v>14</v>
      </c>
      <c r="J2318" s="31" t="s">
        <v>8992</v>
      </c>
      <c r="K2318" s="31" t="s">
        <v>33</v>
      </c>
      <c r="L2318" s="31" t="s">
        <v>34</v>
      </c>
      <c r="M2318" s="31">
        <v>320</v>
      </c>
      <c r="N2318" s="31">
        <v>2019</v>
      </c>
      <c r="O2318" s="31">
        <v>270</v>
      </c>
      <c r="P2318" s="31"/>
      <c r="Q2318" s="31"/>
      <c r="R2318" s="33"/>
      <c r="S2318" s="34" t="str">
        <f>HYPERLINK("http://www.cnpol.ru/covers/18536.jpg","фото на сайте")</f>
        <v>фото на сайте</v>
      </c>
    </row>
    <row r="2319" spans="1:19" ht="50.1" customHeight="1">
      <c r="A2319" s="31" t="s">
        <v>35</v>
      </c>
      <c r="B2319" s="32" t="s">
        <v>8993</v>
      </c>
      <c r="C2319" s="31" t="s">
        <v>779</v>
      </c>
      <c r="D2319" s="31" t="s">
        <v>8994</v>
      </c>
      <c r="E2319" s="31" t="s">
        <v>8995</v>
      </c>
      <c r="F2319" s="31" t="s">
        <v>31</v>
      </c>
      <c r="G2319" s="31">
        <v>936</v>
      </c>
      <c r="H2319" s="31">
        <v>10</v>
      </c>
      <c r="I2319" s="31">
        <v>12</v>
      </c>
      <c r="J2319" s="31" t="s">
        <v>8996</v>
      </c>
      <c r="K2319" s="31" t="s">
        <v>33</v>
      </c>
      <c r="L2319" s="31" t="s">
        <v>34</v>
      </c>
      <c r="M2319" s="31">
        <v>334</v>
      </c>
      <c r="N2319" s="31">
        <v>2024</v>
      </c>
      <c r="O2319" s="31">
        <v>380</v>
      </c>
      <c r="P2319" s="31"/>
      <c r="Q2319" s="31"/>
      <c r="R2319" s="33" t="s">
        <v>8997</v>
      </c>
      <c r="S2319" s="34" t="str">
        <f>HYPERLINK("http://www.cnpol.ru/covers/21010.jpg","фото на сайте")</f>
        <v>фото на сайте</v>
      </c>
    </row>
    <row r="2320" spans="1:19" ht="50.1" customHeight="1">
      <c r="A2320" s="31"/>
      <c r="B2320" s="32" t="s">
        <v>8998</v>
      </c>
      <c r="C2320" s="31" t="s">
        <v>6139</v>
      </c>
      <c r="D2320" s="31" t="s">
        <v>8999</v>
      </c>
      <c r="E2320" s="31" t="s">
        <v>9000</v>
      </c>
      <c r="F2320" s="31" t="s">
        <v>31</v>
      </c>
      <c r="G2320" s="31">
        <v>88</v>
      </c>
      <c r="H2320" s="31">
        <v>10</v>
      </c>
      <c r="I2320" s="31">
        <v>52</v>
      </c>
      <c r="J2320" s="31" t="s">
        <v>9001</v>
      </c>
      <c r="K2320" s="31" t="s">
        <v>123</v>
      </c>
      <c r="L2320" s="31" t="s">
        <v>56</v>
      </c>
      <c r="M2320" s="31">
        <v>159</v>
      </c>
      <c r="N2320" s="31">
        <v>2010</v>
      </c>
      <c r="O2320" s="31">
        <v>76</v>
      </c>
      <c r="P2320" s="31"/>
      <c r="Q2320" s="31"/>
      <c r="R2320" s="33"/>
      <c r="S2320" s="34" t="str">
        <f>HYPERLINK("http://www.cnpol.ru/covers/11759.jpg","фото на сайте")</f>
        <v>фото на сайте</v>
      </c>
    </row>
    <row r="2321" spans="1:19" ht="50.1" customHeight="1">
      <c r="A2321" s="31"/>
      <c r="B2321" s="32" t="s">
        <v>9002</v>
      </c>
      <c r="C2321" s="31" t="s">
        <v>400</v>
      </c>
      <c r="D2321" s="31" t="s">
        <v>9003</v>
      </c>
      <c r="E2321" s="31" t="s">
        <v>9004</v>
      </c>
      <c r="F2321" s="31" t="s">
        <v>31</v>
      </c>
      <c r="G2321" s="31">
        <v>503</v>
      </c>
      <c r="H2321" s="31">
        <v>10</v>
      </c>
      <c r="I2321" s="31">
        <v>10</v>
      </c>
      <c r="J2321" s="31" t="s">
        <v>9005</v>
      </c>
      <c r="K2321" s="31" t="s">
        <v>33</v>
      </c>
      <c r="L2321" s="31" t="s">
        <v>34</v>
      </c>
      <c r="M2321" s="31">
        <v>448</v>
      </c>
      <c r="N2321" s="31">
        <v>2020</v>
      </c>
      <c r="O2321" s="31">
        <v>350</v>
      </c>
      <c r="P2321" s="31"/>
      <c r="Q2321" s="31"/>
      <c r="R2321" s="33"/>
      <c r="S2321" s="34" t="str">
        <f>HYPERLINK("http://www.cnpol.ru/covers/19052.jpg","фото на сайте")</f>
        <v>фото на сайте</v>
      </c>
    </row>
    <row r="2322" spans="1:19" ht="50.1" customHeight="1">
      <c r="A2322" s="31"/>
      <c r="B2322" s="32" t="s">
        <v>9006</v>
      </c>
      <c r="C2322" s="31" t="s">
        <v>390</v>
      </c>
      <c r="D2322" s="31" t="s">
        <v>1454</v>
      </c>
      <c r="E2322" s="31" t="s">
        <v>9007</v>
      </c>
      <c r="F2322" s="31">
        <v>1115</v>
      </c>
      <c r="G2322" s="31">
        <v>86</v>
      </c>
      <c r="H2322" s="31">
        <v>10</v>
      </c>
      <c r="I2322" s="31">
        <v>30</v>
      </c>
      <c r="J2322" s="31" t="s">
        <v>9008</v>
      </c>
      <c r="K2322" s="31" t="s">
        <v>123</v>
      </c>
      <c r="L2322" s="31" t="s">
        <v>56</v>
      </c>
      <c r="M2322" s="31">
        <v>159</v>
      </c>
      <c r="N2322" s="31">
        <v>2022</v>
      </c>
      <c r="O2322" s="31">
        <v>76</v>
      </c>
      <c r="P2322" s="31"/>
      <c r="Q2322" s="31"/>
      <c r="R2322" s="33" t="s">
        <v>9009</v>
      </c>
      <c r="S2322" s="34" t="str">
        <f>HYPERLINK("http://www.cnpol.ru/covers/20438.jpg","фото на сайте")</f>
        <v>фото на сайте</v>
      </c>
    </row>
    <row r="2323" spans="1:19" ht="50.1" customHeight="1">
      <c r="A2323" s="31" t="s">
        <v>43</v>
      </c>
      <c r="B2323" s="32" t="s">
        <v>9010</v>
      </c>
      <c r="C2323" s="31" t="s">
        <v>390</v>
      </c>
      <c r="D2323" s="31" t="s">
        <v>9011</v>
      </c>
      <c r="E2323" s="31" t="s">
        <v>9012</v>
      </c>
      <c r="F2323" s="31">
        <v>1181</v>
      </c>
      <c r="G2323" s="31">
        <v>86</v>
      </c>
      <c r="H2323" s="31">
        <v>10</v>
      </c>
      <c r="I2323" s="31">
        <v>30</v>
      </c>
      <c r="J2323" s="31" t="s">
        <v>9013</v>
      </c>
      <c r="K2323" s="31" t="s">
        <v>123</v>
      </c>
      <c r="L2323" s="31" t="s">
        <v>56</v>
      </c>
      <c r="M2323" s="31">
        <v>159</v>
      </c>
      <c r="N2323" s="31">
        <v>2024</v>
      </c>
      <c r="O2323" s="31">
        <v>76</v>
      </c>
      <c r="P2323" s="31"/>
      <c r="Q2323" s="31"/>
      <c r="R2323" s="33" t="s">
        <v>9014</v>
      </c>
      <c r="S2323" s="34" t="str">
        <f>HYPERLINK("http://www.cnpol.ru/covers/21248.jpg","фото на сайте")</f>
        <v>фото на сайте</v>
      </c>
    </row>
    <row r="2324" spans="1:19" ht="50.1" customHeight="1">
      <c r="A2324" s="31" t="s">
        <v>43</v>
      </c>
      <c r="B2324" s="32" t="s">
        <v>9015</v>
      </c>
      <c r="C2324" s="31" t="s">
        <v>546</v>
      </c>
      <c r="D2324" s="31" t="s">
        <v>1698</v>
      </c>
      <c r="E2324" s="31" t="s">
        <v>9016</v>
      </c>
      <c r="F2324" s="31">
        <v>446</v>
      </c>
      <c r="G2324" s="31">
        <v>93</v>
      </c>
      <c r="H2324" s="31">
        <v>10</v>
      </c>
      <c r="I2324" s="31">
        <v>30</v>
      </c>
      <c r="J2324" s="31" t="s">
        <v>9017</v>
      </c>
      <c r="K2324" s="31" t="s">
        <v>123</v>
      </c>
      <c r="L2324" s="31" t="s">
        <v>56</v>
      </c>
      <c r="M2324" s="31">
        <v>159</v>
      </c>
      <c r="N2324" s="31">
        <v>2024</v>
      </c>
      <c r="O2324" s="31">
        <v>76</v>
      </c>
      <c r="P2324" s="31"/>
      <c r="Q2324" s="31"/>
      <c r="R2324" s="33" t="s">
        <v>9018</v>
      </c>
      <c r="S2324" s="34" t="str">
        <f>HYPERLINK("http://www.cnpol.ru/covers/21175.jpg","фото на сайте")</f>
        <v>фото на сайте</v>
      </c>
    </row>
    <row r="2325" spans="1:19" ht="50.1" customHeight="1">
      <c r="A2325" s="31"/>
      <c r="B2325" s="32" t="s">
        <v>9019</v>
      </c>
      <c r="C2325" s="31" t="s">
        <v>390</v>
      </c>
      <c r="D2325" s="31" t="s">
        <v>3180</v>
      </c>
      <c r="E2325" s="31" t="s">
        <v>9020</v>
      </c>
      <c r="F2325" s="31">
        <v>1089</v>
      </c>
      <c r="G2325" s="31">
        <v>86</v>
      </c>
      <c r="H2325" s="31">
        <v>10</v>
      </c>
      <c r="I2325" s="31">
        <v>30</v>
      </c>
      <c r="J2325" s="31" t="s">
        <v>9021</v>
      </c>
      <c r="K2325" s="31" t="s">
        <v>123</v>
      </c>
      <c r="L2325" s="31" t="s">
        <v>56</v>
      </c>
      <c r="M2325" s="31">
        <v>159</v>
      </c>
      <c r="N2325" s="31">
        <v>2022</v>
      </c>
      <c r="O2325" s="31">
        <v>76</v>
      </c>
      <c r="P2325" s="31"/>
      <c r="Q2325" s="31"/>
      <c r="R2325" s="33"/>
      <c r="S2325" s="34" t="str">
        <f>HYPERLINK("http://www.cnpol.ru/covers/20183.jpg","фото на сайте")</f>
        <v>фото на сайте</v>
      </c>
    </row>
    <row r="2326" spans="1:19" ht="50.1" customHeight="1">
      <c r="A2326" s="31"/>
      <c r="B2326" s="32" t="s">
        <v>9022</v>
      </c>
      <c r="C2326" s="31" t="s">
        <v>2420</v>
      </c>
      <c r="D2326" s="31" t="s">
        <v>9023</v>
      </c>
      <c r="E2326" s="31" t="s">
        <v>9024</v>
      </c>
      <c r="F2326" s="31" t="s">
        <v>31</v>
      </c>
      <c r="G2326" s="31">
        <v>56</v>
      </c>
      <c r="H2326" s="31">
        <v>10</v>
      </c>
      <c r="I2326" s="31">
        <v>30</v>
      </c>
      <c r="J2326" s="31" t="s">
        <v>9025</v>
      </c>
      <c r="K2326" s="31" t="s">
        <v>123</v>
      </c>
      <c r="L2326" s="31" t="s">
        <v>56</v>
      </c>
      <c r="M2326" s="31">
        <v>158</v>
      </c>
      <c r="N2326" s="31">
        <v>2007</v>
      </c>
      <c r="O2326" s="31">
        <v>76</v>
      </c>
      <c r="P2326" s="31"/>
      <c r="Q2326" s="31"/>
      <c r="R2326" s="33"/>
      <c r="S2326" s="34" t="str">
        <f>HYPERLINK("http://www.cnpol.ru/covers/7393.jpg","фото на сайте")</f>
        <v>фото на сайте</v>
      </c>
    </row>
    <row r="2327" spans="1:19" ht="50.1" customHeight="1">
      <c r="A2327" s="31"/>
      <c r="B2327" s="32" t="s">
        <v>9026</v>
      </c>
      <c r="C2327" s="31" t="s">
        <v>297</v>
      </c>
      <c r="D2327" s="31" t="s">
        <v>9027</v>
      </c>
      <c r="E2327" s="31" t="s">
        <v>9028</v>
      </c>
      <c r="F2327" s="31" t="s">
        <v>31</v>
      </c>
      <c r="G2327" s="31">
        <v>300</v>
      </c>
      <c r="H2327" s="31">
        <v>10</v>
      </c>
      <c r="I2327" s="31">
        <v>20</v>
      </c>
      <c r="J2327" s="31" t="s">
        <v>9029</v>
      </c>
      <c r="K2327" s="31" t="s">
        <v>300</v>
      </c>
      <c r="L2327" s="31" t="s">
        <v>56</v>
      </c>
      <c r="M2327" s="31">
        <v>320</v>
      </c>
      <c r="N2327" s="31">
        <v>2018</v>
      </c>
      <c r="O2327" s="31">
        <v>164</v>
      </c>
      <c r="P2327" s="31"/>
      <c r="Q2327" s="31"/>
      <c r="R2327" s="33"/>
      <c r="S2327" s="34" t="str">
        <f>HYPERLINK("http://www.cnpol.ru/covers/18230.jpg","фото на сайте")</f>
        <v>фото на сайте</v>
      </c>
    </row>
    <row r="2328" spans="1:19" ht="50.1" customHeight="1">
      <c r="A2328" s="31"/>
      <c r="B2328" s="32" t="s">
        <v>9030</v>
      </c>
      <c r="C2328" s="31" t="s">
        <v>1102</v>
      </c>
      <c r="D2328" s="31" t="s">
        <v>1103</v>
      </c>
      <c r="E2328" s="31" t="s">
        <v>9031</v>
      </c>
      <c r="F2328" s="31" t="s">
        <v>31</v>
      </c>
      <c r="G2328" s="31">
        <v>640</v>
      </c>
      <c r="H2328" s="31">
        <v>10</v>
      </c>
      <c r="I2328" s="31">
        <v>10</v>
      </c>
      <c r="J2328" s="31" t="s">
        <v>9032</v>
      </c>
      <c r="K2328" s="31" t="s">
        <v>33</v>
      </c>
      <c r="L2328" s="31" t="s">
        <v>34</v>
      </c>
      <c r="M2328" s="31">
        <v>448</v>
      </c>
      <c r="N2328" s="31">
        <v>2018</v>
      </c>
      <c r="O2328" s="31">
        <v>340</v>
      </c>
      <c r="P2328" s="31"/>
      <c r="Q2328" s="31"/>
      <c r="R2328" s="33"/>
      <c r="S2328" s="34" t="str">
        <f>HYPERLINK("http://www.cnpol.ru/covers/18061.jpg","фото на сайте")</f>
        <v>фото на сайте</v>
      </c>
    </row>
    <row r="2329" spans="1:19" ht="50.1" customHeight="1">
      <c r="A2329" s="31"/>
      <c r="B2329" s="32" t="s">
        <v>9033</v>
      </c>
      <c r="C2329" s="31" t="s">
        <v>9034</v>
      </c>
      <c r="D2329" s="31" t="s">
        <v>539</v>
      </c>
      <c r="E2329" s="31" t="s">
        <v>9035</v>
      </c>
      <c r="F2329" s="31" t="s">
        <v>31</v>
      </c>
      <c r="G2329" s="31">
        <v>526</v>
      </c>
      <c r="H2329" s="31">
        <v>10</v>
      </c>
      <c r="I2329" s="31">
        <v>16</v>
      </c>
      <c r="J2329" s="31" t="s">
        <v>9036</v>
      </c>
      <c r="K2329" s="31" t="s">
        <v>33</v>
      </c>
      <c r="L2329" s="31" t="s">
        <v>210</v>
      </c>
      <c r="M2329" s="31">
        <v>320</v>
      </c>
      <c r="N2329" s="31">
        <v>2017</v>
      </c>
      <c r="O2329" s="31">
        <v>256</v>
      </c>
      <c r="P2329" s="31"/>
      <c r="Q2329" s="31"/>
      <c r="R2329" s="33" t="s">
        <v>9037</v>
      </c>
      <c r="S2329" s="34" t="str">
        <f>HYPERLINK("http://www.cnpol.ru/covers/17324.jpg","фото на сайте")</f>
        <v>фото на сайте</v>
      </c>
    </row>
    <row r="2330" spans="1:19" ht="50.1" customHeight="1">
      <c r="A2330" s="31" t="s">
        <v>43</v>
      </c>
      <c r="B2330" s="32" t="s">
        <v>9038</v>
      </c>
      <c r="C2330" s="31" t="s">
        <v>37</v>
      </c>
      <c r="D2330" s="31" t="s">
        <v>475</v>
      </c>
      <c r="E2330" s="31" t="s">
        <v>9039</v>
      </c>
      <c r="F2330" s="31" t="s">
        <v>31</v>
      </c>
      <c r="G2330" s="31">
        <v>611</v>
      </c>
      <c r="H2330" s="31">
        <v>10</v>
      </c>
      <c r="I2330" s="31">
        <v>10</v>
      </c>
      <c r="J2330" s="31" t="s">
        <v>9040</v>
      </c>
      <c r="K2330" s="31" t="s">
        <v>33</v>
      </c>
      <c r="L2330" s="31" t="s">
        <v>34</v>
      </c>
      <c r="M2330" s="31">
        <v>447</v>
      </c>
      <c r="N2330" s="31">
        <v>2025</v>
      </c>
      <c r="O2330" s="31" t="s">
        <v>220</v>
      </c>
      <c r="P2330" s="31"/>
      <c r="Q2330" s="31"/>
      <c r="R2330" s="33" t="s">
        <v>9041</v>
      </c>
      <c r="S2330" s="34" t="str">
        <f>HYPERLINK("http://www.cnpol.ru/covers/21868.jpg","фото на сайте")</f>
        <v>фото на сайте</v>
      </c>
    </row>
    <row r="2331" spans="1:19" ht="50.1" customHeight="1">
      <c r="A2331" s="31"/>
      <c r="B2331" s="32" t="s">
        <v>9042</v>
      </c>
      <c r="C2331" s="31" t="s">
        <v>390</v>
      </c>
      <c r="D2331" s="31" t="s">
        <v>961</v>
      </c>
      <c r="E2331" s="31" t="s">
        <v>9043</v>
      </c>
      <c r="F2331" s="31">
        <v>864</v>
      </c>
      <c r="G2331" s="31">
        <v>86</v>
      </c>
      <c r="H2331" s="31">
        <v>10</v>
      </c>
      <c r="I2331" s="31">
        <v>30</v>
      </c>
      <c r="J2331" s="31" t="s">
        <v>9044</v>
      </c>
      <c r="K2331" s="31" t="s">
        <v>123</v>
      </c>
      <c r="L2331" s="31" t="s">
        <v>56</v>
      </c>
      <c r="M2331" s="31">
        <v>160</v>
      </c>
      <c r="N2331" s="31">
        <v>2019</v>
      </c>
      <c r="O2331" s="31">
        <v>76</v>
      </c>
      <c r="P2331" s="31"/>
      <c r="Q2331" s="31"/>
      <c r="R2331" s="33"/>
      <c r="S2331" s="34" t="str">
        <f>HYPERLINK("http://www.cnpol.ru/covers/18479.jpg","фото на сайте")</f>
        <v>фото на сайте</v>
      </c>
    </row>
    <row r="2332" spans="1:19" ht="50.1" customHeight="1">
      <c r="A2332" s="31"/>
      <c r="B2332" s="32" t="s">
        <v>9045</v>
      </c>
      <c r="C2332" s="31" t="s">
        <v>413</v>
      </c>
      <c r="D2332" s="31" t="s">
        <v>5994</v>
      </c>
      <c r="E2332" s="31" t="s">
        <v>9046</v>
      </c>
      <c r="F2332" s="31">
        <v>61</v>
      </c>
      <c r="G2332" s="31">
        <v>117</v>
      </c>
      <c r="H2332" s="31">
        <v>10</v>
      </c>
      <c r="I2332" s="31">
        <v>36</v>
      </c>
      <c r="J2332" s="31" t="s">
        <v>9047</v>
      </c>
      <c r="K2332" s="31" t="s">
        <v>123</v>
      </c>
      <c r="L2332" s="31" t="s">
        <v>56</v>
      </c>
      <c r="M2332" s="31">
        <v>190</v>
      </c>
      <c r="N2332" s="31">
        <v>2015</v>
      </c>
      <c r="O2332" s="31">
        <v>90</v>
      </c>
      <c r="P2332" s="31"/>
      <c r="Q2332" s="31"/>
      <c r="R2332" s="33"/>
      <c r="S2332" s="34" t="str">
        <f>HYPERLINK("http://www.cnpol.ru/covers/16067.jpg","фото на сайте")</f>
        <v>фото на сайте</v>
      </c>
    </row>
    <row r="2333" spans="1:19" ht="50.1" customHeight="1">
      <c r="A2333" s="31"/>
      <c r="B2333" s="32" t="s">
        <v>9048</v>
      </c>
      <c r="C2333" s="31" t="s">
        <v>400</v>
      </c>
      <c r="D2333" s="31" t="s">
        <v>9049</v>
      </c>
      <c r="E2333" s="31" t="s">
        <v>9050</v>
      </c>
      <c r="F2333" s="31" t="s">
        <v>31</v>
      </c>
      <c r="G2333" s="31">
        <v>503</v>
      </c>
      <c r="H2333" s="31">
        <v>10</v>
      </c>
      <c r="I2333" s="31">
        <v>14</v>
      </c>
      <c r="J2333" s="31" t="s">
        <v>9051</v>
      </c>
      <c r="K2333" s="31" t="s">
        <v>33</v>
      </c>
      <c r="L2333" s="31" t="s">
        <v>34</v>
      </c>
      <c r="M2333" s="31">
        <v>288</v>
      </c>
      <c r="N2333" s="31">
        <v>2019</v>
      </c>
      <c r="O2333" s="31">
        <v>250</v>
      </c>
      <c r="P2333" s="31"/>
      <c r="Q2333" s="31"/>
      <c r="R2333" s="33"/>
      <c r="S2333" s="34" t="str">
        <f>HYPERLINK("http://www.cnpol.ru/covers/18783.jpg","фото на сайте")</f>
        <v>фото на сайте</v>
      </c>
    </row>
    <row r="2334" spans="1:19" ht="50.1" customHeight="1">
      <c r="A2334" s="31" t="s">
        <v>43</v>
      </c>
      <c r="B2334" s="32" t="s">
        <v>9052</v>
      </c>
      <c r="C2334" s="31" t="s">
        <v>37</v>
      </c>
      <c r="D2334" s="31" t="s">
        <v>9053</v>
      </c>
      <c r="E2334" s="31" t="s">
        <v>9054</v>
      </c>
      <c r="F2334" s="31" t="s">
        <v>31</v>
      </c>
      <c r="G2334" s="31">
        <v>916</v>
      </c>
      <c r="H2334" s="31">
        <v>10</v>
      </c>
      <c r="I2334" s="31">
        <v>5</v>
      </c>
      <c r="J2334" s="31" t="s">
        <v>9055</v>
      </c>
      <c r="K2334" s="31" t="s">
        <v>33</v>
      </c>
      <c r="L2334" s="31" t="s">
        <v>34</v>
      </c>
      <c r="M2334" s="31">
        <v>334</v>
      </c>
      <c r="N2334" s="31">
        <v>2025</v>
      </c>
      <c r="O2334" s="31">
        <v>401</v>
      </c>
      <c r="P2334" s="31"/>
      <c r="Q2334" s="31"/>
      <c r="R2334" s="33" t="s">
        <v>9056</v>
      </c>
      <c r="S2334" s="34" t="str">
        <f>HYPERLINK("http://www.cnpol.ru/covers/21644.jpg","фото на сайте")</f>
        <v>фото на сайте</v>
      </c>
    </row>
    <row r="2335" spans="1:19" ht="50.1" customHeight="1">
      <c r="A2335" s="31"/>
      <c r="B2335" s="32" t="s">
        <v>9057</v>
      </c>
      <c r="C2335" s="31" t="s">
        <v>138</v>
      </c>
      <c r="D2335" s="31" t="s">
        <v>9058</v>
      </c>
      <c r="E2335" s="31" t="s">
        <v>9059</v>
      </c>
      <c r="F2335" s="31" t="s">
        <v>31</v>
      </c>
      <c r="G2335" s="31">
        <v>551</v>
      </c>
      <c r="H2335" s="31">
        <v>10</v>
      </c>
      <c r="I2335" s="31">
        <v>14</v>
      </c>
      <c r="J2335" s="31" t="s">
        <v>9060</v>
      </c>
      <c r="K2335" s="31" t="s">
        <v>33</v>
      </c>
      <c r="L2335" s="31" t="s">
        <v>34</v>
      </c>
      <c r="M2335" s="31">
        <v>223</v>
      </c>
      <c r="N2335" s="31">
        <v>2023</v>
      </c>
      <c r="O2335" s="31">
        <v>280</v>
      </c>
      <c r="P2335" s="31"/>
      <c r="Q2335" s="31"/>
      <c r="R2335" s="33" t="s">
        <v>9061</v>
      </c>
      <c r="S2335" s="34" t="str">
        <f>HYPERLINK("http://www.cnpol.ru/covers/20629.jpg","фото на сайте")</f>
        <v>фото на сайте</v>
      </c>
    </row>
    <row r="2336" spans="1:19" ht="50.1" customHeight="1">
      <c r="A2336" s="31"/>
      <c r="B2336" s="32" t="s">
        <v>9062</v>
      </c>
      <c r="C2336" s="31" t="s">
        <v>4834</v>
      </c>
      <c r="D2336" s="31" t="s">
        <v>4363</v>
      </c>
      <c r="E2336" s="31" t="s">
        <v>9063</v>
      </c>
      <c r="F2336" s="31" t="s">
        <v>31</v>
      </c>
      <c r="G2336" s="31">
        <v>331</v>
      </c>
      <c r="H2336" s="31">
        <v>10</v>
      </c>
      <c r="I2336" s="31">
        <v>10</v>
      </c>
      <c r="J2336" s="31" t="s">
        <v>9064</v>
      </c>
      <c r="K2336" s="31" t="s">
        <v>300</v>
      </c>
      <c r="L2336" s="31" t="s">
        <v>56</v>
      </c>
      <c r="M2336" s="31">
        <v>640</v>
      </c>
      <c r="N2336" s="31">
        <v>2018</v>
      </c>
      <c r="O2336" s="31">
        <v>316</v>
      </c>
      <c r="P2336" s="31"/>
      <c r="Q2336" s="31"/>
      <c r="R2336" s="33"/>
      <c r="S2336" s="34" t="str">
        <f>HYPERLINK("http://www.cnpol.ru/covers/18101.jpg","фото на сайте")</f>
        <v>фото на сайте</v>
      </c>
    </row>
    <row r="2337" spans="1:19" ht="50.1" customHeight="1">
      <c r="A2337" s="31" t="s">
        <v>43</v>
      </c>
      <c r="B2337" s="32" t="s">
        <v>9065</v>
      </c>
      <c r="C2337" s="31" t="s">
        <v>37</v>
      </c>
      <c r="D2337" s="31" t="s">
        <v>4339</v>
      </c>
      <c r="E2337" s="31" t="s">
        <v>9066</v>
      </c>
      <c r="F2337" s="31" t="s">
        <v>31</v>
      </c>
      <c r="G2337" s="35">
        <v>1149</v>
      </c>
      <c r="H2337" s="31">
        <v>10</v>
      </c>
      <c r="I2337" s="31">
        <v>5</v>
      </c>
      <c r="J2337" s="31" t="s">
        <v>9067</v>
      </c>
      <c r="K2337" s="31" t="s">
        <v>33</v>
      </c>
      <c r="L2337" s="31" t="s">
        <v>34</v>
      </c>
      <c r="M2337" s="31">
        <v>457</v>
      </c>
      <c r="N2337" s="31">
        <v>2025</v>
      </c>
      <c r="O2337" s="31">
        <v>399</v>
      </c>
      <c r="P2337" s="31"/>
      <c r="Q2337" s="31"/>
      <c r="R2337" s="33" t="s">
        <v>9068</v>
      </c>
      <c r="S2337" s="34" t="str">
        <f>HYPERLINK("http://www.cnpol.ru/covers/21730.jpg","фото на сайте")</f>
        <v>фото на сайте</v>
      </c>
    </row>
    <row r="2338" spans="1:19" ht="50.1" customHeight="1">
      <c r="A2338" s="31"/>
      <c r="B2338" s="32" t="s">
        <v>9069</v>
      </c>
      <c r="C2338" s="31" t="s">
        <v>546</v>
      </c>
      <c r="D2338" s="31" t="s">
        <v>547</v>
      </c>
      <c r="E2338" s="31" t="s">
        <v>9070</v>
      </c>
      <c r="F2338" s="31">
        <v>437</v>
      </c>
      <c r="G2338" s="31">
        <v>93</v>
      </c>
      <c r="H2338" s="31">
        <v>10</v>
      </c>
      <c r="I2338" s="31">
        <v>30</v>
      </c>
      <c r="J2338" s="31" t="s">
        <v>9071</v>
      </c>
      <c r="K2338" s="31" t="s">
        <v>123</v>
      </c>
      <c r="L2338" s="31" t="s">
        <v>56</v>
      </c>
      <c r="M2338" s="31">
        <v>159</v>
      </c>
      <c r="N2338" s="31">
        <v>2023</v>
      </c>
      <c r="O2338" s="31">
        <v>76</v>
      </c>
      <c r="P2338" s="31"/>
      <c r="Q2338" s="31"/>
      <c r="R2338" s="33" t="s">
        <v>9072</v>
      </c>
      <c r="S2338" s="34" t="str">
        <f>HYPERLINK("http://www.cnpol.ru/covers/20927.jpg","фото на сайте")</f>
        <v>фото на сайте</v>
      </c>
    </row>
    <row r="2339" spans="1:19" ht="50.1" customHeight="1">
      <c r="A2339" s="31" t="s">
        <v>43</v>
      </c>
      <c r="B2339" s="32" t="s">
        <v>9073</v>
      </c>
      <c r="C2339" s="31" t="s">
        <v>37</v>
      </c>
      <c r="D2339" s="31" t="s">
        <v>2555</v>
      </c>
      <c r="E2339" s="31" t="s">
        <v>9074</v>
      </c>
      <c r="F2339" s="31" t="s">
        <v>31</v>
      </c>
      <c r="G2339" s="31">
        <v>562</v>
      </c>
      <c r="H2339" s="31">
        <v>10</v>
      </c>
      <c r="I2339" s="31">
        <v>10</v>
      </c>
      <c r="J2339" s="31" t="s">
        <v>9075</v>
      </c>
      <c r="K2339" s="31" t="s">
        <v>33</v>
      </c>
      <c r="L2339" s="31" t="s">
        <v>34</v>
      </c>
      <c r="M2339" s="31">
        <v>415</v>
      </c>
      <c r="N2339" s="31">
        <v>2024</v>
      </c>
      <c r="O2339" s="31">
        <v>341</v>
      </c>
      <c r="P2339" s="31"/>
      <c r="Q2339" s="31"/>
      <c r="R2339" s="33" t="s">
        <v>9076</v>
      </c>
      <c r="S2339" s="34" t="str">
        <f>HYPERLINK("http://www.cnpol.ru/covers/21166.jpg","фото на сайте")</f>
        <v>фото на сайте</v>
      </c>
    </row>
    <row r="2340" spans="1:19" ht="50.1" customHeight="1">
      <c r="A2340" s="31" t="s">
        <v>43</v>
      </c>
      <c r="B2340" s="32" t="s">
        <v>9077</v>
      </c>
      <c r="C2340" s="31" t="s">
        <v>37</v>
      </c>
      <c r="D2340" s="31" t="s">
        <v>9078</v>
      </c>
      <c r="E2340" s="31" t="s">
        <v>9079</v>
      </c>
      <c r="F2340" s="31" t="s">
        <v>31</v>
      </c>
      <c r="G2340" s="31">
        <v>539</v>
      </c>
      <c r="H2340" s="31">
        <v>10</v>
      </c>
      <c r="I2340" s="31">
        <v>10</v>
      </c>
      <c r="J2340" s="31" t="s">
        <v>9080</v>
      </c>
      <c r="K2340" s="31" t="s">
        <v>33</v>
      </c>
      <c r="L2340" s="31" t="s">
        <v>34</v>
      </c>
      <c r="M2340" s="31">
        <v>383</v>
      </c>
      <c r="N2340" s="31">
        <v>2024</v>
      </c>
      <c r="O2340" s="31">
        <v>333</v>
      </c>
      <c r="P2340" s="31"/>
      <c r="Q2340" s="31"/>
      <c r="R2340" s="33" t="s">
        <v>9081</v>
      </c>
      <c r="S2340" s="34" t="str">
        <f>HYPERLINK("http://www.cnpol.ru/covers/20993.jpg","фото на сайте")</f>
        <v>фото на сайте</v>
      </c>
    </row>
    <row r="2341" spans="1:19" ht="50.1" customHeight="1">
      <c r="A2341" s="31"/>
      <c r="B2341" s="32" t="s">
        <v>9082</v>
      </c>
      <c r="C2341" s="31" t="s">
        <v>400</v>
      </c>
      <c r="D2341" s="31" t="s">
        <v>2412</v>
      </c>
      <c r="E2341" s="31" t="s">
        <v>9083</v>
      </c>
      <c r="F2341" s="31" t="s">
        <v>31</v>
      </c>
      <c r="G2341" s="31">
        <v>503</v>
      </c>
      <c r="H2341" s="31">
        <v>10</v>
      </c>
      <c r="I2341" s="31">
        <v>12</v>
      </c>
      <c r="J2341" s="31" t="s">
        <v>9084</v>
      </c>
      <c r="K2341" s="31" t="s">
        <v>33</v>
      </c>
      <c r="L2341" s="31" t="s">
        <v>34</v>
      </c>
      <c r="M2341" s="31">
        <v>384</v>
      </c>
      <c r="N2341" s="31">
        <v>2017</v>
      </c>
      <c r="O2341" s="31">
        <v>314</v>
      </c>
      <c r="P2341" s="31"/>
      <c r="Q2341" s="31"/>
      <c r="R2341" s="33"/>
      <c r="S2341" s="34" t="str">
        <f>HYPERLINK("http://www.cnpol.ru/covers/17581.jpg","фото на сайте")</f>
        <v>фото на сайте</v>
      </c>
    </row>
    <row r="2342" spans="1:19" ht="50.1" customHeight="1">
      <c r="A2342" s="31"/>
      <c r="B2342" s="32" t="s">
        <v>9085</v>
      </c>
      <c r="C2342" s="31" t="s">
        <v>400</v>
      </c>
      <c r="D2342" s="31" t="s">
        <v>9086</v>
      </c>
      <c r="E2342" s="31" t="s">
        <v>9087</v>
      </c>
      <c r="F2342" s="31" t="s">
        <v>31</v>
      </c>
      <c r="G2342" s="31">
        <v>503</v>
      </c>
      <c r="H2342" s="31">
        <v>10</v>
      </c>
      <c r="I2342" s="31">
        <v>14</v>
      </c>
      <c r="J2342" s="31" t="s">
        <v>9088</v>
      </c>
      <c r="K2342" s="31" t="s">
        <v>33</v>
      </c>
      <c r="L2342" s="31" t="s">
        <v>34</v>
      </c>
      <c r="M2342" s="31">
        <v>288</v>
      </c>
      <c r="N2342" s="31">
        <v>2019</v>
      </c>
      <c r="O2342" s="31">
        <v>250</v>
      </c>
      <c r="P2342" s="31"/>
      <c r="Q2342" s="31"/>
      <c r="R2342" s="33"/>
      <c r="S2342" s="34" t="str">
        <f>HYPERLINK("http://www.cnpol.ru/covers/18525.jpg","фото на сайте")</f>
        <v>фото на сайте</v>
      </c>
    </row>
    <row r="2343" spans="1:19" ht="50.1" customHeight="1">
      <c r="A2343" s="31"/>
      <c r="B2343" s="32" t="s">
        <v>9089</v>
      </c>
      <c r="C2343" s="31" t="s">
        <v>1594</v>
      </c>
      <c r="D2343" s="31" t="s">
        <v>8074</v>
      </c>
      <c r="E2343" s="31" t="s">
        <v>9090</v>
      </c>
      <c r="F2343" s="31" t="s">
        <v>31</v>
      </c>
      <c r="G2343" s="31">
        <v>169</v>
      </c>
      <c r="H2343" s="31">
        <v>10</v>
      </c>
      <c r="I2343" s="31">
        <v>20</v>
      </c>
      <c r="J2343" s="31" t="s">
        <v>9091</v>
      </c>
      <c r="K2343" s="31" t="s">
        <v>55</v>
      </c>
      <c r="L2343" s="31" t="s">
        <v>56</v>
      </c>
      <c r="M2343" s="31">
        <v>352</v>
      </c>
      <c r="N2343" s="31">
        <v>2019</v>
      </c>
      <c r="O2343" s="31">
        <v>146</v>
      </c>
      <c r="P2343" s="31"/>
      <c r="Q2343" s="31"/>
      <c r="R2343" s="33"/>
      <c r="S2343" s="34" t="str">
        <f>HYPERLINK("http://www.cnpol.ru/covers/18913.jpg","фото на сайте")</f>
        <v>фото на сайте</v>
      </c>
    </row>
    <row r="2344" spans="1:19" ht="50.1" customHeight="1">
      <c r="A2344" s="31" t="s">
        <v>35</v>
      </c>
      <c r="B2344" s="32" t="s">
        <v>9092</v>
      </c>
      <c r="C2344" s="31" t="s">
        <v>37</v>
      </c>
      <c r="D2344" s="31" t="s">
        <v>9093</v>
      </c>
      <c r="E2344" s="31" t="s">
        <v>9094</v>
      </c>
      <c r="F2344" s="31" t="s">
        <v>31</v>
      </c>
      <c r="G2344" s="35">
        <v>2198</v>
      </c>
      <c r="H2344" s="31">
        <v>10</v>
      </c>
      <c r="I2344" s="31">
        <v>2</v>
      </c>
      <c r="J2344" s="31" t="s">
        <v>9095</v>
      </c>
      <c r="K2344" s="31" t="s">
        <v>41</v>
      </c>
      <c r="L2344" s="31" t="s">
        <v>34</v>
      </c>
      <c r="M2344" s="31">
        <v>1247</v>
      </c>
      <c r="N2344" s="31" t="s">
        <v>431</v>
      </c>
      <c r="O2344" s="31">
        <v>1244</v>
      </c>
      <c r="P2344" s="31"/>
      <c r="Q2344" s="31"/>
      <c r="R2344" s="33" t="s">
        <v>9096</v>
      </c>
      <c r="S2344" s="34" t="str">
        <f>HYPERLINK("http://www.cnpol.ru/covers/21427.jpg","фото на сайте")</f>
        <v>фото на сайте</v>
      </c>
    </row>
    <row r="2345" spans="1:19" ht="50.1" customHeight="1">
      <c r="A2345" s="31" t="s">
        <v>35</v>
      </c>
      <c r="B2345" s="32" t="s">
        <v>9097</v>
      </c>
      <c r="C2345" s="31" t="s">
        <v>37</v>
      </c>
      <c r="D2345" s="31" t="s">
        <v>9093</v>
      </c>
      <c r="E2345" s="31" t="s">
        <v>9098</v>
      </c>
      <c r="F2345" s="31" t="s">
        <v>31</v>
      </c>
      <c r="G2345" s="35">
        <v>2198</v>
      </c>
      <c r="H2345" s="31">
        <v>10</v>
      </c>
      <c r="I2345" s="31">
        <v>2</v>
      </c>
      <c r="J2345" s="31" t="s">
        <v>9099</v>
      </c>
      <c r="K2345" s="31" t="s">
        <v>41</v>
      </c>
      <c r="L2345" s="31" t="s">
        <v>34</v>
      </c>
      <c r="M2345" s="31">
        <v>1247</v>
      </c>
      <c r="N2345" s="31" t="s">
        <v>431</v>
      </c>
      <c r="O2345" s="31">
        <v>1244</v>
      </c>
      <c r="P2345" s="31"/>
      <c r="Q2345" s="31"/>
      <c r="R2345" s="33" t="s">
        <v>9096</v>
      </c>
      <c r="S2345" s="34" t="str">
        <f>HYPERLINK("http://www.cnpol.ru/covers/21426.jpg","фото на сайте")</f>
        <v>фото на сайте</v>
      </c>
    </row>
    <row r="2346" spans="1:19" ht="50.1" customHeight="1">
      <c r="A2346" s="31"/>
      <c r="B2346" s="32" t="s">
        <v>9100</v>
      </c>
      <c r="C2346" s="31" t="s">
        <v>385</v>
      </c>
      <c r="D2346" s="31" t="s">
        <v>386</v>
      </c>
      <c r="E2346" s="31" t="s">
        <v>9101</v>
      </c>
      <c r="F2346" s="31" t="s">
        <v>31</v>
      </c>
      <c r="G2346" s="31">
        <v>162</v>
      </c>
      <c r="H2346" s="31">
        <v>10</v>
      </c>
      <c r="I2346" s="31">
        <v>32</v>
      </c>
      <c r="J2346" s="31" t="s">
        <v>9102</v>
      </c>
      <c r="K2346" s="31" t="s">
        <v>55</v>
      </c>
      <c r="L2346" s="31" t="s">
        <v>56</v>
      </c>
      <c r="M2346" s="31">
        <v>256</v>
      </c>
      <c r="N2346" s="31">
        <v>2016</v>
      </c>
      <c r="O2346" s="31">
        <v>110</v>
      </c>
      <c r="P2346" s="31"/>
      <c r="Q2346" s="31"/>
      <c r="R2346" s="33"/>
      <c r="S2346" s="34" t="str">
        <f>HYPERLINK("http://www.cnpol.ru/covers/0146.jpg","фото на сайте")</f>
        <v>фото на сайте</v>
      </c>
    </row>
    <row r="2347" spans="1:19" ht="50.1" customHeight="1">
      <c r="A2347" s="31"/>
      <c r="B2347" s="32" t="s">
        <v>9103</v>
      </c>
      <c r="C2347" s="31" t="s">
        <v>385</v>
      </c>
      <c r="D2347" s="31" t="s">
        <v>386</v>
      </c>
      <c r="E2347" s="31" t="s">
        <v>9104</v>
      </c>
      <c r="F2347" s="31" t="s">
        <v>31</v>
      </c>
      <c r="G2347" s="31">
        <v>162</v>
      </c>
      <c r="H2347" s="31">
        <v>10</v>
      </c>
      <c r="I2347" s="31">
        <v>32</v>
      </c>
      <c r="J2347" s="31" t="s">
        <v>9105</v>
      </c>
      <c r="K2347" s="31" t="s">
        <v>55</v>
      </c>
      <c r="L2347" s="31" t="s">
        <v>56</v>
      </c>
      <c r="M2347" s="31">
        <v>256</v>
      </c>
      <c r="N2347" s="31">
        <v>2016</v>
      </c>
      <c r="O2347" s="31">
        <v>108</v>
      </c>
      <c r="P2347" s="31"/>
      <c r="Q2347" s="31"/>
      <c r="R2347" s="33"/>
      <c r="S2347" s="34" t="str">
        <f>HYPERLINK("http://www.cnpol.ru/covers/0154.jpg","фото на сайте")</f>
        <v>фото на сайте</v>
      </c>
    </row>
    <row r="2348" spans="1:19" ht="50.1" customHeight="1">
      <c r="A2348" s="31"/>
      <c r="B2348" s="32" t="s">
        <v>9106</v>
      </c>
      <c r="C2348" s="31" t="s">
        <v>385</v>
      </c>
      <c r="D2348" s="31" t="s">
        <v>386</v>
      </c>
      <c r="E2348" s="31" t="s">
        <v>9107</v>
      </c>
      <c r="F2348" s="31" t="s">
        <v>31</v>
      </c>
      <c r="G2348" s="31">
        <v>162</v>
      </c>
      <c r="H2348" s="31">
        <v>10</v>
      </c>
      <c r="I2348" s="31">
        <v>32</v>
      </c>
      <c r="J2348" s="31" t="s">
        <v>9108</v>
      </c>
      <c r="K2348" s="31" t="s">
        <v>55</v>
      </c>
      <c r="L2348" s="31" t="s">
        <v>56</v>
      </c>
      <c r="M2348" s="31">
        <v>256</v>
      </c>
      <c r="N2348" s="31">
        <v>2016</v>
      </c>
      <c r="O2348" s="31">
        <v>110</v>
      </c>
      <c r="P2348" s="31"/>
      <c r="Q2348" s="31"/>
      <c r="R2348" s="33"/>
      <c r="S2348" s="34" t="str">
        <f>HYPERLINK("http://www.cnpol.ru/covers/16762.jpg","фото на сайте")</f>
        <v>фото на сайте</v>
      </c>
    </row>
    <row r="2349" spans="1:19" ht="50.1" customHeight="1">
      <c r="A2349" s="31"/>
      <c r="B2349" s="32" t="s">
        <v>9109</v>
      </c>
      <c r="C2349" s="31" t="s">
        <v>37</v>
      </c>
      <c r="D2349" s="31" t="s">
        <v>9110</v>
      </c>
      <c r="E2349" s="31" t="s">
        <v>9111</v>
      </c>
      <c r="F2349" s="31" t="s">
        <v>31</v>
      </c>
      <c r="G2349" s="31">
        <v>640</v>
      </c>
      <c r="H2349" s="31">
        <v>10</v>
      </c>
      <c r="I2349" s="31">
        <v>8</v>
      </c>
      <c r="J2349" s="31" t="s">
        <v>9112</v>
      </c>
      <c r="K2349" s="31" t="s">
        <v>33</v>
      </c>
      <c r="L2349" s="31" t="s">
        <v>34</v>
      </c>
      <c r="M2349" s="31">
        <v>543</v>
      </c>
      <c r="N2349" s="31">
        <v>2023</v>
      </c>
      <c r="O2349" s="31">
        <v>408</v>
      </c>
      <c r="P2349" s="31"/>
      <c r="Q2349" s="31"/>
      <c r="R2349" s="33" t="s">
        <v>9113</v>
      </c>
      <c r="S2349" s="34" t="str">
        <f>HYPERLINK("http://www.cnpol.ru/covers/20658.jpg","фото на сайте")</f>
        <v>фото на сайте</v>
      </c>
    </row>
    <row r="2350" spans="1:19" ht="50.1" customHeight="1">
      <c r="A2350" s="31"/>
      <c r="B2350" s="32" t="s">
        <v>9114</v>
      </c>
      <c r="C2350" s="31" t="s">
        <v>5849</v>
      </c>
      <c r="D2350" s="31" t="s">
        <v>386</v>
      </c>
      <c r="E2350" s="31" t="s">
        <v>9115</v>
      </c>
      <c r="F2350" s="31" t="s">
        <v>31</v>
      </c>
      <c r="G2350" s="31">
        <v>96</v>
      </c>
      <c r="H2350" s="31">
        <v>10</v>
      </c>
      <c r="I2350" s="31">
        <v>32</v>
      </c>
      <c r="J2350" s="31" t="s">
        <v>9116</v>
      </c>
      <c r="K2350" s="31" t="s">
        <v>55</v>
      </c>
      <c r="L2350" s="31" t="s">
        <v>56</v>
      </c>
      <c r="M2350" s="31">
        <v>254</v>
      </c>
      <c r="N2350" s="31">
        <v>2008</v>
      </c>
      <c r="O2350" s="31">
        <v>110</v>
      </c>
      <c r="P2350" s="31"/>
      <c r="Q2350" s="31"/>
      <c r="R2350" s="33"/>
      <c r="S2350" s="34" t="str">
        <f>HYPERLINK("http://www.cnpol.ru/covers/7978.jpg","фото на сайте")</f>
        <v>фото на сайте</v>
      </c>
    </row>
    <row r="2351" spans="1:19" ht="50.1" customHeight="1">
      <c r="A2351" s="31"/>
      <c r="B2351" s="32" t="s">
        <v>9117</v>
      </c>
      <c r="C2351" s="31" t="s">
        <v>385</v>
      </c>
      <c r="D2351" s="31" t="s">
        <v>386</v>
      </c>
      <c r="E2351" s="31" t="s">
        <v>9115</v>
      </c>
      <c r="F2351" s="31" t="s">
        <v>31</v>
      </c>
      <c r="G2351" s="31">
        <v>162</v>
      </c>
      <c r="H2351" s="31">
        <v>10</v>
      </c>
      <c r="I2351" s="31">
        <v>32</v>
      </c>
      <c r="J2351" s="31" t="s">
        <v>9118</v>
      </c>
      <c r="K2351" s="31" t="s">
        <v>55</v>
      </c>
      <c r="L2351" s="31" t="s">
        <v>56</v>
      </c>
      <c r="M2351" s="31">
        <v>256</v>
      </c>
      <c r="N2351" s="31">
        <v>2016</v>
      </c>
      <c r="O2351" s="31">
        <v>106</v>
      </c>
      <c r="P2351" s="31"/>
      <c r="Q2351" s="31"/>
      <c r="R2351" s="33"/>
      <c r="S2351" s="34" t="str">
        <f>HYPERLINK("http://www.cnpol.ru/covers/0153.jpg","фото на сайте")</f>
        <v>фото на сайте</v>
      </c>
    </row>
    <row r="2352" spans="1:19" ht="50.1" customHeight="1">
      <c r="A2352" s="31"/>
      <c r="B2352" s="32" t="s">
        <v>9119</v>
      </c>
      <c r="C2352" s="31" t="s">
        <v>1229</v>
      </c>
      <c r="D2352" s="31" t="s">
        <v>386</v>
      </c>
      <c r="E2352" s="31" t="s">
        <v>9120</v>
      </c>
      <c r="F2352" s="31" t="s">
        <v>31</v>
      </c>
      <c r="G2352" s="31">
        <v>486</v>
      </c>
      <c r="H2352" s="31">
        <v>10</v>
      </c>
      <c r="I2352" s="31">
        <v>10</v>
      </c>
      <c r="J2352" s="31" t="s">
        <v>9121</v>
      </c>
      <c r="K2352" s="31" t="s">
        <v>33</v>
      </c>
      <c r="L2352" s="31" t="s">
        <v>34</v>
      </c>
      <c r="M2352" s="31">
        <v>320</v>
      </c>
      <c r="N2352" s="31">
        <v>2016</v>
      </c>
      <c r="O2352" s="31">
        <v>280</v>
      </c>
      <c r="P2352" s="31"/>
      <c r="Q2352" s="31"/>
      <c r="R2352" s="33"/>
      <c r="S2352" s="34" t="str">
        <f>HYPERLINK("http://www.cnpol.ru/covers/16799.jpg","фото на сайте")</f>
        <v>фото на сайте</v>
      </c>
    </row>
    <row r="2353" spans="1:19" ht="50.1" customHeight="1">
      <c r="A2353" s="31"/>
      <c r="B2353" s="32" t="s">
        <v>9122</v>
      </c>
      <c r="C2353" s="31" t="s">
        <v>464</v>
      </c>
      <c r="D2353" s="31" t="s">
        <v>1664</v>
      </c>
      <c r="E2353" s="31" t="s">
        <v>9123</v>
      </c>
      <c r="F2353" s="31" t="s">
        <v>31</v>
      </c>
      <c r="G2353" s="31">
        <v>137</v>
      </c>
      <c r="H2353" s="31">
        <v>10</v>
      </c>
      <c r="I2353" s="31">
        <v>50</v>
      </c>
      <c r="J2353" s="31" t="s">
        <v>9124</v>
      </c>
      <c r="K2353" s="31" t="s">
        <v>468</v>
      </c>
      <c r="L2353" s="31" t="s">
        <v>56</v>
      </c>
      <c r="M2353" s="31">
        <v>18</v>
      </c>
      <c r="N2353" s="31">
        <v>2008</v>
      </c>
      <c r="O2353" s="31">
        <v>76</v>
      </c>
      <c r="P2353" s="31"/>
      <c r="Q2353" s="31"/>
      <c r="R2353" s="33"/>
      <c r="S2353" s="34" t="str">
        <f>HYPERLINK("http://www.cnpol.ru/covers/7655.jpg","фото на сайте")</f>
        <v>фото на сайте</v>
      </c>
    </row>
    <row r="2354" spans="1:19" ht="50.1" customHeight="1">
      <c r="A2354" s="31"/>
      <c r="B2354" s="32" t="s">
        <v>9125</v>
      </c>
      <c r="C2354" s="31" t="s">
        <v>464</v>
      </c>
      <c r="D2354" s="31" t="s">
        <v>1664</v>
      </c>
      <c r="E2354" s="31" t="s">
        <v>9126</v>
      </c>
      <c r="F2354" s="31" t="s">
        <v>31</v>
      </c>
      <c r="G2354" s="31">
        <v>137</v>
      </c>
      <c r="H2354" s="31">
        <v>10</v>
      </c>
      <c r="I2354" s="31">
        <v>50</v>
      </c>
      <c r="J2354" s="31" t="s">
        <v>9127</v>
      </c>
      <c r="K2354" s="31" t="s">
        <v>468</v>
      </c>
      <c r="L2354" s="31" t="s">
        <v>56</v>
      </c>
      <c r="M2354" s="31">
        <v>18</v>
      </c>
      <c r="N2354" s="31">
        <v>2005</v>
      </c>
      <c r="O2354" s="31">
        <v>88</v>
      </c>
      <c r="P2354" s="31"/>
      <c r="Q2354" s="31"/>
      <c r="R2354" s="33"/>
      <c r="S2354" s="34" t="str">
        <f>HYPERLINK("http://www.cnpol.ru/covers/6218.jpg","фото на сайте")</f>
        <v>фото на сайте</v>
      </c>
    </row>
    <row r="2355" spans="1:19" ht="50.1" customHeight="1">
      <c r="A2355" s="31"/>
      <c r="B2355" s="32" t="s">
        <v>9128</v>
      </c>
      <c r="C2355" s="31" t="s">
        <v>546</v>
      </c>
      <c r="D2355" s="31" t="s">
        <v>1435</v>
      </c>
      <c r="E2355" s="31" t="s">
        <v>9129</v>
      </c>
      <c r="F2355" s="31">
        <v>284</v>
      </c>
      <c r="G2355" s="31">
        <v>93</v>
      </c>
      <c r="H2355" s="31">
        <v>10</v>
      </c>
      <c r="I2355" s="31">
        <v>30</v>
      </c>
      <c r="J2355" s="31" t="s">
        <v>9130</v>
      </c>
      <c r="K2355" s="31" t="s">
        <v>123</v>
      </c>
      <c r="L2355" s="31" t="s">
        <v>56</v>
      </c>
      <c r="M2355" s="31">
        <v>160</v>
      </c>
      <c r="N2355" s="31">
        <v>2018</v>
      </c>
      <c r="O2355" s="31">
        <v>76</v>
      </c>
      <c r="P2355" s="31"/>
      <c r="Q2355" s="31"/>
      <c r="R2355" s="33"/>
      <c r="S2355" s="34" t="str">
        <f>HYPERLINK("http://www.cnpol.ru/covers/18372.jpg","фото на сайте")</f>
        <v>фото на сайте</v>
      </c>
    </row>
    <row r="2356" spans="1:19" ht="50.1" customHeight="1">
      <c r="A2356" s="31"/>
      <c r="B2356" s="32" t="s">
        <v>9131</v>
      </c>
      <c r="C2356" s="31" t="s">
        <v>37</v>
      </c>
      <c r="D2356" s="31" t="s">
        <v>9132</v>
      </c>
      <c r="E2356" s="31" t="s">
        <v>9133</v>
      </c>
      <c r="F2356" s="31" t="s">
        <v>31</v>
      </c>
      <c r="G2356" s="31">
        <v>998</v>
      </c>
      <c r="H2356" s="31">
        <v>10</v>
      </c>
      <c r="I2356" s="31">
        <v>8</v>
      </c>
      <c r="J2356" s="31" t="s">
        <v>9134</v>
      </c>
      <c r="K2356" s="31" t="s">
        <v>33</v>
      </c>
      <c r="L2356" s="31" t="s">
        <v>34</v>
      </c>
      <c r="M2356" s="31">
        <v>544</v>
      </c>
      <c r="N2356" s="31">
        <v>2018</v>
      </c>
      <c r="O2356" s="31">
        <v>542</v>
      </c>
      <c r="P2356" s="31"/>
      <c r="Q2356" s="31"/>
      <c r="R2356" s="33"/>
      <c r="S2356" s="34" t="str">
        <f>HYPERLINK("http://www.cnpol.ru/covers/18373.jpg","фото на сайте")</f>
        <v>фото на сайте</v>
      </c>
    </row>
    <row r="2357" spans="1:19" ht="50.1" customHeight="1">
      <c r="A2357" s="31"/>
      <c r="B2357" s="32" t="s">
        <v>9135</v>
      </c>
      <c r="C2357" s="31" t="s">
        <v>9136</v>
      </c>
      <c r="D2357" s="31" t="s">
        <v>9137</v>
      </c>
      <c r="E2357" s="31" t="s">
        <v>9138</v>
      </c>
      <c r="F2357" s="31" t="s">
        <v>31</v>
      </c>
      <c r="G2357" s="35">
        <v>1205</v>
      </c>
      <c r="H2357" s="31">
        <v>10</v>
      </c>
      <c r="I2357" s="31">
        <v>8</v>
      </c>
      <c r="J2357" s="31" t="s">
        <v>9139</v>
      </c>
      <c r="K2357" s="31" t="s">
        <v>33</v>
      </c>
      <c r="L2357" s="31" t="s">
        <v>34</v>
      </c>
      <c r="M2357" s="31">
        <v>511</v>
      </c>
      <c r="N2357" s="31">
        <v>2024</v>
      </c>
      <c r="O2357" s="31">
        <v>585</v>
      </c>
      <c r="P2357" s="31"/>
      <c r="Q2357" s="31"/>
      <c r="R2357" s="33" t="s">
        <v>9140</v>
      </c>
      <c r="S2357" s="34" t="str">
        <f>HYPERLINK("http://www.cnpol.ru/covers/20961.jpg","фото на сайте")</f>
        <v>фото на сайте</v>
      </c>
    </row>
    <row r="2358" spans="1:19" ht="50.1" customHeight="1">
      <c r="A2358" s="31"/>
      <c r="B2358" s="32" t="s">
        <v>9141</v>
      </c>
      <c r="C2358" s="31" t="s">
        <v>7977</v>
      </c>
      <c r="D2358" s="31" t="s">
        <v>9142</v>
      </c>
      <c r="E2358" s="31" t="s">
        <v>9143</v>
      </c>
      <c r="F2358" s="31" t="s">
        <v>31</v>
      </c>
      <c r="G2358" s="31">
        <v>693</v>
      </c>
      <c r="H2358" s="31">
        <v>10</v>
      </c>
      <c r="I2358" s="31">
        <v>24</v>
      </c>
      <c r="J2358" s="31" t="s">
        <v>9144</v>
      </c>
      <c r="K2358" s="31" t="s">
        <v>33</v>
      </c>
      <c r="L2358" s="31" t="s">
        <v>34</v>
      </c>
      <c r="M2358" s="31">
        <v>192</v>
      </c>
      <c r="N2358" s="31">
        <v>2022</v>
      </c>
      <c r="O2358" s="31">
        <v>202</v>
      </c>
      <c r="P2358" s="31"/>
      <c r="Q2358" s="31"/>
      <c r="R2358" s="33"/>
      <c r="S2358" s="34" t="str">
        <f>HYPERLINK("http://www.cnpol.ru/covers/20301.jpg","фото на сайте")</f>
        <v>фото на сайте</v>
      </c>
    </row>
    <row r="2359" spans="1:19" ht="50.1" customHeight="1">
      <c r="A2359" s="31"/>
      <c r="B2359" s="32" t="s">
        <v>9145</v>
      </c>
      <c r="C2359" s="31" t="s">
        <v>7977</v>
      </c>
      <c r="D2359" s="31" t="s">
        <v>9146</v>
      </c>
      <c r="E2359" s="31" t="s">
        <v>9147</v>
      </c>
      <c r="F2359" s="31" t="s">
        <v>31</v>
      </c>
      <c r="G2359" s="31">
        <v>693</v>
      </c>
      <c r="H2359" s="31">
        <v>10</v>
      </c>
      <c r="I2359" s="31">
        <v>16</v>
      </c>
      <c r="J2359" s="31" t="s">
        <v>9148</v>
      </c>
      <c r="K2359" s="31" t="s">
        <v>33</v>
      </c>
      <c r="L2359" s="31" t="s">
        <v>34</v>
      </c>
      <c r="M2359" s="31">
        <v>176</v>
      </c>
      <c r="N2359" s="31">
        <v>2021</v>
      </c>
      <c r="O2359" s="31">
        <v>202</v>
      </c>
      <c r="P2359" s="31"/>
      <c r="Q2359" s="31"/>
      <c r="R2359" s="33"/>
      <c r="S2359" s="34" t="str">
        <f>HYPERLINK("http://www.cnpol.ru/covers/19993.jpg","фото на сайте")</f>
        <v>фото на сайте</v>
      </c>
    </row>
    <row r="2360" spans="1:19" ht="50.1" customHeight="1">
      <c r="A2360" s="31"/>
      <c r="B2360" s="32" t="s">
        <v>9149</v>
      </c>
      <c r="C2360" s="31" t="s">
        <v>7977</v>
      </c>
      <c r="D2360" s="31" t="s">
        <v>9150</v>
      </c>
      <c r="E2360" s="31" t="s">
        <v>9151</v>
      </c>
      <c r="F2360" s="31" t="s">
        <v>31</v>
      </c>
      <c r="G2360" s="31">
        <v>693</v>
      </c>
      <c r="H2360" s="31">
        <v>10</v>
      </c>
      <c r="I2360" s="31">
        <v>18</v>
      </c>
      <c r="J2360" s="31" t="s">
        <v>9152</v>
      </c>
      <c r="K2360" s="31" t="s">
        <v>33</v>
      </c>
      <c r="L2360" s="31" t="s">
        <v>34</v>
      </c>
      <c r="M2360" s="31">
        <v>302</v>
      </c>
      <c r="N2360" s="31">
        <v>2023</v>
      </c>
      <c r="O2360" s="31">
        <v>338</v>
      </c>
      <c r="P2360" s="31"/>
      <c r="Q2360" s="31"/>
      <c r="R2360" s="33" t="s">
        <v>9153</v>
      </c>
      <c r="S2360" s="34" t="str">
        <f>HYPERLINK("http://www.cnpol.ru/covers/20654.jpg","фото на сайте")</f>
        <v>фото на сайте</v>
      </c>
    </row>
    <row r="2361" spans="1:19" ht="50.1" customHeight="1">
      <c r="A2361" s="31"/>
      <c r="B2361" s="32" t="s">
        <v>9154</v>
      </c>
      <c r="C2361" s="31" t="s">
        <v>7977</v>
      </c>
      <c r="D2361" s="31" t="s">
        <v>9155</v>
      </c>
      <c r="E2361" s="31" t="s">
        <v>9156</v>
      </c>
      <c r="F2361" s="31" t="s">
        <v>31</v>
      </c>
      <c r="G2361" s="31">
        <v>693</v>
      </c>
      <c r="H2361" s="31">
        <v>10</v>
      </c>
      <c r="I2361" s="31">
        <v>16</v>
      </c>
      <c r="J2361" s="31" t="s">
        <v>9157</v>
      </c>
      <c r="K2361" s="31" t="s">
        <v>33</v>
      </c>
      <c r="L2361" s="31" t="s">
        <v>34</v>
      </c>
      <c r="M2361" s="31">
        <v>335</v>
      </c>
      <c r="N2361" s="31">
        <v>2022</v>
      </c>
      <c r="O2361" s="31">
        <v>420</v>
      </c>
      <c r="P2361" s="31"/>
      <c r="Q2361" s="31"/>
      <c r="R2361" s="33" t="s">
        <v>9158</v>
      </c>
      <c r="S2361" s="34" t="str">
        <f>HYPERLINK("http://www.cnpol.ru/covers/20429.jpg","фото на сайте")</f>
        <v>фото на сайте</v>
      </c>
    </row>
    <row r="2362" spans="1:19" ht="50.1" customHeight="1">
      <c r="A2362" s="31"/>
      <c r="B2362" s="32" t="s">
        <v>9159</v>
      </c>
      <c r="C2362" s="31" t="s">
        <v>7977</v>
      </c>
      <c r="D2362" s="31" t="s">
        <v>9160</v>
      </c>
      <c r="E2362" s="31" t="s">
        <v>9161</v>
      </c>
      <c r="F2362" s="31" t="s">
        <v>31</v>
      </c>
      <c r="G2362" s="31">
        <v>733</v>
      </c>
      <c r="H2362" s="31">
        <v>10</v>
      </c>
      <c r="I2362" s="31">
        <v>14</v>
      </c>
      <c r="J2362" s="31" t="s">
        <v>9162</v>
      </c>
      <c r="K2362" s="31" t="s">
        <v>33</v>
      </c>
      <c r="L2362" s="31" t="s">
        <v>34</v>
      </c>
      <c r="M2362" s="31">
        <v>365</v>
      </c>
      <c r="N2362" s="31">
        <v>2023</v>
      </c>
      <c r="O2362" s="31">
        <v>430</v>
      </c>
      <c r="P2362" s="31"/>
      <c r="Q2362" s="31"/>
      <c r="R2362" s="33" t="s">
        <v>9163</v>
      </c>
      <c r="S2362" s="34" t="str">
        <f>HYPERLINK("http://www.cnpol.ru/covers/20596.jpg","фото на сайте")</f>
        <v>фото на сайте</v>
      </c>
    </row>
    <row r="2363" spans="1:19" ht="50.1" customHeight="1">
      <c r="A2363" s="31"/>
      <c r="B2363" s="32" t="s">
        <v>9164</v>
      </c>
      <c r="C2363" s="31" t="s">
        <v>7977</v>
      </c>
      <c r="D2363" s="31" t="s">
        <v>9165</v>
      </c>
      <c r="E2363" s="31" t="s">
        <v>9166</v>
      </c>
      <c r="F2363" s="31" t="s">
        <v>31</v>
      </c>
      <c r="G2363" s="31">
        <v>693</v>
      </c>
      <c r="H2363" s="31">
        <v>10</v>
      </c>
      <c r="I2363" s="31">
        <v>14</v>
      </c>
      <c r="J2363" s="31" t="s">
        <v>9167</v>
      </c>
      <c r="K2363" s="31" t="s">
        <v>33</v>
      </c>
      <c r="L2363" s="31" t="s">
        <v>34</v>
      </c>
      <c r="M2363" s="31">
        <v>352</v>
      </c>
      <c r="N2363" s="31">
        <v>2020</v>
      </c>
      <c r="O2363" s="31">
        <v>432</v>
      </c>
      <c r="P2363" s="31"/>
      <c r="Q2363" s="31"/>
      <c r="R2363" s="33"/>
      <c r="S2363" s="34" t="str">
        <f>HYPERLINK("http://www.cnpol.ru/covers/19065.jpg","фото на сайте")</f>
        <v>фото на сайте</v>
      </c>
    </row>
    <row r="2364" spans="1:19" ht="50.1" customHeight="1">
      <c r="A2364" s="31"/>
      <c r="B2364" s="32" t="s">
        <v>9168</v>
      </c>
      <c r="C2364" s="31" t="s">
        <v>7977</v>
      </c>
      <c r="D2364" s="31" t="s">
        <v>9169</v>
      </c>
      <c r="E2364" s="31" t="s">
        <v>9170</v>
      </c>
      <c r="F2364" s="31" t="s">
        <v>31</v>
      </c>
      <c r="G2364" s="31">
        <v>733</v>
      </c>
      <c r="H2364" s="31">
        <v>10</v>
      </c>
      <c r="I2364" s="31">
        <v>14</v>
      </c>
      <c r="J2364" s="31" t="s">
        <v>9171</v>
      </c>
      <c r="K2364" s="31" t="s">
        <v>33</v>
      </c>
      <c r="L2364" s="31" t="s">
        <v>34</v>
      </c>
      <c r="M2364" s="31">
        <v>382</v>
      </c>
      <c r="N2364" s="31">
        <v>2022</v>
      </c>
      <c r="O2364" s="31">
        <v>422</v>
      </c>
      <c r="P2364" s="31"/>
      <c r="Q2364" s="31"/>
      <c r="R2364" s="33" t="s">
        <v>9172</v>
      </c>
      <c r="S2364" s="34" t="str">
        <f>HYPERLINK("http://www.cnpol.ru/covers/20472.jpg","фото на сайте")</f>
        <v>фото на сайте</v>
      </c>
    </row>
    <row r="2365" spans="1:19" ht="50.1" customHeight="1">
      <c r="A2365" s="31"/>
      <c r="B2365" s="32" t="s">
        <v>9173</v>
      </c>
      <c r="C2365" s="31" t="s">
        <v>7977</v>
      </c>
      <c r="D2365" s="31" t="s">
        <v>9174</v>
      </c>
      <c r="E2365" s="31" t="s">
        <v>9175</v>
      </c>
      <c r="F2365" s="31" t="s">
        <v>31</v>
      </c>
      <c r="G2365" s="31">
        <v>815</v>
      </c>
      <c r="H2365" s="31">
        <v>10</v>
      </c>
      <c r="I2365" s="31">
        <v>8</v>
      </c>
      <c r="J2365" s="31" t="s">
        <v>9176</v>
      </c>
      <c r="K2365" s="31" t="s">
        <v>33</v>
      </c>
      <c r="L2365" s="31" t="s">
        <v>34</v>
      </c>
      <c r="M2365" s="31">
        <v>384</v>
      </c>
      <c r="N2365" s="31">
        <v>2021</v>
      </c>
      <c r="O2365" s="31">
        <v>406</v>
      </c>
      <c r="P2365" s="31"/>
      <c r="Q2365" s="31"/>
      <c r="R2365" s="33"/>
      <c r="S2365" s="34" t="str">
        <f>HYPERLINK("http://www.cnpol.ru/covers/20052.jpg","фото на сайте")</f>
        <v>фото на сайте</v>
      </c>
    </row>
    <row r="2366" spans="1:19" ht="50.1" customHeight="1">
      <c r="A2366" s="31"/>
      <c r="B2366" s="32" t="s">
        <v>9177</v>
      </c>
      <c r="C2366" s="31" t="s">
        <v>7977</v>
      </c>
      <c r="D2366" s="31" t="s">
        <v>9150</v>
      </c>
      <c r="E2366" s="31" t="s">
        <v>9178</v>
      </c>
      <c r="F2366" s="31" t="s">
        <v>31</v>
      </c>
      <c r="G2366" s="31">
        <v>815</v>
      </c>
      <c r="H2366" s="31">
        <v>10</v>
      </c>
      <c r="I2366" s="31">
        <v>8</v>
      </c>
      <c r="J2366" s="31" t="s">
        <v>9179</v>
      </c>
      <c r="K2366" s="31" t="s">
        <v>33</v>
      </c>
      <c r="L2366" s="31" t="s">
        <v>34</v>
      </c>
      <c r="M2366" s="31">
        <v>352</v>
      </c>
      <c r="N2366" s="31">
        <v>2021</v>
      </c>
      <c r="O2366" s="31">
        <v>432</v>
      </c>
      <c r="P2366" s="31"/>
      <c r="Q2366" s="31"/>
      <c r="R2366" s="33"/>
      <c r="S2366" s="34" t="str">
        <f>HYPERLINK("http://www.cnpol.ru/covers/20051.jpg","фото на сайте")</f>
        <v>фото на сайте</v>
      </c>
    </row>
    <row r="2367" spans="1:19" ht="50.1" customHeight="1">
      <c r="A2367" s="31"/>
      <c r="B2367" s="32" t="s">
        <v>9180</v>
      </c>
      <c r="C2367" s="31" t="s">
        <v>390</v>
      </c>
      <c r="D2367" s="31" t="s">
        <v>594</v>
      </c>
      <c r="E2367" s="31" t="s">
        <v>9181</v>
      </c>
      <c r="F2367" s="31">
        <v>808</v>
      </c>
      <c r="G2367" s="31">
        <v>86</v>
      </c>
      <c r="H2367" s="31">
        <v>10</v>
      </c>
      <c r="I2367" s="31">
        <v>30</v>
      </c>
      <c r="J2367" s="31" t="s">
        <v>9182</v>
      </c>
      <c r="K2367" s="31" t="s">
        <v>123</v>
      </c>
      <c r="L2367" s="31" t="s">
        <v>56</v>
      </c>
      <c r="M2367" s="31">
        <v>160</v>
      </c>
      <c r="N2367" s="31">
        <v>2018</v>
      </c>
      <c r="O2367" s="31">
        <v>76</v>
      </c>
      <c r="P2367" s="31"/>
      <c r="Q2367" s="31"/>
      <c r="R2367" s="33"/>
      <c r="S2367" s="34" t="str">
        <f>HYPERLINK("http://www.cnpol.ru/covers/18138.jpg","фото на сайте")</f>
        <v>фото на сайте</v>
      </c>
    </row>
    <row r="2368" spans="1:19" ht="50.1" customHeight="1">
      <c r="A2368" s="31"/>
      <c r="B2368" s="32" t="s">
        <v>9183</v>
      </c>
      <c r="C2368" s="31" t="s">
        <v>400</v>
      </c>
      <c r="D2368" s="31" t="s">
        <v>2412</v>
      </c>
      <c r="E2368" s="31" t="s">
        <v>9184</v>
      </c>
      <c r="F2368" s="31" t="s">
        <v>31</v>
      </c>
      <c r="G2368" s="31">
        <v>503</v>
      </c>
      <c r="H2368" s="31">
        <v>10</v>
      </c>
      <c r="I2368" s="31">
        <v>14</v>
      </c>
      <c r="J2368" s="31" t="s">
        <v>9185</v>
      </c>
      <c r="K2368" s="31" t="s">
        <v>33</v>
      </c>
      <c r="L2368" s="31" t="s">
        <v>34</v>
      </c>
      <c r="M2368" s="31">
        <v>288</v>
      </c>
      <c r="N2368" s="31">
        <v>2017</v>
      </c>
      <c r="O2368" s="31">
        <v>258</v>
      </c>
      <c r="P2368" s="31"/>
      <c r="Q2368" s="31"/>
      <c r="R2368" s="33"/>
      <c r="S2368" s="34" t="str">
        <f>HYPERLINK("http://www.cnpol.ru/covers/17674.jpg","фото на сайте")</f>
        <v>фото на сайте</v>
      </c>
    </row>
    <row r="2369" spans="1:19" ht="50.1" customHeight="1">
      <c r="A2369" s="31"/>
      <c r="B2369" s="32" t="s">
        <v>9186</v>
      </c>
      <c r="C2369" s="31" t="s">
        <v>297</v>
      </c>
      <c r="D2369" s="31" t="s">
        <v>539</v>
      </c>
      <c r="E2369" s="31" t="s">
        <v>9187</v>
      </c>
      <c r="F2369" s="31" t="s">
        <v>31</v>
      </c>
      <c r="G2369" s="31">
        <v>300</v>
      </c>
      <c r="H2369" s="31">
        <v>10</v>
      </c>
      <c r="I2369" s="31">
        <v>20</v>
      </c>
      <c r="J2369" s="31" t="s">
        <v>9188</v>
      </c>
      <c r="K2369" s="31" t="s">
        <v>300</v>
      </c>
      <c r="L2369" s="31" t="s">
        <v>56</v>
      </c>
      <c r="M2369" s="31">
        <v>352</v>
      </c>
      <c r="N2369" s="31">
        <v>2018</v>
      </c>
      <c r="O2369" s="31">
        <v>174</v>
      </c>
      <c r="P2369" s="31"/>
      <c r="Q2369" s="31"/>
      <c r="R2369" s="33"/>
      <c r="S2369" s="34" t="str">
        <f>HYPERLINK("http://www.cnpol.ru/covers/18022.jpg","фото на сайте")</f>
        <v>фото на сайте</v>
      </c>
    </row>
    <row r="2370" spans="1:19" ht="50.1" customHeight="1">
      <c r="A2370" s="31"/>
      <c r="B2370" s="32" t="s">
        <v>9189</v>
      </c>
      <c r="C2370" s="31" t="s">
        <v>302</v>
      </c>
      <c r="D2370" s="31" t="s">
        <v>539</v>
      </c>
      <c r="E2370" s="31" t="s">
        <v>9187</v>
      </c>
      <c r="F2370" s="31" t="s">
        <v>31</v>
      </c>
      <c r="G2370" s="31">
        <v>917</v>
      </c>
      <c r="H2370" s="31">
        <v>10</v>
      </c>
      <c r="I2370" s="31">
        <v>14</v>
      </c>
      <c r="J2370" s="31" t="s">
        <v>9190</v>
      </c>
      <c r="K2370" s="31" t="s">
        <v>41</v>
      </c>
      <c r="L2370" s="31" t="s">
        <v>304</v>
      </c>
      <c r="M2370" s="31">
        <v>320</v>
      </c>
      <c r="N2370" s="31">
        <v>2017</v>
      </c>
      <c r="O2370" s="31">
        <v>462</v>
      </c>
      <c r="P2370" s="31"/>
      <c r="Q2370" s="31"/>
      <c r="R2370" s="33"/>
      <c r="S2370" s="34" t="str">
        <f>HYPERLINK("http://www.cnpol.ru/covers/17291.jpg","фото на сайте")</f>
        <v>фото на сайте</v>
      </c>
    </row>
    <row r="2371" spans="1:19" ht="50.1" customHeight="1">
      <c r="A2371" s="31"/>
      <c r="B2371" s="32" t="s">
        <v>9191</v>
      </c>
      <c r="C2371" s="31" t="s">
        <v>546</v>
      </c>
      <c r="D2371" s="31" t="s">
        <v>1435</v>
      </c>
      <c r="E2371" s="31" t="s">
        <v>9192</v>
      </c>
      <c r="F2371" s="31">
        <v>318</v>
      </c>
      <c r="G2371" s="31">
        <v>93</v>
      </c>
      <c r="H2371" s="31">
        <v>10</v>
      </c>
      <c r="I2371" s="31">
        <v>30</v>
      </c>
      <c r="J2371" s="31" t="s">
        <v>9193</v>
      </c>
      <c r="K2371" s="31" t="s">
        <v>123</v>
      </c>
      <c r="L2371" s="31" t="s">
        <v>56</v>
      </c>
      <c r="M2371" s="31">
        <v>160</v>
      </c>
      <c r="N2371" s="31">
        <v>2019</v>
      </c>
      <c r="O2371" s="31">
        <v>76</v>
      </c>
      <c r="P2371" s="31"/>
      <c r="Q2371" s="31"/>
      <c r="R2371" s="33"/>
      <c r="S2371" s="34" t="str">
        <f>HYPERLINK("http://www.cnpol.ru/covers/18803.jpg","фото на сайте")</f>
        <v>фото на сайте</v>
      </c>
    </row>
    <row r="2372" spans="1:19" ht="50.1" customHeight="1">
      <c r="A2372" s="31"/>
      <c r="B2372" s="32" t="s">
        <v>9194</v>
      </c>
      <c r="C2372" s="31" t="s">
        <v>746</v>
      </c>
      <c r="D2372" s="31" t="s">
        <v>9195</v>
      </c>
      <c r="E2372" s="31" t="s">
        <v>9196</v>
      </c>
      <c r="F2372" s="31" t="s">
        <v>31</v>
      </c>
      <c r="G2372" s="31">
        <v>503</v>
      </c>
      <c r="H2372" s="31">
        <v>10</v>
      </c>
      <c r="I2372" s="31">
        <v>20</v>
      </c>
      <c r="J2372" s="31" t="s">
        <v>9197</v>
      </c>
      <c r="K2372" s="31" t="s">
        <v>33</v>
      </c>
      <c r="L2372" s="31" t="s">
        <v>34</v>
      </c>
      <c r="M2372" s="31">
        <v>223</v>
      </c>
      <c r="N2372" s="31">
        <v>2023</v>
      </c>
      <c r="O2372" s="31">
        <v>136</v>
      </c>
      <c r="P2372" s="31"/>
      <c r="Q2372" s="31"/>
      <c r="R2372" s="33" t="s">
        <v>9198</v>
      </c>
      <c r="S2372" s="34" t="str">
        <f>HYPERLINK("http://www.cnpol.ru/covers/20521.jpg","фото на сайте")</f>
        <v>фото на сайте</v>
      </c>
    </row>
    <row r="2373" spans="1:19" ht="50.1" customHeight="1">
      <c r="A2373" s="31"/>
      <c r="B2373" s="32" t="s">
        <v>9199</v>
      </c>
      <c r="C2373" s="31" t="s">
        <v>45</v>
      </c>
      <c r="D2373" s="31" t="s">
        <v>5151</v>
      </c>
      <c r="E2373" s="31" t="s">
        <v>9200</v>
      </c>
      <c r="F2373" s="31" t="s">
        <v>31</v>
      </c>
      <c r="G2373" s="35">
        <v>1601</v>
      </c>
      <c r="H2373" s="31">
        <v>10</v>
      </c>
      <c r="I2373" s="31">
        <v>8</v>
      </c>
      <c r="J2373" s="31" t="s">
        <v>9201</v>
      </c>
      <c r="K2373" s="31" t="s">
        <v>41</v>
      </c>
      <c r="L2373" s="31" t="s">
        <v>34</v>
      </c>
      <c r="M2373" s="31">
        <v>624</v>
      </c>
      <c r="N2373" s="31">
        <v>2021</v>
      </c>
      <c r="O2373" s="31">
        <v>862</v>
      </c>
      <c r="P2373" s="31"/>
      <c r="Q2373" s="31"/>
      <c r="R2373" s="33"/>
      <c r="S2373" s="34" t="str">
        <f>HYPERLINK("http://www.cnpol.ru/covers/19985.jpg","фото на сайте")</f>
        <v>фото на сайте</v>
      </c>
    </row>
    <row r="2374" spans="1:19" ht="50.1" customHeight="1">
      <c r="A2374" s="31"/>
      <c r="B2374" s="32" t="s">
        <v>9202</v>
      </c>
      <c r="C2374" s="31" t="s">
        <v>390</v>
      </c>
      <c r="D2374" s="31" t="s">
        <v>1794</v>
      </c>
      <c r="E2374" s="31" t="s">
        <v>9203</v>
      </c>
      <c r="F2374" s="31">
        <v>571</v>
      </c>
      <c r="G2374" s="31">
        <v>86</v>
      </c>
      <c r="H2374" s="31">
        <v>10</v>
      </c>
      <c r="I2374" s="31">
        <v>30</v>
      </c>
      <c r="J2374" s="31" t="s">
        <v>9204</v>
      </c>
      <c r="K2374" s="31" t="s">
        <v>123</v>
      </c>
      <c r="L2374" s="31" t="s">
        <v>56</v>
      </c>
      <c r="M2374" s="31">
        <v>158</v>
      </c>
      <c r="N2374" s="31">
        <v>2015</v>
      </c>
      <c r="O2374" s="31">
        <v>76</v>
      </c>
      <c r="P2374" s="31"/>
      <c r="Q2374" s="31"/>
      <c r="R2374" s="33"/>
      <c r="S2374" s="34" t="str">
        <f>HYPERLINK("http://www.cnpol.ru/covers/16378.jpg","фото на сайте")</f>
        <v>фото на сайте</v>
      </c>
    </row>
    <row r="2375" spans="1:19" ht="50.1" customHeight="1">
      <c r="A2375" s="31"/>
      <c r="B2375" s="32" t="s">
        <v>9205</v>
      </c>
      <c r="C2375" s="31" t="s">
        <v>390</v>
      </c>
      <c r="D2375" s="31" t="s">
        <v>961</v>
      </c>
      <c r="E2375" s="31" t="s">
        <v>9206</v>
      </c>
      <c r="F2375" s="31">
        <v>831</v>
      </c>
      <c r="G2375" s="31">
        <v>86</v>
      </c>
      <c r="H2375" s="31">
        <v>10</v>
      </c>
      <c r="I2375" s="31">
        <v>30</v>
      </c>
      <c r="J2375" s="31" t="s">
        <v>9207</v>
      </c>
      <c r="K2375" s="31" t="s">
        <v>123</v>
      </c>
      <c r="L2375" s="31" t="s">
        <v>56</v>
      </c>
      <c r="M2375" s="31">
        <v>160</v>
      </c>
      <c r="N2375" s="31">
        <v>2018</v>
      </c>
      <c r="O2375" s="31">
        <v>76</v>
      </c>
      <c r="P2375" s="31"/>
      <c r="Q2375" s="31"/>
      <c r="R2375" s="33"/>
      <c r="S2375" s="34" t="str">
        <f>HYPERLINK("http://www.cnpol.ru/covers/18272.jpg","фото на сайте")</f>
        <v>фото на сайте</v>
      </c>
    </row>
    <row r="2376" spans="1:19" ht="50.1" customHeight="1">
      <c r="A2376" s="31"/>
      <c r="B2376" s="32" t="s">
        <v>9208</v>
      </c>
      <c r="C2376" s="31" t="s">
        <v>1390</v>
      </c>
      <c r="D2376" s="31" t="s">
        <v>9209</v>
      </c>
      <c r="E2376" s="31" t="s">
        <v>9210</v>
      </c>
      <c r="F2376" s="31" t="s">
        <v>31</v>
      </c>
      <c r="G2376" s="31">
        <v>398</v>
      </c>
      <c r="H2376" s="31">
        <v>10</v>
      </c>
      <c r="I2376" s="31">
        <v>20</v>
      </c>
      <c r="J2376" s="31" t="s">
        <v>9211</v>
      </c>
      <c r="K2376" s="31" t="s">
        <v>130</v>
      </c>
      <c r="L2376" s="31" t="s">
        <v>56</v>
      </c>
      <c r="M2376" s="31">
        <v>351</v>
      </c>
      <c r="N2376" s="31">
        <v>2021</v>
      </c>
      <c r="O2376" s="31">
        <v>162</v>
      </c>
      <c r="P2376" s="31"/>
      <c r="Q2376" s="31"/>
      <c r="R2376" s="33"/>
      <c r="S2376" s="34" t="str">
        <f>HYPERLINK("http://www.cnpol.ru/covers/19830.jpg","фото на сайте")</f>
        <v>фото на сайте</v>
      </c>
    </row>
    <row r="2377" spans="1:19" ht="50.1" customHeight="1">
      <c r="A2377" s="31"/>
      <c r="B2377" s="32" t="s">
        <v>9212</v>
      </c>
      <c r="C2377" s="31" t="s">
        <v>390</v>
      </c>
      <c r="D2377" s="31" t="s">
        <v>1660</v>
      </c>
      <c r="E2377" s="31" t="s">
        <v>9213</v>
      </c>
      <c r="F2377" s="31">
        <v>791</v>
      </c>
      <c r="G2377" s="31">
        <v>86</v>
      </c>
      <c r="H2377" s="31">
        <v>10</v>
      </c>
      <c r="I2377" s="31">
        <v>30</v>
      </c>
      <c r="J2377" s="31" t="s">
        <v>9214</v>
      </c>
      <c r="K2377" s="31" t="s">
        <v>123</v>
      </c>
      <c r="L2377" s="31" t="s">
        <v>56</v>
      </c>
      <c r="M2377" s="31">
        <v>160</v>
      </c>
      <c r="N2377" s="31">
        <v>2018</v>
      </c>
      <c r="O2377" s="31">
        <v>76</v>
      </c>
      <c r="P2377" s="31"/>
      <c r="Q2377" s="31"/>
      <c r="R2377" s="33"/>
      <c r="S2377" s="34" t="str">
        <f>HYPERLINK("http://www.cnpol.ru/covers/17958.jpg","фото на сайте")</f>
        <v>фото на сайте</v>
      </c>
    </row>
    <row r="2378" spans="1:19" ht="50.1" customHeight="1">
      <c r="A2378" s="31"/>
      <c r="B2378" s="32" t="s">
        <v>9215</v>
      </c>
      <c r="C2378" s="31" t="s">
        <v>297</v>
      </c>
      <c r="D2378" s="31" t="s">
        <v>5401</v>
      </c>
      <c r="E2378" s="31" t="s">
        <v>9216</v>
      </c>
      <c r="F2378" s="31" t="s">
        <v>31</v>
      </c>
      <c r="G2378" s="31">
        <v>300</v>
      </c>
      <c r="H2378" s="31">
        <v>10</v>
      </c>
      <c r="I2378" s="31">
        <v>7</v>
      </c>
      <c r="J2378" s="31" t="s">
        <v>9217</v>
      </c>
      <c r="K2378" s="31" t="s">
        <v>300</v>
      </c>
      <c r="L2378" s="31" t="s">
        <v>56</v>
      </c>
      <c r="M2378" s="31">
        <v>448</v>
      </c>
      <c r="N2378" s="31">
        <v>2021</v>
      </c>
      <c r="O2378" s="31">
        <v>220</v>
      </c>
      <c r="P2378" s="31"/>
      <c r="Q2378" s="31"/>
      <c r="R2378" s="33"/>
      <c r="S2378" s="34" t="str">
        <f>HYPERLINK("http://www.cnpol.ru/covers/19778.jpg","фото на сайте")</f>
        <v>фото на сайте</v>
      </c>
    </row>
    <row r="2379" spans="1:19" ht="50.1" customHeight="1">
      <c r="A2379" s="31" t="s">
        <v>43</v>
      </c>
      <c r="B2379" s="32" t="s">
        <v>9218</v>
      </c>
      <c r="C2379" s="31" t="s">
        <v>37</v>
      </c>
      <c r="D2379" s="31" t="s">
        <v>9219</v>
      </c>
      <c r="E2379" s="31" t="s">
        <v>9220</v>
      </c>
      <c r="F2379" s="31" t="s">
        <v>31</v>
      </c>
      <c r="G2379" s="35">
        <v>1588</v>
      </c>
      <c r="H2379" s="31">
        <v>10</v>
      </c>
      <c r="I2379" s="31">
        <v>6</v>
      </c>
      <c r="J2379" s="31" t="s">
        <v>9221</v>
      </c>
      <c r="K2379" s="31" t="s">
        <v>41</v>
      </c>
      <c r="L2379" s="31" t="s">
        <v>34</v>
      </c>
      <c r="M2379" s="31">
        <v>655</v>
      </c>
      <c r="N2379" s="31">
        <v>2024</v>
      </c>
      <c r="O2379" s="31">
        <v>739</v>
      </c>
      <c r="P2379" s="31"/>
      <c r="Q2379" s="31"/>
      <c r="R2379" s="33" t="s">
        <v>9222</v>
      </c>
      <c r="S2379" s="34" t="str">
        <f>HYPERLINK("http://www.cnpol.ru/covers/21215.jpg","фото на сайте")</f>
        <v>фото на сайте</v>
      </c>
    </row>
    <row r="2380" spans="1:19" ht="50.1" customHeight="1">
      <c r="A2380" s="31" t="s">
        <v>43</v>
      </c>
      <c r="B2380" s="32" t="s">
        <v>9223</v>
      </c>
      <c r="C2380" s="31" t="s">
        <v>143</v>
      </c>
      <c r="D2380" s="31" t="s">
        <v>9224</v>
      </c>
      <c r="E2380" s="31" t="s">
        <v>9225</v>
      </c>
      <c r="F2380" s="31" t="s">
        <v>31</v>
      </c>
      <c r="G2380" s="31">
        <v>912</v>
      </c>
      <c r="H2380" s="31">
        <v>10</v>
      </c>
      <c r="I2380" s="31">
        <v>14</v>
      </c>
      <c r="J2380" s="31" t="s">
        <v>9226</v>
      </c>
      <c r="K2380" s="31" t="s">
        <v>33</v>
      </c>
      <c r="L2380" s="31" t="s">
        <v>34</v>
      </c>
      <c r="M2380" s="31">
        <v>287</v>
      </c>
      <c r="N2380" s="31">
        <v>2024</v>
      </c>
      <c r="O2380" s="31">
        <v>410</v>
      </c>
      <c r="P2380" s="31"/>
      <c r="Q2380" s="31"/>
      <c r="R2380" s="33" t="s">
        <v>9227</v>
      </c>
      <c r="S2380" s="34" t="str">
        <f>HYPERLINK("http://www.cnpol.ru/covers/21326.jpg","фото на сайте")</f>
        <v>фото на сайте</v>
      </c>
    </row>
    <row r="2381" spans="1:19" ht="50.1" customHeight="1">
      <c r="A2381" s="31"/>
      <c r="B2381" s="32" t="s">
        <v>9228</v>
      </c>
      <c r="C2381" s="31" t="s">
        <v>380</v>
      </c>
      <c r="D2381" s="31" t="s">
        <v>9229</v>
      </c>
      <c r="E2381" s="31" t="s">
        <v>9230</v>
      </c>
      <c r="F2381" s="31" t="s">
        <v>31</v>
      </c>
      <c r="G2381" s="35">
        <v>1406</v>
      </c>
      <c r="H2381" s="31">
        <v>10</v>
      </c>
      <c r="I2381" s="31">
        <v>10</v>
      </c>
      <c r="J2381" s="31" t="s">
        <v>9231</v>
      </c>
      <c r="K2381" s="31" t="s">
        <v>41</v>
      </c>
      <c r="L2381" s="31" t="s">
        <v>304</v>
      </c>
      <c r="M2381" s="31">
        <v>655</v>
      </c>
      <c r="N2381" s="31">
        <v>2022</v>
      </c>
      <c r="O2381" s="31">
        <v>636</v>
      </c>
      <c r="P2381" s="31"/>
      <c r="Q2381" s="31"/>
      <c r="R2381" s="33"/>
      <c r="S2381" s="34" t="str">
        <f>HYPERLINK("http://www.cnpol.ru/covers/20213.jpg","фото на сайте")</f>
        <v>фото на сайте</v>
      </c>
    </row>
    <row r="2382" spans="1:19" ht="50.1" customHeight="1">
      <c r="A2382" s="31" t="s">
        <v>43</v>
      </c>
      <c r="B2382" s="32" t="s">
        <v>9232</v>
      </c>
      <c r="C2382" s="31" t="s">
        <v>37</v>
      </c>
      <c r="D2382" s="31" t="s">
        <v>9233</v>
      </c>
      <c r="E2382" s="31" t="s">
        <v>9234</v>
      </c>
      <c r="F2382" s="31" t="s">
        <v>31</v>
      </c>
      <c r="G2382" s="31">
        <v>773</v>
      </c>
      <c r="H2382" s="31">
        <v>10</v>
      </c>
      <c r="I2382" s="31">
        <v>5</v>
      </c>
      <c r="J2382" s="31" t="s">
        <v>9235</v>
      </c>
      <c r="K2382" s="31" t="s">
        <v>33</v>
      </c>
      <c r="L2382" s="31" t="s">
        <v>34</v>
      </c>
      <c r="M2382" s="31">
        <v>415</v>
      </c>
      <c r="N2382" s="31">
        <v>2025</v>
      </c>
      <c r="O2382" s="31">
        <v>399</v>
      </c>
      <c r="P2382" s="31"/>
      <c r="Q2382" s="31"/>
      <c r="R2382" s="33" t="s">
        <v>9236</v>
      </c>
      <c r="S2382" s="34" t="str">
        <f>HYPERLINK("http://www.cnpol.ru/covers/21761.jpg","фото на сайте")</f>
        <v>фото на сайте</v>
      </c>
    </row>
    <row r="2383" spans="1:19" ht="50.1" customHeight="1">
      <c r="A2383" s="31"/>
      <c r="B2383" s="32" t="s">
        <v>9237</v>
      </c>
      <c r="C2383" s="31" t="s">
        <v>28</v>
      </c>
      <c r="D2383" s="31" t="s">
        <v>4853</v>
      </c>
      <c r="E2383" s="31" t="s">
        <v>9238</v>
      </c>
      <c r="F2383" s="31" t="s">
        <v>31</v>
      </c>
      <c r="G2383" s="35">
        <v>1461</v>
      </c>
      <c r="H2383" s="31">
        <v>10</v>
      </c>
      <c r="I2383" s="31">
        <v>8</v>
      </c>
      <c r="J2383" s="31" t="s">
        <v>9239</v>
      </c>
      <c r="K2383" s="31" t="s">
        <v>2231</v>
      </c>
      <c r="L2383" s="31" t="s">
        <v>34</v>
      </c>
      <c r="M2383" s="31">
        <v>639</v>
      </c>
      <c r="N2383" s="31">
        <v>2010</v>
      </c>
      <c r="O2383" s="31">
        <v>720</v>
      </c>
      <c r="P2383" s="31"/>
      <c r="Q2383" s="31"/>
      <c r="R2383" s="33"/>
      <c r="S2383" s="34" t="str">
        <f>HYPERLINK("http://www.cnpol.ru/covers/11423.jpg","фото на сайте")</f>
        <v>фото на сайте</v>
      </c>
    </row>
    <row r="2384" spans="1:19" ht="50.1" customHeight="1">
      <c r="A2384" s="31"/>
      <c r="B2384" s="32" t="s">
        <v>9240</v>
      </c>
      <c r="C2384" s="31" t="s">
        <v>6922</v>
      </c>
      <c r="D2384" s="31" t="s">
        <v>9241</v>
      </c>
      <c r="E2384" s="31" t="s">
        <v>9242</v>
      </c>
      <c r="F2384" s="31" t="s">
        <v>31</v>
      </c>
      <c r="G2384" s="31">
        <v>318</v>
      </c>
      <c r="H2384" s="31">
        <v>10</v>
      </c>
      <c r="I2384" s="31">
        <v>24</v>
      </c>
      <c r="J2384" s="31" t="s">
        <v>9243</v>
      </c>
      <c r="K2384" s="31" t="s">
        <v>55</v>
      </c>
      <c r="L2384" s="31" t="s">
        <v>34</v>
      </c>
      <c r="M2384" s="31">
        <v>192</v>
      </c>
      <c r="N2384" s="31">
        <v>2019</v>
      </c>
      <c r="O2384" s="31">
        <v>166</v>
      </c>
      <c r="P2384" s="31"/>
      <c r="Q2384" s="31"/>
      <c r="R2384" s="33"/>
      <c r="S2384" s="34" t="str">
        <f>HYPERLINK("http://www.cnpol.ru/covers/18984.jpg","фото на сайте")</f>
        <v>фото на сайте</v>
      </c>
    </row>
    <row r="2385" spans="1:19" ht="50.1" customHeight="1">
      <c r="A2385" s="31"/>
      <c r="B2385" s="32" t="s">
        <v>9244</v>
      </c>
      <c r="C2385" s="31" t="s">
        <v>1323</v>
      </c>
      <c r="D2385" s="31" t="s">
        <v>9245</v>
      </c>
      <c r="E2385" s="31" t="s">
        <v>9246</v>
      </c>
      <c r="F2385" s="31" t="s">
        <v>31</v>
      </c>
      <c r="G2385" s="31">
        <v>169</v>
      </c>
      <c r="H2385" s="31">
        <v>10</v>
      </c>
      <c r="I2385" s="31">
        <v>32</v>
      </c>
      <c r="J2385" s="31" t="s">
        <v>9247</v>
      </c>
      <c r="K2385" s="31" t="s">
        <v>55</v>
      </c>
      <c r="L2385" s="31" t="s">
        <v>56</v>
      </c>
      <c r="M2385" s="31">
        <v>384</v>
      </c>
      <c r="N2385" s="31">
        <v>2019</v>
      </c>
      <c r="O2385" s="31">
        <v>162</v>
      </c>
      <c r="P2385" s="31"/>
      <c r="Q2385" s="31"/>
      <c r="R2385" s="33"/>
      <c r="S2385" s="34" t="str">
        <f>HYPERLINK("http://www.cnpol.ru/covers/18660.jpg","фото на сайте")</f>
        <v>фото на сайте</v>
      </c>
    </row>
    <row r="2386" spans="1:19" ht="50.1" customHeight="1">
      <c r="A2386" s="31"/>
      <c r="B2386" s="32" t="s">
        <v>9248</v>
      </c>
      <c r="C2386" s="31" t="s">
        <v>390</v>
      </c>
      <c r="D2386" s="31" t="s">
        <v>9249</v>
      </c>
      <c r="E2386" s="31" t="s">
        <v>9250</v>
      </c>
      <c r="F2386" s="31">
        <v>361</v>
      </c>
      <c r="G2386" s="31">
        <v>86</v>
      </c>
      <c r="H2386" s="31">
        <v>10</v>
      </c>
      <c r="I2386" s="31">
        <v>30</v>
      </c>
      <c r="J2386" s="31" t="s">
        <v>9251</v>
      </c>
      <c r="K2386" s="31" t="s">
        <v>123</v>
      </c>
      <c r="L2386" s="31" t="s">
        <v>56</v>
      </c>
      <c r="M2386" s="31">
        <v>158</v>
      </c>
      <c r="N2386" s="31">
        <v>2013</v>
      </c>
      <c r="O2386" s="31">
        <v>76</v>
      </c>
      <c r="P2386" s="31"/>
      <c r="Q2386" s="31"/>
      <c r="R2386" s="33"/>
      <c r="S2386" s="34" t="str">
        <f>HYPERLINK("http://www.cnpol.ru/covers/14659.jpg","фото на сайте")</f>
        <v>фото на сайте</v>
      </c>
    </row>
    <row r="2387" spans="1:19" ht="50.1" customHeight="1">
      <c r="A2387" s="31"/>
      <c r="B2387" s="32" t="s">
        <v>9252</v>
      </c>
      <c r="C2387" s="31" t="s">
        <v>576</v>
      </c>
      <c r="D2387" s="31" t="s">
        <v>577</v>
      </c>
      <c r="E2387" s="31" t="s">
        <v>9250</v>
      </c>
      <c r="F2387" s="31" t="s">
        <v>31</v>
      </c>
      <c r="G2387" s="31">
        <v>226</v>
      </c>
      <c r="H2387" s="31">
        <v>10</v>
      </c>
      <c r="I2387" s="31">
        <v>20</v>
      </c>
      <c r="J2387" s="31" t="s">
        <v>9253</v>
      </c>
      <c r="K2387" s="31" t="s">
        <v>123</v>
      </c>
      <c r="L2387" s="31" t="s">
        <v>56</v>
      </c>
      <c r="M2387" s="31">
        <v>320</v>
      </c>
      <c r="N2387" s="31">
        <v>2017</v>
      </c>
      <c r="O2387" s="31">
        <v>148</v>
      </c>
      <c r="P2387" s="31"/>
      <c r="Q2387" s="31"/>
      <c r="R2387" s="33"/>
      <c r="S2387" s="34" t="str">
        <f>HYPERLINK("http://www.cnpol.ru/covers/17398.jpg","фото на сайте")</f>
        <v>фото на сайте</v>
      </c>
    </row>
    <row r="2388" spans="1:19" ht="50.1" customHeight="1">
      <c r="A2388" s="31"/>
      <c r="B2388" s="32" t="s">
        <v>9254</v>
      </c>
      <c r="C2388" s="31" t="s">
        <v>9255</v>
      </c>
      <c r="D2388" s="31" t="s">
        <v>9256</v>
      </c>
      <c r="E2388" s="31" t="s">
        <v>9257</v>
      </c>
      <c r="F2388" s="31" t="s">
        <v>31</v>
      </c>
      <c r="G2388" s="31">
        <v>137</v>
      </c>
      <c r="H2388" s="31">
        <v>20</v>
      </c>
      <c r="I2388" s="31">
        <v>26</v>
      </c>
      <c r="J2388" s="31" t="s">
        <v>9258</v>
      </c>
      <c r="K2388" s="31" t="s">
        <v>130</v>
      </c>
      <c r="L2388" s="31" t="s">
        <v>56</v>
      </c>
      <c r="M2388" s="31">
        <v>158</v>
      </c>
      <c r="N2388" s="31">
        <v>2009</v>
      </c>
      <c r="O2388" s="31">
        <v>100</v>
      </c>
      <c r="P2388" s="31"/>
      <c r="Q2388" s="31"/>
      <c r="R2388" s="33"/>
      <c r="S2388" s="34" t="str">
        <f>HYPERLINK("http://www.cnpol.ru/covers/11633.jpg","фото на сайте")</f>
        <v>фото на сайте</v>
      </c>
    </row>
    <row r="2389" spans="1:19" ht="50.1" customHeight="1">
      <c r="A2389" s="31" t="s">
        <v>35</v>
      </c>
      <c r="B2389" s="32" t="s">
        <v>9259</v>
      </c>
      <c r="C2389" s="31" t="s">
        <v>9260</v>
      </c>
      <c r="D2389" s="31" t="s">
        <v>9261</v>
      </c>
      <c r="E2389" s="31" t="s">
        <v>9262</v>
      </c>
      <c r="F2389" s="31" t="s">
        <v>31</v>
      </c>
      <c r="G2389" s="35">
        <v>1076</v>
      </c>
      <c r="H2389" s="31">
        <v>10</v>
      </c>
      <c r="I2389" s="31">
        <v>10</v>
      </c>
      <c r="J2389" s="31" t="s">
        <v>9263</v>
      </c>
      <c r="K2389" s="31" t="s">
        <v>33</v>
      </c>
      <c r="L2389" s="31" t="s">
        <v>34</v>
      </c>
      <c r="M2389" s="31">
        <v>415</v>
      </c>
      <c r="N2389" s="31">
        <v>2024</v>
      </c>
      <c r="O2389" s="31">
        <v>450</v>
      </c>
      <c r="P2389" s="31"/>
      <c r="Q2389" s="31"/>
      <c r="R2389" s="33" t="s">
        <v>9264</v>
      </c>
      <c r="S2389" s="34" t="str">
        <f>HYPERLINK("http://www.cnpol.ru/covers/21015.jpg","фото на сайте")</f>
        <v>фото на сайте</v>
      </c>
    </row>
    <row r="2390" spans="1:19" ht="50.1" customHeight="1">
      <c r="A2390" s="31" t="s">
        <v>35</v>
      </c>
      <c r="B2390" s="32" t="s">
        <v>9265</v>
      </c>
      <c r="C2390" s="31" t="s">
        <v>643</v>
      </c>
      <c r="D2390" s="31" t="s">
        <v>9266</v>
      </c>
      <c r="E2390" s="31" t="s">
        <v>9267</v>
      </c>
      <c r="F2390" s="31" t="s">
        <v>31</v>
      </c>
      <c r="G2390" s="31">
        <v>678</v>
      </c>
      <c r="H2390" s="31">
        <v>10</v>
      </c>
      <c r="I2390" s="31">
        <v>5</v>
      </c>
      <c r="J2390" s="31" t="s">
        <v>9268</v>
      </c>
      <c r="K2390" s="31" t="s">
        <v>33</v>
      </c>
      <c r="L2390" s="31" t="s">
        <v>34</v>
      </c>
      <c r="M2390" s="31">
        <v>191</v>
      </c>
      <c r="N2390" s="31">
        <v>2025</v>
      </c>
      <c r="O2390" s="31" t="s">
        <v>220</v>
      </c>
      <c r="P2390" s="31"/>
      <c r="Q2390" s="31"/>
      <c r="R2390" s="33" t="s">
        <v>9269</v>
      </c>
      <c r="S2390" s="34" t="str">
        <f>HYPERLINK("http://www.cnpol.ru/covers/21864.jpg","фото на сайте")</f>
        <v>фото на сайте</v>
      </c>
    </row>
    <row r="2391" spans="1:19" ht="50.1" customHeight="1">
      <c r="A2391" s="31"/>
      <c r="B2391" s="32" t="s">
        <v>9270</v>
      </c>
      <c r="C2391" s="31" t="s">
        <v>1822</v>
      </c>
      <c r="D2391" s="31" t="s">
        <v>1814</v>
      </c>
      <c r="E2391" s="31" t="s">
        <v>9271</v>
      </c>
      <c r="F2391" s="31" t="s">
        <v>31</v>
      </c>
      <c r="G2391" s="31">
        <v>719</v>
      </c>
      <c r="H2391" s="31">
        <v>20</v>
      </c>
      <c r="I2391" s="31">
        <v>28</v>
      </c>
      <c r="J2391" s="31" t="s">
        <v>9272</v>
      </c>
      <c r="K2391" s="31" t="s">
        <v>194</v>
      </c>
      <c r="L2391" s="31" t="s">
        <v>34</v>
      </c>
      <c r="M2391" s="31">
        <v>128</v>
      </c>
      <c r="N2391" s="31">
        <v>2021</v>
      </c>
      <c r="O2391" s="31">
        <v>194</v>
      </c>
      <c r="P2391" s="31"/>
      <c r="Q2391" s="31"/>
      <c r="R2391" s="33"/>
      <c r="S2391" s="34" t="str">
        <f>HYPERLINK("http://www.cnpol.ru/covers/19567.jpg","фото на сайте")</f>
        <v>фото на сайте</v>
      </c>
    </row>
    <row r="2392" spans="1:19" ht="50.1" customHeight="1">
      <c r="A2392" s="31"/>
      <c r="B2392" s="32" t="s">
        <v>9273</v>
      </c>
      <c r="C2392" s="31" t="s">
        <v>8389</v>
      </c>
      <c r="D2392" s="31" t="s">
        <v>8390</v>
      </c>
      <c r="E2392" s="31" t="s">
        <v>9274</v>
      </c>
      <c r="F2392" s="31" t="s">
        <v>31</v>
      </c>
      <c r="G2392" s="31">
        <v>137</v>
      </c>
      <c r="H2392" s="31">
        <v>10</v>
      </c>
      <c r="I2392" s="31">
        <v>24</v>
      </c>
      <c r="J2392" s="31" t="s">
        <v>9275</v>
      </c>
      <c r="K2392" s="31" t="s">
        <v>123</v>
      </c>
      <c r="L2392" s="31" t="s">
        <v>56</v>
      </c>
      <c r="M2392" s="31">
        <v>160</v>
      </c>
      <c r="N2392" s="31">
        <v>2019</v>
      </c>
      <c r="O2392" s="31">
        <v>76</v>
      </c>
      <c r="P2392" s="31"/>
      <c r="Q2392" s="31"/>
      <c r="R2392" s="33"/>
      <c r="S2392" s="34" t="str">
        <f>HYPERLINK("http://www.cnpol.ru/covers/18982.jpg","фото на сайте")</f>
        <v>фото на сайте</v>
      </c>
    </row>
    <row r="2393" spans="1:19" ht="50.1" customHeight="1">
      <c r="A2393" s="31"/>
      <c r="B2393" s="32" t="s">
        <v>9276</v>
      </c>
      <c r="C2393" s="31" t="s">
        <v>8389</v>
      </c>
      <c r="D2393" s="31" t="s">
        <v>8390</v>
      </c>
      <c r="E2393" s="31" t="s">
        <v>9277</v>
      </c>
      <c r="F2393" s="31" t="s">
        <v>31</v>
      </c>
      <c r="G2393" s="31">
        <v>137</v>
      </c>
      <c r="H2393" s="31">
        <v>10</v>
      </c>
      <c r="I2393" s="31">
        <v>24</v>
      </c>
      <c r="J2393" s="31" t="s">
        <v>9278</v>
      </c>
      <c r="K2393" s="31" t="s">
        <v>123</v>
      </c>
      <c r="L2393" s="31" t="s">
        <v>56</v>
      </c>
      <c r="M2393" s="31">
        <v>159</v>
      </c>
      <c r="N2393" s="31">
        <v>2019</v>
      </c>
      <c r="O2393" s="31">
        <v>76</v>
      </c>
      <c r="P2393" s="31"/>
      <c r="Q2393" s="31"/>
      <c r="R2393" s="33"/>
      <c r="S2393" s="34" t="str">
        <f>HYPERLINK("http://www.cnpol.ru/covers/18876.jpg","фото на сайте")</f>
        <v>фото на сайте</v>
      </c>
    </row>
    <row r="2394" spans="1:19" ht="50.1" customHeight="1">
      <c r="A2394" s="31" t="s">
        <v>35</v>
      </c>
      <c r="B2394" s="32" t="s">
        <v>9279</v>
      </c>
      <c r="C2394" s="31" t="s">
        <v>8389</v>
      </c>
      <c r="D2394" s="31" t="s">
        <v>8390</v>
      </c>
      <c r="E2394" s="31" t="s">
        <v>9280</v>
      </c>
      <c r="F2394" s="31" t="s">
        <v>31</v>
      </c>
      <c r="G2394" s="31">
        <v>222</v>
      </c>
      <c r="H2394" s="31">
        <v>10</v>
      </c>
      <c r="I2394" s="31">
        <v>12</v>
      </c>
      <c r="J2394" s="31" t="s">
        <v>9281</v>
      </c>
      <c r="K2394" s="31" t="s">
        <v>123</v>
      </c>
      <c r="L2394" s="31" t="s">
        <v>56</v>
      </c>
      <c r="M2394" s="31">
        <v>159</v>
      </c>
      <c r="N2394" s="31">
        <v>2025</v>
      </c>
      <c r="O2394" s="31" t="s">
        <v>220</v>
      </c>
      <c r="P2394" s="31"/>
      <c r="Q2394" s="31"/>
      <c r="R2394" s="33" t="s">
        <v>9282</v>
      </c>
      <c r="S2394" s="34" t="str">
        <f>HYPERLINK("http://www.cnpol.ru/covers/21824.jpg","фото на сайте")</f>
        <v>фото на сайте</v>
      </c>
    </row>
    <row r="2395" spans="1:19" ht="50.1" customHeight="1">
      <c r="A2395" s="31"/>
      <c r="B2395" s="32" t="s">
        <v>9283</v>
      </c>
      <c r="C2395" s="31" t="s">
        <v>1594</v>
      </c>
      <c r="D2395" s="31" t="s">
        <v>8074</v>
      </c>
      <c r="E2395" s="31" t="s">
        <v>9284</v>
      </c>
      <c r="F2395" s="31" t="s">
        <v>31</v>
      </c>
      <c r="G2395" s="31">
        <v>169</v>
      </c>
      <c r="H2395" s="31">
        <v>10</v>
      </c>
      <c r="I2395" s="31">
        <v>20</v>
      </c>
      <c r="J2395" s="31" t="s">
        <v>9285</v>
      </c>
      <c r="K2395" s="31" t="s">
        <v>55</v>
      </c>
      <c r="L2395" s="31" t="s">
        <v>56</v>
      </c>
      <c r="M2395" s="31">
        <v>288</v>
      </c>
      <c r="N2395" s="31">
        <v>2020</v>
      </c>
      <c r="O2395" s="31">
        <v>122</v>
      </c>
      <c r="P2395" s="31"/>
      <c r="Q2395" s="31"/>
      <c r="R2395" s="33"/>
      <c r="S2395" s="34" t="str">
        <f>HYPERLINK("http://www.cnpol.ru/covers/19421.jpg","фото на сайте")</f>
        <v>фото на сайте</v>
      </c>
    </row>
    <row r="2396" spans="1:19" ht="50.1" customHeight="1">
      <c r="A2396" s="31"/>
      <c r="B2396" s="32" t="s">
        <v>9286</v>
      </c>
      <c r="C2396" s="31" t="s">
        <v>4218</v>
      </c>
      <c r="D2396" s="31" t="s">
        <v>9287</v>
      </c>
      <c r="E2396" s="31" t="s">
        <v>9288</v>
      </c>
      <c r="F2396" s="31" t="s">
        <v>31</v>
      </c>
      <c r="G2396" s="31">
        <v>539</v>
      </c>
      <c r="H2396" s="31">
        <v>10</v>
      </c>
      <c r="I2396" s="31">
        <v>14</v>
      </c>
      <c r="J2396" s="31" t="s">
        <v>9289</v>
      </c>
      <c r="K2396" s="31" t="s">
        <v>33</v>
      </c>
      <c r="L2396" s="31" t="s">
        <v>34</v>
      </c>
      <c r="M2396" s="31">
        <v>399</v>
      </c>
      <c r="N2396" s="31">
        <v>2008</v>
      </c>
      <c r="O2396" s="31">
        <v>390</v>
      </c>
      <c r="P2396" s="31"/>
      <c r="Q2396" s="31"/>
      <c r="R2396" s="33"/>
      <c r="S2396" s="34" t="str">
        <f>HYPERLINK("http://www.cnpol.ru/covers/10147.jpg","фото на сайте")</f>
        <v>фото на сайте</v>
      </c>
    </row>
    <row r="2397" spans="1:19" ht="50.1" customHeight="1">
      <c r="A2397" s="31"/>
      <c r="B2397" s="32" t="s">
        <v>9290</v>
      </c>
      <c r="C2397" s="31" t="s">
        <v>7208</v>
      </c>
      <c r="D2397" s="31" t="s">
        <v>7209</v>
      </c>
      <c r="E2397" s="31" t="s">
        <v>9291</v>
      </c>
      <c r="F2397" s="31" t="s">
        <v>31</v>
      </c>
      <c r="G2397" s="31">
        <v>522</v>
      </c>
      <c r="H2397" s="31">
        <v>10</v>
      </c>
      <c r="I2397" s="31">
        <v>14</v>
      </c>
      <c r="J2397" s="31" t="s">
        <v>9292</v>
      </c>
      <c r="K2397" s="31" t="s">
        <v>7212</v>
      </c>
      <c r="L2397" s="31" t="s">
        <v>34</v>
      </c>
      <c r="M2397" s="31">
        <v>399</v>
      </c>
      <c r="N2397" s="31">
        <v>2008</v>
      </c>
      <c r="O2397" s="31">
        <v>362</v>
      </c>
      <c r="P2397" s="31"/>
      <c r="Q2397" s="31"/>
      <c r="R2397" s="33"/>
      <c r="S2397" s="34" t="str">
        <f>HYPERLINK("http://www.cnpol.ru/covers/7838.jpg","фото на сайте")</f>
        <v>фото на сайте</v>
      </c>
    </row>
    <row r="2398" spans="1:19" ht="50.1" customHeight="1">
      <c r="A2398" s="31"/>
      <c r="B2398" s="32" t="s">
        <v>9293</v>
      </c>
      <c r="C2398" s="31" t="s">
        <v>4716</v>
      </c>
      <c r="D2398" s="31" t="s">
        <v>4717</v>
      </c>
      <c r="E2398" s="31" t="s">
        <v>9294</v>
      </c>
      <c r="F2398" s="31" t="s">
        <v>31</v>
      </c>
      <c r="G2398" s="31">
        <v>486</v>
      </c>
      <c r="H2398" s="31">
        <v>10</v>
      </c>
      <c r="I2398" s="31">
        <v>18</v>
      </c>
      <c r="J2398" s="31" t="s">
        <v>9295</v>
      </c>
      <c r="K2398" s="31" t="s">
        <v>359</v>
      </c>
      <c r="L2398" s="31" t="s">
        <v>34</v>
      </c>
      <c r="M2398" s="31">
        <v>222</v>
      </c>
      <c r="N2398" s="31">
        <v>2005</v>
      </c>
      <c r="O2398" s="31">
        <v>192</v>
      </c>
      <c r="P2398" s="31"/>
      <c r="Q2398" s="31"/>
      <c r="R2398" s="33"/>
      <c r="S2398" s="34" t="str">
        <f>HYPERLINK("http://www.cnpol.ru/covers/5717.jpg","фото на сайте")</f>
        <v>фото на сайте</v>
      </c>
    </row>
    <row r="2399" spans="1:19" ht="50.1" customHeight="1">
      <c r="A2399" s="31"/>
      <c r="B2399" s="32" t="s">
        <v>9296</v>
      </c>
      <c r="C2399" s="31" t="s">
        <v>37</v>
      </c>
      <c r="D2399" s="31" t="s">
        <v>9297</v>
      </c>
      <c r="E2399" s="31" t="s">
        <v>9298</v>
      </c>
      <c r="F2399" s="31" t="s">
        <v>31</v>
      </c>
      <c r="G2399" s="31">
        <v>559</v>
      </c>
      <c r="H2399" s="31">
        <v>10</v>
      </c>
      <c r="I2399" s="31">
        <v>10</v>
      </c>
      <c r="J2399" s="31" t="s">
        <v>9299</v>
      </c>
      <c r="K2399" s="31" t="s">
        <v>33</v>
      </c>
      <c r="L2399" s="31" t="s">
        <v>34</v>
      </c>
      <c r="M2399" s="31">
        <v>415</v>
      </c>
      <c r="N2399" s="31">
        <v>2022</v>
      </c>
      <c r="O2399" s="31">
        <v>358</v>
      </c>
      <c r="P2399" s="31"/>
      <c r="Q2399" s="31"/>
      <c r="R2399" s="33"/>
      <c r="S2399" s="34" t="str">
        <f>HYPERLINK("http://www.cnpol.ru/covers/20083.jpg","фото на сайте")</f>
        <v>фото на сайте</v>
      </c>
    </row>
    <row r="2400" spans="1:19" ht="50.1" customHeight="1">
      <c r="A2400" s="31"/>
      <c r="B2400" s="32" t="s">
        <v>9300</v>
      </c>
      <c r="C2400" s="31" t="s">
        <v>119</v>
      </c>
      <c r="D2400" s="31" t="s">
        <v>8233</v>
      </c>
      <c r="E2400" s="31" t="s">
        <v>9301</v>
      </c>
      <c r="F2400" s="31" t="s">
        <v>31</v>
      </c>
      <c r="G2400" s="31">
        <v>673</v>
      </c>
      <c r="H2400" s="31">
        <v>10</v>
      </c>
      <c r="I2400" s="31">
        <v>14</v>
      </c>
      <c r="J2400" s="31" t="s">
        <v>9302</v>
      </c>
      <c r="K2400" s="31" t="s">
        <v>194</v>
      </c>
      <c r="L2400" s="31" t="s">
        <v>34</v>
      </c>
      <c r="M2400" s="31">
        <v>383</v>
      </c>
      <c r="N2400" s="31">
        <v>2024</v>
      </c>
      <c r="O2400" s="31">
        <v>340</v>
      </c>
      <c r="P2400" s="31"/>
      <c r="Q2400" s="31"/>
      <c r="R2400" s="33" t="s">
        <v>9303</v>
      </c>
      <c r="S2400" s="34" t="str">
        <f>HYPERLINK("http://www.cnpol.ru/covers/20938.jpg","фото на сайте")</f>
        <v>фото на сайте</v>
      </c>
    </row>
    <row r="2401" spans="1:19" ht="50.1" customHeight="1">
      <c r="A2401" s="31"/>
      <c r="B2401" s="32" t="s">
        <v>9304</v>
      </c>
      <c r="C2401" s="31" t="s">
        <v>37</v>
      </c>
      <c r="D2401" s="31" t="s">
        <v>7978</v>
      </c>
      <c r="E2401" s="31" t="s">
        <v>9305</v>
      </c>
      <c r="F2401" s="31" t="s">
        <v>31</v>
      </c>
      <c r="G2401" s="35">
        <v>1235</v>
      </c>
      <c r="H2401" s="31">
        <v>10</v>
      </c>
      <c r="I2401" s="31">
        <v>8</v>
      </c>
      <c r="J2401" s="31" t="s">
        <v>9306</v>
      </c>
      <c r="K2401" s="31" t="s">
        <v>33</v>
      </c>
      <c r="L2401" s="31" t="s">
        <v>34</v>
      </c>
      <c r="M2401" s="31">
        <v>511</v>
      </c>
      <c r="N2401" s="31">
        <v>2021</v>
      </c>
      <c r="O2401" s="31">
        <v>518</v>
      </c>
      <c r="P2401" s="31"/>
      <c r="Q2401" s="31"/>
      <c r="R2401" s="33"/>
      <c r="S2401" s="34" t="str">
        <f>HYPERLINK("http://www.cnpol.ru/covers/20022.jpg","фото на сайте")</f>
        <v>фото на сайте</v>
      </c>
    </row>
    <row r="2402" spans="1:19" ht="50.1" customHeight="1">
      <c r="A2402" s="31"/>
      <c r="B2402" s="32" t="s">
        <v>9307</v>
      </c>
      <c r="C2402" s="31" t="s">
        <v>408</v>
      </c>
      <c r="D2402" s="31" t="s">
        <v>9308</v>
      </c>
      <c r="E2402" s="31" t="s">
        <v>9309</v>
      </c>
      <c r="F2402" s="31" t="s">
        <v>31</v>
      </c>
      <c r="G2402" s="31">
        <v>640</v>
      </c>
      <c r="H2402" s="31">
        <v>10</v>
      </c>
      <c r="I2402" s="31">
        <v>16</v>
      </c>
      <c r="J2402" s="31" t="s">
        <v>9310</v>
      </c>
      <c r="K2402" s="31" t="s">
        <v>33</v>
      </c>
      <c r="L2402" s="31" t="s">
        <v>34</v>
      </c>
      <c r="M2402" s="31">
        <v>174</v>
      </c>
      <c r="N2402" s="31">
        <v>2023</v>
      </c>
      <c r="O2402" s="31">
        <v>264</v>
      </c>
      <c r="P2402" s="31"/>
      <c r="Q2402" s="31"/>
      <c r="R2402" s="33" t="s">
        <v>9311</v>
      </c>
      <c r="S2402" s="34" t="str">
        <f>HYPERLINK("http://www.cnpol.ru/covers/20764.jpg","фото на сайте")</f>
        <v>фото на сайте</v>
      </c>
    </row>
    <row r="2403" spans="1:19" ht="50.1" customHeight="1">
      <c r="A2403" s="31"/>
      <c r="B2403" s="32" t="s">
        <v>9312</v>
      </c>
      <c r="C2403" s="31" t="s">
        <v>9313</v>
      </c>
      <c r="D2403" s="31" t="s">
        <v>9314</v>
      </c>
      <c r="E2403" s="31" t="s">
        <v>9315</v>
      </c>
      <c r="F2403" s="31" t="s">
        <v>31</v>
      </c>
      <c r="G2403" s="31">
        <v>35</v>
      </c>
      <c r="H2403" s="31">
        <v>10</v>
      </c>
      <c r="I2403" s="31">
        <v>32</v>
      </c>
      <c r="J2403" s="31" t="s">
        <v>9316</v>
      </c>
      <c r="K2403" s="31" t="s">
        <v>55</v>
      </c>
      <c r="L2403" s="31" t="s">
        <v>56</v>
      </c>
      <c r="M2403" s="31" t="s">
        <v>431</v>
      </c>
      <c r="N2403" s="31" t="s">
        <v>431</v>
      </c>
      <c r="O2403" s="31" t="s">
        <v>220</v>
      </c>
      <c r="P2403" s="31"/>
      <c r="Q2403" s="31"/>
      <c r="R2403" s="33"/>
      <c r="S2403" s="34" t="str">
        <f>HYPERLINK("http://www.cnpol.ru/covers/4650.jpg","фото на сайте")</f>
        <v>фото на сайте</v>
      </c>
    </row>
    <row r="2404" spans="1:19" ht="50.1" customHeight="1">
      <c r="A2404" s="31"/>
      <c r="B2404" s="32" t="s">
        <v>9317</v>
      </c>
      <c r="C2404" s="31" t="s">
        <v>9313</v>
      </c>
      <c r="D2404" s="31" t="s">
        <v>9314</v>
      </c>
      <c r="E2404" s="31" t="s">
        <v>9315</v>
      </c>
      <c r="F2404" s="31" t="s">
        <v>31</v>
      </c>
      <c r="G2404" s="31">
        <v>88</v>
      </c>
      <c r="H2404" s="31">
        <v>10</v>
      </c>
      <c r="I2404" s="31">
        <v>32</v>
      </c>
      <c r="J2404" s="31" t="s">
        <v>9316</v>
      </c>
      <c r="K2404" s="31" t="s">
        <v>55</v>
      </c>
      <c r="L2404" s="31" t="s">
        <v>56</v>
      </c>
      <c r="M2404" s="31">
        <v>240</v>
      </c>
      <c r="N2404" s="31">
        <v>2004</v>
      </c>
      <c r="O2404" s="31">
        <v>102</v>
      </c>
      <c r="P2404" s="31"/>
      <c r="Q2404" s="31"/>
      <c r="R2404" s="33"/>
      <c r="S2404" s="34" t="str">
        <f>HYPERLINK("http://www.cnpol.ru/covers/5023.jpg","фото на сайте")</f>
        <v>фото на сайте</v>
      </c>
    </row>
    <row r="2405" spans="1:19" ht="50.1" customHeight="1">
      <c r="A2405" s="31"/>
      <c r="B2405" s="32" t="s">
        <v>9318</v>
      </c>
      <c r="C2405" s="31" t="s">
        <v>413</v>
      </c>
      <c r="D2405" s="31" t="s">
        <v>8593</v>
      </c>
      <c r="E2405" s="31" t="s">
        <v>9319</v>
      </c>
      <c r="F2405" s="31">
        <v>62</v>
      </c>
      <c r="G2405" s="31">
        <v>117</v>
      </c>
      <c r="H2405" s="31">
        <v>10</v>
      </c>
      <c r="I2405" s="31">
        <v>36</v>
      </c>
      <c r="J2405" s="31" t="s">
        <v>9320</v>
      </c>
      <c r="K2405" s="31" t="s">
        <v>123</v>
      </c>
      <c r="L2405" s="31" t="s">
        <v>56</v>
      </c>
      <c r="M2405" s="31">
        <v>190</v>
      </c>
      <c r="N2405" s="31">
        <v>2015</v>
      </c>
      <c r="O2405" s="31">
        <v>90</v>
      </c>
      <c r="P2405" s="31"/>
      <c r="Q2405" s="31"/>
      <c r="R2405" s="33"/>
      <c r="S2405" s="34" t="str">
        <f>HYPERLINK("http://www.cnpol.ru/covers/16068.jpg","фото на сайте")</f>
        <v>фото на сайте</v>
      </c>
    </row>
    <row r="2406" spans="1:19" ht="50.1" customHeight="1">
      <c r="A2406" s="31" t="s">
        <v>35</v>
      </c>
      <c r="B2406" s="32" t="s">
        <v>9321</v>
      </c>
      <c r="C2406" s="31" t="s">
        <v>37</v>
      </c>
      <c r="D2406" s="31" t="s">
        <v>9322</v>
      </c>
      <c r="E2406" s="31" t="s">
        <v>9323</v>
      </c>
      <c r="F2406" s="31" t="s">
        <v>31</v>
      </c>
      <c r="G2406" s="35">
        <v>1198</v>
      </c>
      <c r="H2406" s="31">
        <v>10</v>
      </c>
      <c r="I2406" s="31">
        <v>8</v>
      </c>
      <c r="J2406" s="31" t="s">
        <v>9324</v>
      </c>
      <c r="K2406" s="31" t="s">
        <v>33</v>
      </c>
      <c r="L2406" s="31" t="s">
        <v>34</v>
      </c>
      <c r="M2406" s="31">
        <v>477</v>
      </c>
      <c r="N2406" s="31">
        <v>2024</v>
      </c>
      <c r="O2406" s="31">
        <v>390</v>
      </c>
      <c r="P2406" s="31"/>
      <c r="Q2406" s="31"/>
      <c r="R2406" s="33" t="s">
        <v>9325</v>
      </c>
      <c r="S2406" s="34" t="str">
        <f>HYPERLINK("http://www.cnpol.ru/covers/21277.jpg","фото на сайте")</f>
        <v>фото на сайте</v>
      </c>
    </row>
    <row r="2407" spans="1:19" ht="50.1" customHeight="1">
      <c r="A2407" s="31"/>
      <c r="B2407" s="32" t="s">
        <v>9326</v>
      </c>
      <c r="C2407" s="31" t="s">
        <v>1594</v>
      </c>
      <c r="D2407" s="31" t="s">
        <v>9327</v>
      </c>
      <c r="E2407" s="31" t="s">
        <v>9328</v>
      </c>
      <c r="F2407" s="31" t="s">
        <v>31</v>
      </c>
      <c r="G2407" s="31">
        <v>169</v>
      </c>
      <c r="H2407" s="31">
        <v>10</v>
      </c>
      <c r="I2407" s="31">
        <v>8</v>
      </c>
      <c r="J2407" s="31" t="s">
        <v>9329</v>
      </c>
      <c r="K2407" s="31" t="s">
        <v>55</v>
      </c>
      <c r="L2407" s="31" t="s">
        <v>56</v>
      </c>
      <c r="M2407" s="31">
        <v>287</v>
      </c>
      <c r="N2407" s="31">
        <v>2021</v>
      </c>
      <c r="O2407" s="31">
        <v>122</v>
      </c>
      <c r="P2407" s="31"/>
      <c r="Q2407" s="31"/>
      <c r="R2407" s="33"/>
      <c r="S2407" s="34" t="str">
        <f>HYPERLINK("http://www.cnpol.ru/covers/19477.jpg","фото на сайте")</f>
        <v>фото на сайте</v>
      </c>
    </row>
    <row r="2408" spans="1:19" ht="50.1" customHeight="1">
      <c r="A2408" s="31"/>
      <c r="B2408" s="32" t="s">
        <v>9330</v>
      </c>
      <c r="C2408" s="31" t="s">
        <v>1940</v>
      </c>
      <c r="D2408" s="31" t="s">
        <v>9331</v>
      </c>
      <c r="E2408" s="31" t="s">
        <v>9332</v>
      </c>
      <c r="F2408" s="31" t="s">
        <v>31</v>
      </c>
      <c r="G2408" s="31">
        <v>154</v>
      </c>
      <c r="H2408" s="31">
        <v>10</v>
      </c>
      <c r="I2408" s="31">
        <v>14</v>
      </c>
      <c r="J2408" s="31" t="s">
        <v>9333</v>
      </c>
      <c r="K2408" s="31" t="s">
        <v>55</v>
      </c>
      <c r="L2408" s="31" t="s">
        <v>56</v>
      </c>
      <c r="M2408" s="31">
        <v>446</v>
      </c>
      <c r="N2408" s="31">
        <v>2008</v>
      </c>
      <c r="O2408" s="31">
        <v>194</v>
      </c>
      <c r="P2408" s="31"/>
      <c r="Q2408" s="31"/>
      <c r="R2408" s="33"/>
      <c r="S2408" s="34" t="str">
        <f>HYPERLINK("http://www.cnpol.ru/covers/10824.jpg","фото на сайте")</f>
        <v>фото на сайте</v>
      </c>
    </row>
    <row r="2409" spans="1:19" ht="50.1" customHeight="1">
      <c r="A2409" s="31"/>
      <c r="B2409" s="32" t="s">
        <v>9334</v>
      </c>
      <c r="C2409" s="31" t="s">
        <v>440</v>
      </c>
      <c r="D2409" s="31" t="s">
        <v>9335</v>
      </c>
      <c r="E2409" s="31" t="s">
        <v>9336</v>
      </c>
      <c r="F2409" s="31" t="s">
        <v>31</v>
      </c>
      <c r="G2409" s="31">
        <v>503</v>
      </c>
      <c r="H2409" s="31">
        <v>10</v>
      </c>
      <c r="I2409" s="31">
        <v>20</v>
      </c>
      <c r="J2409" s="31" t="s">
        <v>9337</v>
      </c>
      <c r="K2409" s="31" t="s">
        <v>33</v>
      </c>
      <c r="L2409" s="31" t="s">
        <v>34</v>
      </c>
      <c r="M2409" s="31">
        <v>221</v>
      </c>
      <c r="N2409" s="31">
        <v>2015</v>
      </c>
      <c r="O2409" s="31">
        <v>236</v>
      </c>
      <c r="P2409" s="31"/>
      <c r="Q2409" s="31"/>
      <c r="R2409" s="33"/>
      <c r="S2409" s="34" t="str">
        <f>HYPERLINK("http://www.cnpol.ru/covers/15950.jpg","фото на сайте")</f>
        <v>фото на сайте</v>
      </c>
    </row>
    <row r="2410" spans="1:19" ht="50.1" customHeight="1">
      <c r="A2410" s="31"/>
      <c r="B2410" s="32" t="s">
        <v>9338</v>
      </c>
      <c r="C2410" s="31" t="s">
        <v>440</v>
      </c>
      <c r="D2410" s="31" t="s">
        <v>9339</v>
      </c>
      <c r="E2410" s="31" t="s">
        <v>9340</v>
      </c>
      <c r="F2410" s="31" t="s">
        <v>31</v>
      </c>
      <c r="G2410" s="31">
        <v>675</v>
      </c>
      <c r="H2410" s="31">
        <v>10</v>
      </c>
      <c r="I2410" s="31">
        <v>10</v>
      </c>
      <c r="J2410" s="31" t="s">
        <v>9341</v>
      </c>
      <c r="K2410" s="31" t="s">
        <v>33</v>
      </c>
      <c r="L2410" s="31" t="s">
        <v>34</v>
      </c>
      <c r="M2410" s="31">
        <v>416</v>
      </c>
      <c r="N2410" s="31">
        <v>2015</v>
      </c>
      <c r="O2410" s="31">
        <v>344</v>
      </c>
      <c r="P2410" s="31"/>
      <c r="Q2410" s="31"/>
      <c r="R2410" s="33"/>
      <c r="S2410" s="34" t="str">
        <f>HYPERLINK("http://www.cnpol.ru/covers/16333.jpg","фото на сайте")</f>
        <v>фото на сайте</v>
      </c>
    </row>
    <row r="2411" spans="1:19" ht="50.1" customHeight="1">
      <c r="A2411" s="31"/>
      <c r="B2411" s="32" t="s">
        <v>9342</v>
      </c>
      <c r="C2411" s="31" t="s">
        <v>464</v>
      </c>
      <c r="D2411" s="31" t="s">
        <v>9343</v>
      </c>
      <c r="E2411" s="31" t="s">
        <v>9344</v>
      </c>
      <c r="F2411" s="31" t="s">
        <v>31</v>
      </c>
      <c r="G2411" s="31">
        <v>137</v>
      </c>
      <c r="H2411" s="31">
        <v>10</v>
      </c>
      <c r="I2411" s="31">
        <v>50</v>
      </c>
      <c r="J2411" s="31" t="s">
        <v>9345</v>
      </c>
      <c r="K2411" s="31" t="s">
        <v>468</v>
      </c>
      <c r="L2411" s="31" t="s">
        <v>56</v>
      </c>
      <c r="M2411" s="31">
        <v>18</v>
      </c>
      <c r="N2411" s="31">
        <v>2005</v>
      </c>
      <c r="O2411" s="31">
        <v>84</v>
      </c>
      <c r="P2411" s="31"/>
      <c r="Q2411" s="31"/>
      <c r="R2411" s="33"/>
      <c r="S2411" s="34" t="str">
        <f>HYPERLINK("http://www.cnpol.ru/covers/5644.jpg","фото на сайте")</f>
        <v>фото на сайте</v>
      </c>
    </row>
    <row r="2412" spans="1:19" ht="50.1" customHeight="1">
      <c r="A2412" s="31" t="s">
        <v>43</v>
      </c>
      <c r="B2412" s="32" t="s">
        <v>9346</v>
      </c>
      <c r="C2412" s="31" t="s">
        <v>143</v>
      </c>
      <c r="D2412" s="31" t="s">
        <v>3293</v>
      </c>
      <c r="E2412" s="31" t="s">
        <v>9347</v>
      </c>
      <c r="F2412" s="31" t="s">
        <v>31</v>
      </c>
      <c r="G2412" s="31">
        <v>806</v>
      </c>
      <c r="H2412" s="31">
        <v>10</v>
      </c>
      <c r="I2412" s="31">
        <v>14</v>
      </c>
      <c r="J2412" s="31" t="s">
        <v>9348</v>
      </c>
      <c r="K2412" s="31" t="s">
        <v>33</v>
      </c>
      <c r="L2412" s="31" t="s">
        <v>34</v>
      </c>
      <c r="M2412" s="31">
        <v>255</v>
      </c>
      <c r="N2412" s="31">
        <v>2024</v>
      </c>
      <c r="O2412" s="31">
        <v>322</v>
      </c>
      <c r="P2412" s="31"/>
      <c r="Q2412" s="31"/>
      <c r="R2412" s="33" t="s">
        <v>9349</v>
      </c>
      <c r="S2412" s="34" t="str">
        <f>HYPERLINK("http://www.cnpol.ru/covers/21370.jpg","фото на сайте")</f>
        <v>фото на сайте</v>
      </c>
    </row>
    <row r="2413" spans="1:19" ht="50.1" customHeight="1">
      <c r="A2413" s="31"/>
      <c r="B2413" s="32" t="s">
        <v>9350</v>
      </c>
      <c r="C2413" s="31" t="s">
        <v>2631</v>
      </c>
      <c r="D2413" s="31" t="s">
        <v>4014</v>
      </c>
      <c r="E2413" s="31" t="s">
        <v>9351</v>
      </c>
      <c r="F2413" s="31" t="s">
        <v>31</v>
      </c>
      <c r="G2413" s="31">
        <v>843</v>
      </c>
      <c r="H2413" s="31">
        <v>10</v>
      </c>
      <c r="I2413" s="31">
        <v>10</v>
      </c>
      <c r="J2413" s="31" t="s">
        <v>9352</v>
      </c>
      <c r="K2413" s="31" t="s">
        <v>41</v>
      </c>
      <c r="L2413" s="31" t="s">
        <v>34</v>
      </c>
      <c r="M2413" s="31">
        <v>480</v>
      </c>
      <c r="N2413" s="31">
        <v>2014</v>
      </c>
      <c r="O2413" s="31">
        <v>594</v>
      </c>
      <c r="P2413" s="31"/>
      <c r="Q2413" s="31"/>
      <c r="R2413" s="33"/>
      <c r="S2413" s="34" t="str">
        <f>HYPERLINK("http://www.cnpol.ru/covers/15351.jpg","фото на сайте")</f>
        <v>фото на сайте</v>
      </c>
    </row>
    <row r="2414" spans="1:19" ht="50.1" customHeight="1">
      <c r="A2414" s="31" t="s">
        <v>43</v>
      </c>
      <c r="B2414" s="32" t="s">
        <v>9353</v>
      </c>
      <c r="C2414" s="31" t="s">
        <v>2631</v>
      </c>
      <c r="D2414" s="31" t="s">
        <v>9354</v>
      </c>
      <c r="E2414" s="31" t="s">
        <v>9355</v>
      </c>
      <c r="F2414" s="31" t="s">
        <v>31</v>
      </c>
      <c r="G2414" s="35">
        <v>1038</v>
      </c>
      <c r="H2414" s="31">
        <v>10</v>
      </c>
      <c r="I2414" s="31">
        <v>6</v>
      </c>
      <c r="J2414" s="31" t="s">
        <v>9356</v>
      </c>
      <c r="K2414" s="31" t="s">
        <v>33</v>
      </c>
      <c r="L2414" s="31" t="s">
        <v>34</v>
      </c>
      <c r="M2414" s="31">
        <v>415</v>
      </c>
      <c r="N2414" s="31">
        <v>2024</v>
      </c>
      <c r="O2414" s="31">
        <v>447</v>
      </c>
      <c r="P2414" s="31"/>
      <c r="Q2414" s="31"/>
      <c r="R2414" s="33" t="s">
        <v>9357</v>
      </c>
      <c r="S2414" s="34" t="str">
        <f>HYPERLINK("http://www.cnpol.ru/covers/21212.jpg","фото на сайте")</f>
        <v>фото на сайте</v>
      </c>
    </row>
    <row r="2415" spans="1:19" ht="50.1" customHeight="1">
      <c r="A2415" s="31" t="s">
        <v>35</v>
      </c>
      <c r="B2415" s="32" t="s">
        <v>9358</v>
      </c>
      <c r="C2415" s="31" t="s">
        <v>143</v>
      </c>
      <c r="D2415" s="31" t="s">
        <v>9359</v>
      </c>
      <c r="E2415" s="31" t="s">
        <v>9360</v>
      </c>
      <c r="F2415" s="31" t="s">
        <v>31</v>
      </c>
      <c r="G2415" s="31">
        <v>678</v>
      </c>
      <c r="H2415" s="31">
        <v>10</v>
      </c>
      <c r="I2415" s="31">
        <v>10</v>
      </c>
      <c r="J2415" s="31" t="s">
        <v>9361</v>
      </c>
      <c r="K2415" s="31" t="s">
        <v>33</v>
      </c>
      <c r="L2415" s="31" t="s">
        <v>34</v>
      </c>
      <c r="M2415" s="31">
        <v>191</v>
      </c>
      <c r="N2415" s="31">
        <v>2025</v>
      </c>
      <c r="O2415" s="31" t="s">
        <v>220</v>
      </c>
      <c r="P2415" s="31"/>
      <c r="Q2415" s="31"/>
      <c r="R2415" s="33" t="s">
        <v>9362</v>
      </c>
      <c r="S2415" s="34" t="str">
        <f>HYPERLINK("http://www.cnpol.ru/covers/21856.jpg","фото на сайте")</f>
        <v>фото на сайте</v>
      </c>
    </row>
    <row r="2416" spans="1:19" ht="50.1" customHeight="1">
      <c r="A2416" s="31" t="s">
        <v>35</v>
      </c>
      <c r="B2416" s="32" t="s">
        <v>9363</v>
      </c>
      <c r="C2416" s="31" t="s">
        <v>1016</v>
      </c>
      <c r="D2416" s="31" t="s">
        <v>9364</v>
      </c>
      <c r="E2416" s="31" t="s">
        <v>9365</v>
      </c>
      <c r="F2416" s="31" t="s">
        <v>31</v>
      </c>
      <c r="G2416" s="31">
        <v>661</v>
      </c>
      <c r="H2416" s="31">
        <v>10</v>
      </c>
      <c r="I2416" s="31">
        <v>8</v>
      </c>
      <c r="J2416" s="31" t="s">
        <v>9366</v>
      </c>
      <c r="K2416" s="31" t="s">
        <v>33</v>
      </c>
      <c r="L2416" s="31" t="s">
        <v>34</v>
      </c>
      <c r="M2416" s="31">
        <v>190</v>
      </c>
      <c r="N2416" s="31">
        <v>2025</v>
      </c>
      <c r="O2416" s="31">
        <v>222</v>
      </c>
      <c r="P2416" s="31"/>
      <c r="Q2416" s="31"/>
      <c r="R2416" s="33" t="s">
        <v>9367</v>
      </c>
      <c r="S2416" s="34" t="str">
        <f>HYPERLINK("http://www.cnpol.ru/covers/21592.jpg","фото на сайте")</f>
        <v>фото на сайте</v>
      </c>
    </row>
    <row r="2417" spans="1:19" ht="50.1" customHeight="1">
      <c r="A2417" s="31" t="s">
        <v>43</v>
      </c>
      <c r="B2417" s="32" t="s">
        <v>9368</v>
      </c>
      <c r="C2417" s="31" t="s">
        <v>2631</v>
      </c>
      <c r="D2417" s="31" t="s">
        <v>9369</v>
      </c>
      <c r="E2417" s="31" t="s">
        <v>9370</v>
      </c>
      <c r="F2417" s="31" t="s">
        <v>31</v>
      </c>
      <c r="G2417" s="35">
        <v>1015</v>
      </c>
      <c r="H2417" s="31">
        <v>10</v>
      </c>
      <c r="I2417" s="31">
        <v>10</v>
      </c>
      <c r="J2417" s="31" t="s">
        <v>9371</v>
      </c>
      <c r="K2417" s="31" t="s">
        <v>41</v>
      </c>
      <c r="L2417" s="31" t="s">
        <v>34</v>
      </c>
      <c r="M2417" s="31">
        <v>367</v>
      </c>
      <c r="N2417" s="31">
        <v>2026</v>
      </c>
      <c r="O2417" s="31" t="s">
        <v>220</v>
      </c>
      <c r="P2417" s="31"/>
      <c r="Q2417" s="31"/>
      <c r="R2417" s="33" t="s">
        <v>9372</v>
      </c>
      <c r="S2417" s="34" t="str">
        <f>HYPERLINK("http://www.cnpol.ru/covers/21905.jpg","фото на сайте")</f>
        <v>фото на сайте</v>
      </c>
    </row>
    <row r="2418" spans="1:19" ht="50.1" customHeight="1">
      <c r="A2418" s="31"/>
      <c r="B2418" s="32" t="s">
        <v>9373</v>
      </c>
      <c r="C2418" s="31" t="s">
        <v>1050</v>
      </c>
      <c r="D2418" s="31" t="s">
        <v>9374</v>
      </c>
      <c r="E2418" s="31" t="s">
        <v>9375</v>
      </c>
      <c r="F2418" s="31" t="s">
        <v>31</v>
      </c>
      <c r="G2418" s="31">
        <v>386</v>
      </c>
      <c r="H2418" s="31">
        <v>10</v>
      </c>
      <c r="I2418" s="31">
        <v>20</v>
      </c>
      <c r="J2418" s="31" t="s">
        <v>9376</v>
      </c>
      <c r="K2418" s="31" t="s">
        <v>130</v>
      </c>
      <c r="L2418" s="31" t="s">
        <v>210</v>
      </c>
      <c r="M2418" s="31">
        <v>253</v>
      </c>
      <c r="N2418" s="31">
        <v>2022</v>
      </c>
      <c r="O2418" s="31">
        <v>160</v>
      </c>
      <c r="P2418" s="31"/>
      <c r="Q2418" s="31"/>
      <c r="R2418" s="33"/>
      <c r="S2418" s="34" t="str">
        <f>HYPERLINK("http://www.cnpol.ru/covers/20310.jpg","фото на сайте")</f>
        <v>фото на сайте</v>
      </c>
    </row>
    <row r="2419" spans="1:19" ht="50.1" customHeight="1">
      <c r="A2419" s="31"/>
      <c r="B2419" s="32" t="s">
        <v>9377</v>
      </c>
      <c r="C2419" s="31" t="s">
        <v>45</v>
      </c>
      <c r="D2419" s="31" t="s">
        <v>182</v>
      </c>
      <c r="E2419" s="31" t="s">
        <v>9378</v>
      </c>
      <c r="F2419" s="31" t="s">
        <v>31</v>
      </c>
      <c r="G2419" s="35">
        <v>1265</v>
      </c>
      <c r="H2419" s="31">
        <v>10</v>
      </c>
      <c r="I2419" s="31">
        <v>8</v>
      </c>
      <c r="J2419" s="31" t="s">
        <v>9379</v>
      </c>
      <c r="K2419" s="31" t="s">
        <v>41</v>
      </c>
      <c r="L2419" s="31" t="s">
        <v>34</v>
      </c>
      <c r="M2419" s="31">
        <v>768</v>
      </c>
      <c r="N2419" s="31">
        <v>2014</v>
      </c>
      <c r="O2419" s="31">
        <v>870</v>
      </c>
      <c r="P2419" s="31"/>
      <c r="Q2419" s="31"/>
      <c r="R2419" s="33"/>
      <c r="S2419" s="34" t="str">
        <f>HYPERLINK("http://www.cnpol.ru/covers/15057.jpg","фото на сайте")</f>
        <v>фото на сайте</v>
      </c>
    </row>
    <row r="2420" spans="1:19" ht="50.1" customHeight="1">
      <c r="A2420" s="31" t="s">
        <v>43</v>
      </c>
      <c r="B2420" s="32" t="s">
        <v>9380</v>
      </c>
      <c r="C2420" s="31" t="s">
        <v>45</v>
      </c>
      <c r="D2420" s="31" t="s">
        <v>1212</v>
      </c>
      <c r="E2420" s="31" t="s">
        <v>9381</v>
      </c>
      <c r="F2420" s="31" t="s">
        <v>31</v>
      </c>
      <c r="G2420" s="31">
        <v>733</v>
      </c>
      <c r="H2420" s="31">
        <v>10</v>
      </c>
      <c r="I2420" s="31">
        <v>7</v>
      </c>
      <c r="J2420" s="31" t="s">
        <v>9382</v>
      </c>
      <c r="K2420" s="31" t="s">
        <v>33</v>
      </c>
      <c r="L2420" s="31" t="s">
        <v>34</v>
      </c>
      <c r="M2420" s="31">
        <v>318</v>
      </c>
      <c r="N2420" s="31">
        <v>2024</v>
      </c>
      <c r="O2420" s="31">
        <v>180</v>
      </c>
      <c r="P2420" s="31"/>
      <c r="Q2420" s="31"/>
      <c r="R2420" s="33" t="s">
        <v>9383</v>
      </c>
      <c r="S2420" s="34" t="str">
        <f>HYPERLINK("http://www.cnpol.ru/covers/21058.jpg","фото на сайте")</f>
        <v>фото на сайте</v>
      </c>
    </row>
    <row r="2421" spans="1:19" ht="50.1" customHeight="1">
      <c r="A2421" s="31" t="s">
        <v>35</v>
      </c>
      <c r="B2421" s="32" t="s">
        <v>9384</v>
      </c>
      <c r="C2421" s="31" t="s">
        <v>589</v>
      </c>
      <c r="D2421" s="31" t="s">
        <v>590</v>
      </c>
      <c r="E2421" s="31" t="s">
        <v>9385</v>
      </c>
      <c r="F2421" s="31" t="s">
        <v>31</v>
      </c>
      <c r="G2421" s="31">
        <v>258</v>
      </c>
      <c r="H2421" s="31">
        <v>10</v>
      </c>
      <c r="I2421" s="31">
        <v>10</v>
      </c>
      <c r="J2421" s="31" t="s">
        <v>9386</v>
      </c>
      <c r="K2421" s="31" t="s">
        <v>130</v>
      </c>
      <c r="L2421" s="31" t="s">
        <v>56</v>
      </c>
      <c r="M2421" s="31">
        <v>287</v>
      </c>
      <c r="N2421" s="31">
        <v>2025</v>
      </c>
      <c r="O2421" s="31" t="s">
        <v>220</v>
      </c>
      <c r="P2421" s="31"/>
      <c r="Q2421" s="31"/>
      <c r="R2421" s="33" t="s">
        <v>9387</v>
      </c>
      <c r="S2421" s="34" t="str">
        <f>HYPERLINK("http://www.cnpol.ru/covers/21536.jpg","фото на сайте")</f>
        <v>фото на сайте</v>
      </c>
    </row>
    <row r="2422" spans="1:19" ht="50.1" customHeight="1">
      <c r="A2422" s="31"/>
      <c r="B2422" s="32" t="s">
        <v>9388</v>
      </c>
      <c r="C2422" s="31" t="s">
        <v>589</v>
      </c>
      <c r="D2422" s="31" t="s">
        <v>590</v>
      </c>
      <c r="E2422" s="31" t="s">
        <v>9389</v>
      </c>
      <c r="F2422" s="31" t="s">
        <v>31</v>
      </c>
      <c r="G2422" s="31">
        <v>258</v>
      </c>
      <c r="H2422" s="31">
        <v>20</v>
      </c>
      <c r="I2422" s="31">
        <v>26</v>
      </c>
      <c r="J2422" s="31" t="s">
        <v>9390</v>
      </c>
      <c r="K2422" s="31" t="s">
        <v>130</v>
      </c>
      <c r="L2422" s="31" t="s">
        <v>56</v>
      </c>
      <c r="M2422" s="31">
        <v>255</v>
      </c>
      <c r="N2422" s="31">
        <v>2013</v>
      </c>
      <c r="O2422" s="31">
        <v>158</v>
      </c>
      <c r="P2422" s="31"/>
      <c r="Q2422" s="31"/>
      <c r="R2422" s="33"/>
      <c r="S2422" s="34" t="str">
        <f>HYPERLINK("http://www.cnpol.ru/covers/14257.jpg","фото на сайте")</f>
        <v>фото на сайте</v>
      </c>
    </row>
    <row r="2423" spans="1:19" ht="50.1" customHeight="1">
      <c r="A2423" s="31" t="s">
        <v>35</v>
      </c>
      <c r="B2423" s="32" t="s">
        <v>9391</v>
      </c>
      <c r="C2423" s="31" t="s">
        <v>589</v>
      </c>
      <c r="D2423" s="31" t="s">
        <v>590</v>
      </c>
      <c r="E2423" s="31" t="s">
        <v>9392</v>
      </c>
      <c r="F2423" s="31" t="s">
        <v>31</v>
      </c>
      <c r="G2423" s="31">
        <v>258</v>
      </c>
      <c r="H2423" s="31">
        <v>10</v>
      </c>
      <c r="I2423" s="31">
        <v>10</v>
      </c>
      <c r="J2423" s="31" t="s">
        <v>9393</v>
      </c>
      <c r="K2423" s="31" t="s">
        <v>130</v>
      </c>
      <c r="L2423" s="31" t="s">
        <v>56</v>
      </c>
      <c r="M2423" s="31">
        <v>286</v>
      </c>
      <c r="N2423" s="31">
        <v>2025</v>
      </c>
      <c r="O2423" s="31" t="s">
        <v>220</v>
      </c>
      <c r="P2423" s="31"/>
      <c r="Q2423" s="31"/>
      <c r="R2423" s="33" t="s">
        <v>9394</v>
      </c>
      <c r="S2423" s="34" t="str">
        <f>HYPERLINK("http://www.cnpol.ru/covers/21487.jpg","фото на сайте")</f>
        <v>фото на сайте</v>
      </c>
    </row>
    <row r="2424" spans="1:19" ht="50.1" customHeight="1">
      <c r="A2424" s="31"/>
      <c r="B2424" s="32" t="s">
        <v>9395</v>
      </c>
      <c r="C2424" s="31" t="s">
        <v>658</v>
      </c>
      <c r="D2424" s="31" t="s">
        <v>9396</v>
      </c>
      <c r="E2424" s="31" t="s">
        <v>9397</v>
      </c>
      <c r="F2424" s="31" t="s">
        <v>31</v>
      </c>
      <c r="G2424" s="35">
        <v>1229</v>
      </c>
      <c r="H2424" s="31">
        <v>10</v>
      </c>
      <c r="I2424" s="31">
        <v>10</v>
      </c>
      <c r="J2424" s="31" t="s">
        <v>9398</v>
      </c>
      <c r="K2424" s="31" t="s">
        <v>319</v>
      </c>
      <c r="L2424" s="31" t="s">
        <v>34</v>
      </c>
      <c r="M2424" s="31">
        <v>167</v>
      </c>
      <c r="N2424" s="31">
        <v>2014</v>
      </c>
      <c r="O2424" s="31" t="s">
        <v>220</v>
      </c>
      <c r="P2424" s="31"/>
      <c r="Q2424" s="31"/>
      <c r="R2424" s="33"/>
      <c r="S2424" s="34" t="str">
        <f>HYPERLINK("http://www.cnpol.ru/covers/14920.jpg","фото на сайте")</f>
        <v>фото на сайте</v>
      </c>
    </row>
    <row r="2425" spans="1:19" ht="50.1" customHeight="1">
      <c r="A2425" s="31"/>
      <c r="B2425" s="32" t="s">
        <v>9399</v>
      </c>
      <c r="C2425" s="31" t="s">
        <v>413</v>
      </c>
      <c r="D2425" s="31" t="s">
        <v>4536</v>
      </c>
      <c r="E2425" s="31" t="s">
        <v>9400</v>
      </c>
      <c r="F2425" s="31">
        <v>30</v>
      </c>
      <c r="G2425" s="31">
        <v>117</v>
      </c>
      <c r="H2425" s="31">
        <v>10</v>
      </c>
      <c r="I2425" s="31">
        <v>36</v>
      </c>
      <c r="J2425" s="31" t="s">
        <v>9401</v>
      </c>
      <c r="K2425" s="31" t="s">
        <v>123</v>
      </c>
      <c r="L2425" s="31" t="s">
        <v>56</v>
      </c>
      <c r="M2425" s="31">
        <v>190</v>
      </c>
      <c r="N2425" s="31">
        <v>2014</v>
      </c>
      <c r="O2425" s="31">
        <v>90</v>
      </c>
      <c r="P2425" s="31"/>
      <c r="Q2425" s="31"/>
      <c r="R2425" s="33"/>
      <c r="S2425" s="34" t="str">
        <f>HYPERLINK("http://www.cnpol.ru/covers/15598.jpg","фото на сайте")</f>
        <v>фото на сайте</v>
      </c>
    </row>
    <row r="2426" spans="1:19" ht="50.1" customHeight="1">
      <c r="A2426" s="31" t="s">
        <v>35</v>
      </c>
      <c r="B2426" s="32" t="s">
        <v>9402</v>
      </c>
      <c r="C2426" s="31" t="s">
        <v>643</v>
      </c>
      <c r="D2426" s="31" t="s">
        <v>9403</v>
      </c>
      <c r="E2426" s="31" t="s">
        <v>9404</v>
      </c>
      <c r="F2426" s="31" t="s">
        <v>31</v>
      </c>
      <c r="G2426" s="31">
        <v>971</v>
      </c>
      <c r="H2426" s="31">
        <v>10</v>
      </c>
      <c r="I2426" s="31">
        <v>5</v>
      </c>
      <c r="J2426" s="31" t="s">
        <v>9405</v>
      </c>
      <c r="K2426" s="31" t="s">
        <v>33</v>
      </c>
      <c r="L2426" s="31" t="s">
        <v>34</v>
      </c>
      <c r="M2426" s="31">
        <v>351</v>
      </c>
      <c r="N2426" s="31">
        <v>2025</v>
      </c>
      <c r="O2426" s="31">
        <v>344</v>
      </c>
      <c r="P2426" s="31"/>
      <c r="Q2426" s="31"/>
      <c r="R2426" s="33" t="s">
        <v>9406</v>
      </c>
      <c r="S2426" s="34" t="str">
        <f>HYPERLINK("http://www.cnpol.ru/covers/21453.jpg","фото на сайте")</f>
        <v>фото на сайте</v>
      </c>
    </row>
    <row r="2427" spans="1:19" ht="50.1" customHeight="1">
      <c r="A2427" s="31"/>
      <c r="B2427" s="32" t="s">
        <v>9407</v>
      </c>
      <c r="C2427" s="31" t="s">
        <v>5260</v>
      </c>
      <c r="D2427" s="31" t="s">
        <v>5256</v>
      </c>
      <c r="E2427" s="31" t="s">
        <v>9408</v>
      </c>
      <c r="F2427" s="31" t="s">
        <v>31</v>
      </c>
      <c r="G2427" s="31">
        <v>112</v>
      </c>
      <c r="H2427" s="31">
        <v>10</v>
      </c>
      <c r="I2427" s="31">
        <v>30</v>
      </c>
      <c r="J2427" s="31" t="s">
        <v>9409</v>
      </c>
      <c r="K2427" s="31" t="s">
        <v>260</v>
      </c>
      <c r="L2427" s="31" t="s">
        <v>56</v>
      </c>
      <c r="M2427" s="31">
        <v>207</v>
      </c>
      <c r="N2427" s="31" t="s">
        <v>431</v>
      </c>
      <c r="O2427" s="31">
        <v>124</v>
      </c>
      <c r="P2427" s="31"/>
      <c r="Q2427" s="31"/>
      <c r="R2427" s="33"/>
      <c r="S2427" s="34" t="str">
        <f>HYPERLINK("http://www.cnpol.ru/covers/9025.jpg","фото на сайте")</f>
        <v>фото на сайте</v>
      </c>
    </row>
    <row r="2428" spans="1:19" ht="50.1" customHeight="1">
      <c r="A2428" s="31" t="s">
        <v>35</v>
      </c>
      <c r="B2428" s="32" t="s">
        <v>9410</v>
      </c>
      <c r="C2428" s="31" t="s">
        <v>643</v>
      </c>
      <c r="D2428" s="31" t="s">
        <v>9411</v>
      </c>
      <c r="E2428" s="31" t="s">
        <v>9412</v>
      </c>
      <c r="F2428" s="31" t="s">
        <v>31</v>
      </c>
      <c r="G2428" s="35">
        <v>1009</v>
      </c>
      <c r="H2428" s="31">
        <v>10</v>
      </c>
      <c r="I2428" s="31">
        <v>10</v>
      </c>
      <c r="J2428" s="31" t="s">
        <v>9413</v>
      </c>
      <c r="K2428" s="31" t="s">
        <v>33</v>
      </c>
      <c r="L2428" s="31" t="s">
        <v>34</v>
      </c>
      <c r="M2428" s="31">
        <v>383</v>
      </c>
      <c r="N2428" s="31">
        <v>2024</v>
      </c>
      <c r="O2428" s="31">
        <v>424</v>
      </c>
      <c r="P2428" s="31"/>
      <c r="Q2428" s="31"/>
      <c r="R2428" s="33" t="s">
        <v>9414</v>
      </c>
      <c r="S2428" s="34" t="str">
        <f>HYPERLINK("http://www.cnpol.ru/covers/21231.jpg","фото на сайте")</f>
        <v>фото на сайте</v>
      </c>
    </row>
    <row r="2429" spans="1:19" ht="50.1" customHeight="1">
      <c r="A2429" s="31"/>
      <c r="B2429" s="32" t="s">
        <v>9415</v>
      </c>
      <c r="C2429" s="31" t="s">
        <v>302</v>
      </c>
      <c r="D2429" s="31" t="s">
        <v>9027</v>
      </c>
      <c r="E2429" s="31" t="s">
        <v>9416</v>
      </c>
      <c r="F2429" s="31" t="s">
        <v>31</v>
      </c>
      <c r="G2429" s="31">
        <v>917</v>
      </c>
      <c r="H2429" s="31">
        <v>10</v>
      </c>
      <c r="I2429" s="31">
        <v>16</v>
      </c>
      <c r="J2429" s="31" t="s">
        <v>9417</v>
      </c>
      <c r="K2429" s="31" t="s">
        <v>41</v>
      </c>
      <c r="L2429" s="31" t="s">
        <v>304</v>
      </c>
      <c r="M2429" s="31">
        <v>320</v>
      </c>
      <c r="N2429" s="31">
        <v>2018</v>
      </c>
      <c r="O2429" s="31">
        <v>418</v>
      </c>
      <c r="P2429" s="31"/>
      <c r="Q2429" s="31"/>
      <c r="R2429" s="33"/>
      <c r="S2429" s="34" t="str">
        <f>HYPERLINK("http://www.cnpol.ru/covers/17892.jpg","фото на сайте")</f>
        <v>фото на сайте</v>
      </c>
    </row>
    <row r="2430" spans="1:19" ht="50.1" customHeight="1">
      <c r="A2430" s="31"/>
      <c r="B2430" s="32" t="s">
        <v>9418</v>
      </c>
      <c r="C2430" s="31" t="s">
        <v>390</v>
      </c>
      <c r="D2430" s="31" t="s">
        <v>9419</v>
      </c>
      <c r="E2430" s="31" t="s">
        <v>9420</v>
      </c>
      <c r="F2430" s="31">
        <v>384</v>
      </c>
      <c r="G2430" s="31">
        <v>86</v>
      </c>
      <c r="H2430" s="31">
        <v>10</v>
      </c>
      <c r="I2430" s="31">
        <v>30</v>
      </c>
      <c r="J2430" s="31" t="s">
        <v>9421</v>
      </c>
      <c r="K2430" s="31" t="s">
        <v>123</v>
      </c>
      <c r="L2430" s="31" t="s">
        <v>56</v>
      </c>
      <c r="M2430" s="31">
        <v>158</v>
      </c>
      <c r="N2430" s="31">
        <v>2014</v>
      </c>
      <c r="O2430" s="31">
        <v>78</v>
      </c>
      <c r="P2430" s="31"/>
      <c r="Q2430" s="31"/>
      <c r="R2430" s="33"/>
      <c r="S2430" s="34" t="str">
        <f>HYPERLINK("http://www.cnpol.ru/covers/14886.jpg","фото на сайте")</f>
        <v>фото на сайте</v>
      </c>
    </row>
    <row r="2431" spans="1:19" ht="50.1" customHeight="1">
      <c r="A2431" s="31"/>
      <c r="B2431" s="32" t="s">
        <v>9422</v>
      </c>
      <c r="C2431" s="31" t="s">
        <v>1991</v>
      </c>
      <c r="D2431" s="31" t="s">
        <v>9423</v>
      </c>
      <c r="E2431" s="31" t="s">
        <v>9424</v>
      </c>
      <c r="F2431" s="31" t="s">
        <v>31</v>
      </c>
      <c r="G2431" s="35">
        <v>1058</v>
      </c>
      <c r="H2431" s="31">
        <v>10</v>
      </c>
      <c r="I2431" s="31">
        <v>10</v>
      </c>
      <c r="J2431" s="31" t="s">
        <v>9425</v>
      </c>
      <c r="K2431" s="31" t="s">
        <v>33</v>
      </c>
      <c r="L2431" s="31" t="s">
        <v>34</v>
      </c>
      <c r="M2431" s="31">
        <v>399</v>
      </c>
      <c r="N2431" s="31">
        <v>2021</v>
      </c>
      <c r="O2431" s="31">
        <v>472</v>
      </c>
      <c r="P2431" s="31"/>
      <c r="Q2431" s="31"/>
      <c r="R2431" s="33"/>
      <c r="S2431" s="34" t="str">
        <f>HYPERLINK("http://www.cnpol.ru/covers/19913.jpg","фото на сайте")</f>
        <v>фото на сайте</v>
      </c>
    </row>
    <row r="2432" spans="1:19" ht="50.1" customHeight="1">
      <c r="A2432" s="31"/>
      <c r="B2432" s="32" t="s">
        <v>9426</v>
      </c>
      <c r="C2432" s="31" t="s">
        <v>390</v>
      </c>
      <c r="D2432" s="31" t="s">
        <v>3507</v>
      </c>
      <c r="E2432" s="31" t="s">
        <v>9427</v>
      </c>
      <c r="F2432" s="31">
        <v>749</v>
      </c>
      <c r="G2432" s="31">
        <v>86</v>
      </c>
      <c r="H2432" s="31">
        <v>10</v>
      </c>
      <c r="I2432" s="31">
        <v>30</v>
      </c>
      <c r="J2432" s="31" t="s">
        <v>9428</v>
      </c>
      <c r="K2432" s="31" t="s">
        <v>123</v>
      </c>
      <c r="L2432" s="31" t="s">
        <v>56</v>
      </c>
      <c r="M2432" s="31">
        <v>160</v>
      </c>
      <c r="N2432" s="31">
        <v>2017</v>
      </c>
      <c r="O2432" s="31">
        <v>76</v>
      </c>
      <c r="P2432" s="31"/>
      <c r="Q2432" s="31"/>
      <c r="R2432" s="33"/>
      <c r="S2432" s="34" t="str">
        <f>HYPERLINK("http://www.cnpol.ru/covers/17669.jpg","фото на сайте")</f>
        <v>фото на сайте</v>
      </c>
    </row>
    <row r="2433" spans="1:19" ht="50.1" customHeight="1">
      <c r="A2433" s="31" t="s">
        <v>35</v>
      </c>
      <c r="B2433" s="32" t="s">
        <v>9429</v>
      </c>
      <c r="C2433" s="31" t="s">
        <v>143</v>
      </c>
      <c r="D2433" s="31" t="s">
        <v>9430</v>
      </c>
      <c r="E2433" s="31" t="s">
        <v>9431</v>
      </c>
      <c r="F2433" s="31" t="s">
        <v>31</v>
      </c>
      <c r="G2433" s="35">
        <v>1009</v>
      </c>
      <c r="H2433" s="31">
        <v>10</v>
      </c>
      <c r="I2433" s="31">
        <v>10</v>
      </c>
      <c r="J2433" s="31" t="s">
        <v>9432</v>
      </c>
      <c r="K2433" s="31" t="s">
        <v>33</v>
      </c>
      <c r="L2433" s="31" t="s">
        <v>34</v>
      </c>
      <c r="M2433" s="31">
        <v>367</v>
      </c>
      <c r="N2433" s="31">
        <v>2026</v>
      </c>
      <c r="O2433" s="31" t="s">
        <v>220</v>
      </c>
      <c r="P2433" s="31"/>
      <c r="Q2433" s="31"/>
      <c r="R2433" s="33" t="s">
        <v>9433</v>
      </c>
      <c r="S2433" s="34" t="str">
        <f>HYPERLINK("http://www.cnpol.ru/covers/21888.jpg","фото на сайте")</f>
        <v>фото на сайте</v>
      </c>
    </row>
    <row r="2434" spans="1:19" ht="50.1" customHeight="1">
      <c r="A2434" s="31" t="s">
        <v>35</v>
      </c>
      <c r="B2434" s="32" t="s">
        <v>9434</v>
      </c>
      <c r="C2434" s="31" t="s">
        <v>143</v>
      </c>
      <c r="D2434" s="31" t="s">
        <v>9435</v>
      </c>
      <c r="E2434" s="31" t="s">
        <v>9436</v>
      </c>
      <c r="F2434" s="31" t="s">
        <v>31</v>
      </c>
      <c r="G2434" s="35">
        <v>1174</v>
      </c>
      <c r="H2434" s="31">
        <v>10</v>
      </c>
      <c r="I2434" s="31">
        <v>3</v>
      </c>
      <c r="J2434" s="31" t="s">
        <v>9437</v>
      </c>
      <c r="K2434" s="31" t="s">
        <v>33</v>
      </c>
      <c r="L2434" s="31" t="s">
        <v>34</v>
      </c>
      <c r="M2434" s="31">
        <v>479</v>
      </c>
      <c r="N2434" s="31">
        <v>2025</v>
      </c>
      <c r="O2434" s="31" t="s">
        <v>220</v>
      </c>
      <c r="P2434" s="31"/>
      <c r="Q2434" s="31"/>
      <c r="R2434" s="33" t="s">
        <v>9438</v>
      </c>
      <c r="S2434" s="34" t="str">
        <f>HYPERLINK("http://www.cnpol.ru/covers/21851.jpg","фото на сайте")</f>
        <v>фото на сайте</v>
      </c>
    </row>
    <row r="2435" spans="1:19" ht="50.1" customHeight="1">
      <c r="A2435" s="31"/>
      <c r="B2435" s="32" t="s">
        <v>9439</v>
      </c>
      <c r="C2435" s="31" t="s">
        <v>390</v>
      </c>
      <c r="D2435" s="31" t="s">
        <v>1750</v>
      </c>
      <c r="E2435" s="31" t="s">
        <v>9440</v>
      </c>
      <c r="F2435" s="31">
        <v>839</v>
      </c>
      <c r="G2435" s="31">
        <v>86</v>
      </c>
      <c r="H2435" s="31">
        <v>10</v>
      </c>
      <c r="I2435" s="31">
        <v>30</v>
      </c>
      <c r="J2435" s="31" t="s">
        <v>9441</v>
      </c>
      <c r="K2435" s="31" t="s">
        <v>123</v>
      </c>
      <c r="L2435" s="31" t="s">
        <v>56</v>
      </c>
      <c r="M2435" s="31">
        <v>160</v>
      </c>
      <c r="N2435" s="31">
        <v>2018</v>
      </c>
      <c r="O2435" s="31">
        <v>76</v>
      </c>
      <c r="P2435" s="31"/>
      <c r="Q2435" s="31"/>
      <c r="R2435" s="33"/>
      <c r="S2435" s="34" t="str">
        <f>HYPERLINK("http://www.cnpol.ru/covers/18324.jpg","фото на сайте")</f>
        <v>фото на сайте</v>
      </c>
    </row>
    <row r="2436" spans="1:19" ht="50.1" customHeight="1">
      <c r="A2436" s="31"/>
      <c r="B2436" s="32" t="s">
        <v>9442</v>
      </c>
      <c r="C2436" s="31" t="s">
        <v>390</v>
      </c>
      <c r="D2436" s="31" t="s">
        <v>1599</v>
      </c>
      <c r="E2436" s="31" t="s">
        <v>9443</v>
      </c>
      <c r="F2436" s="31">
        <v>910</v>
      </c>
      <c r="G2436" s="31">
        <v>86</v>
      </c>
      <c r="H2436" s="31">
        <v>10</v>
      </c>
      <c r="I2436" s="31">
        <v>30</v>
      </c>
      <c r="J2436" s="31" t="s">
        <v>9444</v>
      </c>
      <c r="K2436" s="31" t="s">
        <v>123</v>
      </c>
      <c r="L2436" s="31" t="s">
        <v>56</v>
      </c>
      <c r="M2436" s="31">
        <v>160</v>
      </c>
      <c r="N2436" s="31">
        <v>2019</v>
      </c>
      <c r="O2436" s="31">
        <v>76</v>
      </c>
      <c r="P2436" s="31"/>
      <c r="Q2436" s="31"/>
      <c r="R2436" s="33"/>
      <c r="S2436" s="34" t="str">
        <f>HYPERLINK("http://www.cnpol.ru/covers/18773.jpg","фото на сайте")</f>
        <v>фото на сайте</v>
      </c>
    </row>
    <row r="2437" spans="1:19" ht="50.1" customHeight="1">
      <c r="A2437" s="31"/>
      <c r="B2437" s="32" t="s">
        <v>9445</v>
      </c>
      <c r="C2437" s="31" t="s">
        <v>390</v>
      </c>
      <c r="D2437" s="31" t="s">
        <v>2137</v>
      </c>
      <c r="E2437" s="31" t="s">
        <v>9446</v>
      </c>
      <c r="F2437" s="31">
        <v>685</v>
      </c>
      <c r="G2437" s="31">
        <v>86</v>
      </c>
      <c r="H2437" s="31">
        <v>10</v>
      </c>
      <c r="I2437" s="31">
        <v>30</v>
      </c>
      <c r="J2437" s="31" t="s">
        <v>9447</v>
      </c>
      <c r="K2437" s="31" t="s">
        <v>123</v>
      </c>
      <c r="L2437" s="31" t="s">
        <v>56</v>
      </c>
      <c r="M2437" s="31">
        <v>160</v>
      </c>
      <c r="N2437" s="31">
        <v>2017</v>
      </c>
      <c r="O2437" s="31">
        <v>76</v>
      </c>
      <c r="P2437" s="31"/>
      <c r="Q2437" s="31"/>
      <c r="R2437" s="33"/>
      <c r="S2437" s="34" t="str">
        <f>HYPERLINK("http://www.cnpol.ru/covers/17269.jpg","фото на сайте")</f>
        <v>фото на сайте</v>
      </c>
    </row>
    <row r="2438" spans="1:19" ht="50.1" customHeight="1">
      <c r="A2438" s="31"/>
      <c r="B2438" s="32" t="s">
        <v>9448</v>
      </c>
      <c r="C2438" s="31" t="s">
        <v>7044</v>
      </c>
      <c r="D2438" s="31" t="s">
        <v>7045</v>
      </c>
      <c r="E2438" s="31" t="s">
        <v>9449</v>
      </c>
      <c r="F2438" s="31">
        <v>3</v>
      </c>
      <c r="G2438" s="31">
        <v>486</v>
      </c>
      <c r="H2438" s="31">
        <v>10</v>
      </c>
      <c r="I2438" s="31">
        <v>20</v>
      </c>
      <c r="J2438" s="31" t="s">
        <v>9450</v>
      </c>
      <c r="K2438" s="31" t="s">
        <v>41</v>
      </c>
      <c r="L2438" s="31" t="s">
        <v>34</v>
      </c>
      <c r="M2438" s="31">
        <v>143</v>
      </c>
      <c r="N2438" s="31">
        <v>2021</v>
      </c>
      <c r="O2438" s="31">
        <v>180</v>
      </c>
      <c r="P2438" s="31"/>
      <c r="Q2438" s="31"/>
      <c r="R2438" s="33"/>
      <c r="S2438" s="34" t="str">
        <f>HYPERLINK("http://www.cnpol.ru/covers/19607.jpg","фото на сайте")</f>
        <v>фото на сайте</v>
      </c>
    </row>
    <row r="2439" spans="1:19" ht="50.1" customHeight="1">
      <c r="A2439" s="31"/>
      <c r="B2439" s="32" t="s">
        <v>9451</v>
      </c>
      <c r="C2439" s="31" t="s">
        <v>9452</v>
      </c>
      <c r="D2439" s="31" t="s">
        <v>4731</v>
      </c>
      <c r="E2439" s="31" t="s">
        <v>9453</v>
      </c>
      <c r="F2439" s="31" t="s">
        <v>31</v>
      </c>
      <c r="G2439" s="31">
        <v>243</v>
      </c>
      <c r="H2439" s="31">
        <v>10</v>
      </c>
      <c r="I2439" s="31">
        <v>24</v>
      </c>
      <c r="J2439" s="31" t="s">
        <v>9454</v>
      </c>
      <c r="K2439" s="31" t="s">
        <v>123</v>
      </c>
      <c r="L2439" s="31" t="s">
        <v>56</v>
      </c>
      <c r="M2439" s="31">
        <v>382</v>
      </c>
      <c r="N2439" s="31">
        <v>2011</v>
      </c>
      <c r="O2439" s="31">
        <v>176</v>
      </c>
      <c r="P2439" s="31"/>
      <c r="Q2439" s="31"/>
      <c r="R2439" s="33"/>
      <c r="S2439" s="34" t="str">
        <f>HYPERLINK("http://www.cnpol.ru/covers/12706.jpg","фото на сайте")</f>
        <v>фото на сайте</v>
      </c>
    </row>
    <row r="2440" spans="1:19" ht="50.1" customHeight="1">
      <c r="A2440" s="31"/>
      <c r="B2440" s="32" t="s">
        <v>9455</v>
      </c>
      <c r="C2440" s="31" t="s">
        <v>630</v>
      </c>
      <c r="D2440" s="31" t="s">
        <v>9456</v>
      </c>
      <c r="E2440" s="31" t="s">
        <v>9457</v>
      </c>
      <c r="F2440" s="31" t="s">
        <v>31</v>
      </c>
      <c r="G2440" s="31">
        <v>96</v>
      </c>
      <c r="H2440" s="31">
        <v>10</v>
      </c>
      <c r="I2440" s="31">
        <v>30</v>
      </c>
      <c r="J2440" s="31" t="s">
        <v>9458</v>
      </c>
      <c r="K2440" s="31" t="s">
        <v>130</v>
      </c>
      <c r="L2440" s="31" t="s">
        <v>56</v>
      </c>
      <c r="M2440" s="31">
        <v>159</v>
      </c>
      <c r="N2440" s="31">
        <v>2007</v>
      </c>
      <c r="O2440" s="31">
        <v>100</v>
      </c>
      <c r="P2440" s="31"/>
      <c r="Q2440" s="31"/>
      <c r="R2440" s="33"/>
      <c r="S2440" s="34" t="str">
        <f>HYPERLINK("http://www.cnpol.ru/covers/6452.jpg","фото на сайте")</f>
        <v>фото на сайте</v>
      </c>
    </row>
    <row r="2441" spans="1:19" ht="50.1" customHeight="1">
      <c r="A2441" s="31"/>
      <c r="B2441" s="32" t="s">
        <v>9459</v>
      </c>
      <c r="C2441" s="31" t="s">
        <v>390</v>
      </c>
      <c r="D2441" s="31" t="s">
        <v>9460</v>
      </c>
      <c r="E2441" s="31" t="s">
        <v>9461</v>
      </c>
      <c r="F2441" s="31">
        <v>576</v>
      </c>
      <c r="G2441" s="31">
        <v>86</v>
      </c>
      <c r="H2441" s="31">
        <v>10</v>
      </c>
      <c r="I2441" s="31">
        <v>30</v>
      </c>
      <c r="J2441" s="31" t="s">
        <v>9462</v>
      </c>
      <c r="K2441" s="31" t="s">
        <v>123</v>
      </c>
      <c r="L2441" s="31" t="s">
        <v>56</v>
      </c>
      <c r="M2441" s="31">
        <v>158</v>
      </c>
      <c r="N2441" s="31">
        <v>2016</v>
      </c>
      <c r="O2441" s="31">
        <v>76</v>
      </c>
      <c r="P2441" s="31"/>
      <c r="Q2441" s="31"/>
      <c r="R2441" s="33"/>
      <c r="S2441" s="34" t="str">
        <f>HYPERLINK("http://www.cnpol.ru/covers/16430.jpg","фото на сайте")</f>
        <v>фото на сайте</v>
      </c>
    </row>
    <row r="2442" spans="1:19" ht="50.1" customHeight="1">
      <c r="A2442" s="31"/>
      <c r="B2442" s="32" t="s">
        <v>9463</v>
      </c>
      <c r="C2442" s="31" t="s">
        <v>413</v>
      </c>
      <c r="D2442" s="31" t="s">
        <v>4374</v>
      </c>
      <c r="E2442" s="31" t="s">
        <v>9464</v>
      </c>
      <c r="F2442" s="31">
        <v>86</v>
      </c>
      <c r="G2442" s="31">
        <v>117</v>
      </c>
      <c r="H2442" s="31">
        <v>10</v>
      </c>
      <c r="I2442" s="31">
        <v>36</v>
      </c>
      <c r="J2442" s="31" t="s">
        <v>9465</v>
      </c>
      <c r="K2442" s="31" t="s">
        <v>123</v>
      </c>
      <c r="L2442" s="31" t="s">
        <v>56</v>
      </c>
      <c r="M2442" s="31">
        <v>192</v>
      </c>
      <c r="N2442" s="31">
        <v>2016</v>
      </c>
      <c r="O2442" s="31">
        <v>90</v>
      </c>
      <c r="P2442" s="31"/>
      <c r="Q2442" s="31"/>
      <c r="R2442" s="33"/>
      <c r="S2442" s="34" t="str">
        <f>HYPERLINK("http://www.cnpol.ru/covers/16470.jpg","фото на сайте")</f>
        <v>фото на сайте</v>
      </c>
    </row>
    <row r="2443" spans="1:19" ht="50.1" customHeight="1">
      <c r="A2443" s="31"/>
      <c r="B2443" s="32" t="s">
        <v>9466</v>
      </c>
      <c r="C2443" s="31" t="s">
        <v>576</v>
      </c>
      <c r="D2443" s="31" t="s">
        <v>577</v>
      </c>
      <c r="E2443" s="31" t="s">
        <v>9467</v>
      </c>
      <c r="F2443" s="31" t="s">
        <v>31</v>
      </c>
      <c r="G2443" s="31">
        <v>226</v>
      </c>
      <c r="H2443" s="31">
        <v>10</v>
      </c>
      <c r="I2443" s="31">
        <v>32</v>
      </c>
      <c r="J2443" s="31" t="s">
        <v>9468</v>
      </c>
      <c r="K2443" s="31" t="s">
        <v>123</v>
      </c>
      <c r="L2443" s="31" t="s">
        <v>56</v>
      </c>
      <c r="M2443" s="31">
        <v>224</v>
      </c>
      <c r="N2443" s="31">
        <v>2019</v>
      </c>
      <c r="O2443" s="31">
        <v>108</v>
      </c>
      <c r="P2443" s="31"/>
      <c r="Q2443" s="31"/>
      <c r="R2443" s="33"/>
      <c r="S2443" s="34" t="str">
        <f>HYPERLINK("http://www.cnpol.ru/covers/18716.jpg","фото на сайте")</f>
        <v>фото на сайте</v>
      </c>
    </row>
    <row r="2444" spans="1:19" ht="50.1" customHeight="1">
      <c r="A2444" s="31"/>
      <c r="B2444" s="32" t="s">
        <v>9469</v>
      </c>
      <c r="C2444" s="31" t="s">
        <v>9470</v>
      </c>
      <c r="D2444" s="31" t="s">
        <v>9471</v>
      </c>
      <c r="E2444" s="31" t="s">
        <v>9472</v>
      </c>
      <c r="F2444" s="31" t="s">
        <v>31</v>
      </c>
      <c r="G2444" s="31">
        <v>128</v>
      </c>
      <c r="H2444" s="31">
        <v>10</v>
      </c>
      <c r="I2444" s="31">
        <v>28</v>
      </c>
      <c r="J2444" s="31" t="s">
        <v>9473</v>
      </c>
      <c r="K2444" s="31" t="s">
        <v>55</v>
      </c>
      <c r="L2444" s="31" t="s">
        <v>56</v>
      </c>
      <c r="M2444" s="31">
        <v>318</v>
      </c>
      <c r="N2444" s="31">
        <v>2011</v>
      </c>
      <c r="O2444" s="31">
        <v>134</v>
      </c>
      <c r="P2444" s="31"/>
      <c r="Q2444" s="31"/>
      <c r="R2444" s="33"/>
      <c r="S2444" s="34" t="str">
        <f>HYPERLINK("http://www.cnpol.ru/covers/12922.jpg","фото на сайте")</f>
        <v>фото на сайте</v>
      </c>
    </row>
    <row r="2445" spans="1:19" ht="50.1" customHeight="1">
      <c r="A2445" s="31"/>
      <c r="B2445" s="32" t="s">
        <v>9474</v>
      </c>
      <c r="C2445" s="31" t="s">
        <v>520</v>
      </c>
      <c r="D2445" s="31" t="s">
        <v>9475</v>
      </c>
      <c r="E2445" s="31" t="s">
        <v>9476</v>
      </c>
      <c r="F2445" s="31">
        <v>92</v>
      </c>
      <c r="G2445" s="31">
        <v>117</v>
      </c>
      <c r="H2445" s="31">
        <v>10</v>
      </c>
      <c r="I2445" s="31">
        <v>24</v>
      </c>
      <c r="J2445" s="31" t="s">
        <v>9477</v>
      </c>
      <c r="K2445" s="31" t="s">
        <v>123</v>
      </c>
      <c r="L2445" s="31" t="s">
        <v>56</v>
      </c>
      <c r="M2445" s="31">
        <v>191</v>
      </c>
      <c r="N2445" s="31">
        <v>2023</v>
      </c>
      <c r="O2445" s="31">
        <v>79</v>
      </c>
      <c r="P2445" s="31"/>
      <c r="Q2445" s="31"/>
      <c r="R2445" s="33" t="s">
        <v>9478</v>
      </c>
      <c r="S2445" s="34" t="str">
        <f>HYPERLINK("http://www.cnpol.ru/covers/20720.jpg","фото на сайте")</f>
        <v>фото на сайте</v>
      </c>
    </row>
    <row r="2446" spans="1:19" ht="50.1" customHeight="1">
      <c r="A2446" s="31"/>
      <c r="B2446" s="32" t="s">
        <v>9479</v>
      </c>
      <c r="C2446" s="31" t="s">
        <v>423</v>
      </c>
      <c r="D2446" s="31" t="s">
        <v>1595</v>
      </c>
      <c r="E2446" s="31" t="s">
        <v>9480</v>
      </c>
      <c r="F2446" s="31" t="s">
        <v>31</v>
      </c>
      <c r="G2446" s="31">
        <v>154</v>
      </c>
      <c r="H2446" s="31">
        <v>10</v>
      </c>
      <c r="I2446" s="31">
        <v>20</v>
      </c>
      <c r="J2446" s="31" t="s">
        <v>9481</v>
      </c>
      <c r="K2446" s="31" t="s">
        <v>55</v>
      </c>
      <c r="L2446" s="31" t="s">
        <v>56</v>
      </c>
      <c r="M2446" s="31">
        <v>253</v>
      </c>
      <c r="N2446" s="31">
        <v>2013</v>
      </c>
      <c r="O2446" s="31">
        <v>98</v>
      </c>
      <c r="P2446" s="31"/>
      <c r="Q2446" s="31"/>
      <c r="R2446" s="33"/>
      <c r="S2446" s="34" t="str">
        <f>HYPERLINK("http://www.cnpol.ru/covers/14487.jpg","фото на сайте")</f>
        <v>фото на сайте</v>
      </c>
    </row>
    <row r="2447" spans="1:19" ht="50.1" customHeight="1">
      <c r="A2447" s="31" t="s">
        <v>43</v>
      </c>
      <c r="B2447" s="32" t="s">
        <v>9482</v>
      </c>
      <c r="C2447" s="31" t="s">
        <v>45</v>
      </c>
      <c r="D2447" s="31" t="s">
        <v>1212</v>
      </c>
      <c r="E2447" s="31" t="s">
        <v>9483</v>
      </c>
      <c r="F2447" s="31" t="s">
        <v>31</v>
      </c>
      <c r="G2447" s="35">
        <v>1046</v>
      </c>
      <c r="H2447" s="31">
        <v>10</v>
      </c>
      <c r="I2447" s="31">
        <v>5</v>
      </c>
      <c r="J2447" s="31" t="s">
        <v>9484</v>
      </c>
      <c r="K2447" s="31" t="s">
        <v>33</v>
      </c>
      <c r="L2447" s="31" t="s">
        <v>34</v>
      </c>
      <c r="M2447" s="31">
        <v>399</v>
      </c>
      <c r="N2447" s="31">
        <v>2025</v>
      </c>
      <c r="O2447" s="31" t="s">
        <v>220</v>
      </c>
      <c r="P2447" s="31"/>
      <c r="Q2447" s="31"/>
      <c r="R2447" s="33" t="s">
        <v>9485</v>
      </c>
      <c r="S2447" s="34" t="str">
        <f>HYPERLINK("http://www.cnpol.ru/covers/21846.jpg","фото на сайте")</f>
        <v>фото на сайте</v>
      </c>
    </row>
    <row r="2448" spans="1:19" ht="50.1" customHeight="1">
      <c r="A2448" s="31"/>
      <c r="B2448" s="32" t="s">
        <v>9486</v>
      </c>
      <c r="C2448" s="31" t="s">
        <v>390</v>
      </c>
      <c r="D2448" s="31" t="s">
        <v>9487</v>
      </c>
      <c r="E2448" s="31" t="s">
        <v>9488</v>
      </c>
      <c r="F2448" s="31">
        <v>1068</v>
      </c>
      <c r="G2448" s="31">
        <v>86</v>
      </c>
      <c r="H2448" s="31">
        <v>10</v>
      </c>
      <c r="I2448" s="31">
        <v>30</v>
      </c>
      <c r="J2448" s="31" t="s">
        <v>9489</v>
      </c>
      <c r="K2448" s="31" t="s">
        <v>123</v>
      </c>
      <c r="L2448" s="31" t="s">
        <v>56</v>
      </c>
      <c r="M2448" s="31">
        <v>159</v>
      </c>
      <c r="N2448" s="31">
        <v>2021</v>
      </c>
      <c r="O2448" s="31">
        <v>76</v>
      </c>
      <c r="P2448" s="31"/>
      <c r="Q2448" s="31"/>
      <c r="R2448" s="33"/>
      <c r="S2448" s="34" t="str">
        <f>HYPERLINK("http://www.cnpol.ru/covers/19948.jpg","фото на сайте")</f>
        <v>фото на сайте</v>
      </c>
    </row>
    <row r="2449" spans="1:19" ht="50.1" customHeight="1">
      <c r="A2449" s="31" t="s">
        <v>43</v>
      </c>
      <c r="B2449" s="32" t="s">
        <v>9490</v>
      </c>
      <c r="C2449" s="31" t="s">
        <v>688</v>
      </c>
      <c r="D2449" s="31" t="s">
        <v>9491</v>
      </c>
      <c r="E2449" s="31" t="s">
        <v>9492</v>
      </c>
      <c r="F2449" s="31" t="s">
        <v>31</v>
      </c>
      <c r="G2449" s="35">
        <v>1185</v>
      </c>
      <c r="H2449" s="31">
        <v>10</v>
      </c>
      <c r="I2449" s="31">
        <v>8</v>
      </c>
      <c r="J2449" s="31" t="s">
        <v>9493</v>
      </c>
      <c r="K2449" s="31" t="s">
        <v>33</v>
      </c>
      <c r="L2449" s="31" t="s">
        <v>34</v>
      </c>
      <c r="M2449" s="31">
        <v>479</v>
      </c>
      <c r="N2449" s="31">
        <v>2025</v>
      </c>
      <c r="O2449" s="31" t="s">
        <v>220</v>
      </c>
      <c r="P2449" s="31"/>
      <c r="Q2449" s="31"/>
      <c r="R2449" s="33" t="s">
        <v>9494</v>
      </c>
      <c r="S2449" s="34" t="str">
        <f>HYPERLINK("http://www.cnpol.ru/covers/21403.jpg","фото на сайте")</f>
        <v>фото на сайте</v>
      </c>
    </row>
    <row r="2450" spans="1:19" ht="50.1" customHeight="1">
      <c r="A2450" s="31"/>
      <c r="B2450" s="32" t="s">
        <v>9495</v>
      </c>
      <c r="C2450" s="31" t="s">
        <v>37</v>
      </c>
      <c r="D2450" s="31" t="s">
        <v>1060</v>
      </c>
      <c r="E2450" s="31" t="s">
        <v>9496</v>
      </c>
      <c r="F2450" s="31" t="s">
        <v>31</v>
      </c>
      <c r="G2450" s="31">
        <v>539</v>
      </c>
      <c r="H2450" s="31">
        <v>10</v>
      </c>
      <c r="I2450" s="31">
        <v>10</v>
      </c>
      <c r="J2450" s="31" t="s">
        <v>9497</v>
      </c>
      <c r="K2450" s="31" t="s">
        <v>33</v>
      </c>
      <c r="L2450" s="31" t="s">
        <v>34</v>
      </c>
      <c r="M2450" s="31">
        <v>352</v>
      </c>
      <c r="N2450" s="31">
        <v>2020</v>
      </c>
      <c r="O2450" s="31">
        <v>280</v>
      </c>
      <c r="P2450" s="31"/>
      <c r="Q2450" s="31"/>
      <c r="R2450" s="33"/>
      <c r="S2450" s="34" t="str">
        <f>HYPERLINK("http://www.cnpol.ru/covers/19331.jpg","фото на сайте")</f>
        <v>фото на сайте</v>
      </c>
    </row>
    <row r="2451" spans="1:19" ht="50.1" customHeight="1">
      <c r="A2451" s="31"/>
      <c r="B2451" s="32" t="s">
        <v>9498</v>
      </c>
      <c r="C2451" s="31" t="s">
        <v>9499</v>
      </c>
      <c r="D2451" s="31" t="s">
        <v>9500</v>
      </c>
      <c r="E2451" s="31" t="s">
        <v>9501</v>
      </c>
      <c r="F2451" s="31" t="s">
        <v>31</v>
      </c>
      <c r="G2451" s="31">
        <v>105</v>
      </c>
      <c r="H2451" s="31">
        <v>10</v>
      </c>
      <c r="I2451" s="31">
        <v>24</v>
      </c>
      <c r="J2451" s="31" t="s">
        <v>9502</v>
      </c>
      <c r="K2451" s="31" t="s">
        <v>55</v>
      </c>
      <c r="L2451" s="31" t="s">
        <v>56</v>
      </c>
      <c r="M2451" s="31">
        <v>255</v>
      </c>
      <c r="N2451" s="31">
        <v>2004</v>
      </c>
      <c r="O2451" s="31">
        <v>106</v>
      </c>
      <c r="P2451" s="31"/>
      <c r="Q2451" s="31"/>
      <c r="R2451" s="33"/>
      <c r="S2451" s="34" t="str">
        <f>HYPERLINK("http://www.cnpol.ru/covers/5114.jpg","фото на сайте")</f>
        <v>фото на сайте</v>
      </c>
    </row>
    <row r="2452" spans="1:19" ht="50.1" customHeight="1">
      <c r="A2452" s="31"/>
      <c r="B2452" s="32" t="s">
        <v>9503</v>
      </c>
      <c r="C2452" s="31" t="s">
        <v>37</v>
      </c>
      <c r="D2452" s="31" t="s">
        <v>9504</v>
      </c>
      <c r="E2452" s="31" t="s">
        <v>9505</v>
      </c>
      <c r="F2452" s="31" t="s">
        <v>31</v>
      </c>
      <c r="G2452" s="31">
        <v>611</v>
      </c>
      <c r="H2452" s="31">
        <v>10</v>
      </c>
      <c r="I2452" s="31">
        <v>16</v>
      </c>
      <c r="J2452" s="31" t="s">
        <v>9506</v>
      </c>
      <c r="K2452" s="31" t="s">
        <v>33</v>
      </c>
      <c r="L2452" s="31" t="s">
        <v>34</v>
      </c>
      <c r="M2452" s="31">
        <v>319</v>
      </c>
      <c r="N2452" s="31">
        <v>2023</v>
      </c>
      <c r="O2452" s="31">
        <v>270</v>
      </c>
      <c r="P2452" s="31"/>
      <c r="Q2452" s="31"/>
      <c r="R2452" s="33" t="s">
        <v>9507</v>
      </c>
      <c r="S2452" s="34" t="str">
        <f>HYPERLINK("http://www.cnpol.ru/covers/20559.jpg","фото на сайте")</f>
        <v>фото на сайте</v>
      </c>
    </row>
    <row r="2453" spans="1:19" ht="50.1" customHeight="1">
      <c r="A2453" s="31"/>
      <c r="B2453" s="32" t="s">
        <v>9508</v>
      </c>
      <c r="C2453" s="31" t="s">
        <v>390</v>
      </c>
      <c r="D2453" s="31" t="s">
        <v>1356</v>
      </c>
      <c r="E2453" s="31" t="s">
        <v>9509</v>
      </c>
      <c r="F2453" s="31">
        <v>834</v>
      </c>
      <c r="G2453" s="31">
        <v>86</v>
      </c>
      <c r="H2453" s="31">
        <v>10</v>
      </c>
      <c r="I2453" s="31">
        <v>30</v>
      </c>
      <c r="J2453" s="31" t="s">
        <v>9510</v>
      </c>
      <c r="K2453" s="31" t="s">
        <v>123</v>
      </c>
      <c r="L2453" s="31" t="s">
        <v>56</v>
      </c>
      <c r="M2453" s="31">
        <v>160</v>
      </c>
      <c r="N2453" s="31">
        <v>2018</v>
      </c>
      <c r="O2453" s="31">
        <v>76</v>
      </c>
      <c r="P2453" s="31"/>
      <c r="Q2453" s="31"/>
      <c r="R2453" s="33"/>
      <c r="S2453" s="34" t="str">
        <f>HYPERLINK("http://www.cnpol.ru/covers/18297.jpg","фото на сайте")</f>
        <v>фото на сайте</v>
      </c>
    </row>
    <row r="2454" spans="1:19" ht="50.1" customHeight="1">
      <c r="A2454" s="31"/>
      <c r="B2454" s="32" t="s">
        <v>9511</v>
      </c>
      <c r="C2454" s="31" t="s">
        <v>854</v>
      </c>
      <c r="D2454" s="31" t="s">
        <v>4578</v>
      </c>
      <c r="E2454" s="31" t="s">
        <v>9512</v>
      </c>
      <c r="F2454" s="31" t="s">
        <v>31</v>
      </c>
      <c r="G2454" s="31">
        <v>112</v>
      </c>
      <c r="H2454" s="31">
        <v>10</v>
      </c>
      <c r="I2454" s="31">
        <v>24</v>
      </c>
      <c r="J2454" s="31" t="s">
        <v>9513</v>
      </c>
      <c r="K2454" s="31" t="s">
        <v>55</v>
      </c>
      <c r="L2454" s="31" t="s">
        <v>56</v>
      </c>
      <c r="M2454" s="31">
        <v>366</v>
      </c>
      <c r="N2454" s="31">
        <v>2008</v>
      </c>
      <c r="O2454" s="31">
        <v>146</v>
      </c>
      <c r="P2454" s="31"/>
      <c r="Q2454" s="31"/>
      <c r="R2454" s="33"/>
      <c r="S2454" s="34" t="str">
        <f>HYPERLINK("http://www.cnpol.ru/covers/7957.jpg","фото на сайте")</f>
        <v>фото на сайте</v>
      </c>
    </row>
    <row r="2455" spans="1:19" ht="50.1" customHeight="1">
      <c r="A2455" s="31"/>
      <c r="B2455" s="32" t="s">
        <v>9514</v>
      </c>
      <c r="C2455" s="31" t="s">
        <v>546</v>
      </c>
      <c r="D2455" s="31" t="s">
        <v>1292</v>
      </c>
      <c r="E2455" s="31" t="s">
        <v>9515</v>
      </c>
      <c r="F2455" s="31">
        <v>129</v>
      </c>
      <c r="G2455" s="31">
        <v>93</v>
      </c>
      <c r="H2455" s="31">
        <v>10</v>
      </c>
      <c r="I2455" s="31">
        <v>30</v>
      </c>
      <c r="J2455" s="31" t="s">
        <v>9516</v>
      </c>
      <c r="K2455" s="31" t="s">
        <v>123</v>
      </c>
      <c r="L2455" s="31" t="s">
        <v>56</v>
      </c>
      <c r="M2455" s="31">
        <v>158</v>
      </c>
      <c r="N2455" s="31">
        <v>2015</v>
      </c>
      <c r="O2455" s="31">
        <v>76</v>
      </c>
      <c r="P2455" s="31"/>
      <c r="Q2455" s="31"/>
      <c r="R2455" s="33"/>
      <c r="S2455" s="34" t="str">
        <f>HYPERLINK("http://www.cnpol.ru/covers/16147.jpg","фото на сайте")</f>
        <v>фото на сайте</v>
      </c>
    </row>
    <row r="2456" spans="1:19" ht="50.1" customHeight="1">
      <c r="A2456" s="31"/>
      <c r="B2456" s="32" t="s">
        <v>9517</v>
      </c>
      <c r="C2456" s="31" t="s">
        <v>390</v>
      </c>
      <c r="D2456" s="31" t="s">
        <v>1520</v>
      </c>
      <c r="E2456" s="31" t="s">
        <v>9518</v>
      </c>
      <c r="F2456" s="31">
        <v>990</v>
      </c>
      <c r="G2456" s="31">
        <v>86</v>
      </c>
      <c r="H2456" s="31">
        <v>10</v>
      </c>
      <c r="I2456" s="31">
        <v>30</v>
      </c>
      <c r="J2456" s="31" t="s">
        <v>9519</v>
      </c>
      <c r="K2456" s="31" t="s">
        <v>123</v>
      </c>
      <c r="L2456" s="31" t="s">
        <v>56</v>
      </c>
      <c r="M2456" s="31">
        <v>160</v>
      </c>
      <c r="N2456" s="31">
        <v>2020</v>
      </c>
      <c r="O2456" s="31">
        <v>76</v>
      </c>
      <c r="P2456" s="31"/>
      <c r="Q2456" s="31"/>
      <c r="R2456" s="33"/>
      <c r="S2456" s="34" t="str">
        <f>HYPERLINK("http://www.cnpol.ru/covers/19291.jpg","фото на сайте")</f>
        <v>фото на сайте</v>
      </c>
    </row>
    <row r="2457" spans="1:19" ht="50.1" customHeight="1">
      <c r="A2457" s="31"/>
      <c r="B2457" s="32" t="s">
        <v>9520</v>
      </c>
      <c r="C2457" s="31" t="s">
        <v>400</v>
      </c>
      <c r="D2457" s="31" t="s">
        <v>9521</v>
      </c>
      <c r="E2457" s="31" t="s">
        <v>9522</v>
      </c>
      <c r="F2457" s="31" t="s">
        <v>31</v>
      </c>
      <c r="G2457" s="31">
        <v>503</v>
      </c>
      <c r="H2457" s="31">
        <v>10</v>
      </c>
      <c r="I2457" s="31">
        <v>14</v>
      </c>
      <c r="J2457" s="31" t="s">
        <v>9523</v>
      </c>
      <c r="K2457" s="31" t="s">
        <v>33</v>
      </c>
      <c r="L2457" s="31" t="s">
        <v>34</v>
      </c>
      <c r="M2457" s="31">
        <v>288</v>
      </c>
      <c r="N2457" s="31">
        <v>2019</v>
      </c>
      <c r="O2457" s="31">
        <v>254</v>
      </c>
      <c r="P2457" s="31"/>
      <c r="Q2457" s="31"/>
      <c r="R2457" s="33"/>
      <c r="S2457" s="34" t="str">
        <f>HYPERLINK("http://www.cnpol.ru/covers/18762.jpg","фото на сайте")</f>
        <v>фото на сайте</v>
      </c>
    </row>
    <row r="2458" spans="1:19" ht="50.1" customHeight="1">
      <c r="A2458" s="31"/>
      <c r="B2458" s="32" t="s">
        <v>9524</v>
      </c>
      <c r="C2458" s="31" t="s">
        <v>9525</v>
      </c>
      <c r="D2458" s="31" t="s">
        <v>9526</v>
      </c>
      <c r="E2458" s="31" t="s">
        <v>9527</v>
      </c>
      <c r="F2458" s="31" t="s">
        <v>31</v>
      </c>
      <c r="G2458" s="31">
        <v>325</v>
      </c>
      <c r="H2458" s="31">
        <v>10</v>
      </c>
      <c r="I2458" s="31">
        <v>16</v>
      </c>
      <c r="J2458" s="31" t="s">
        <v>9528</v>
      </c>
      <c r="K2458" s="31" t="s">
        <v>739</v>
      </c>
      <c r="L2458" s="31" t="s">
        <v>34</v>
      </c>
      <c r="M2458" s="31">
        <v>340</v>
      </c>
      <c r="N2458" s="31">
        <v>2003</v>
      </c>
      <c r="O2458" s="31">
        <v>164</v>
      </c>
      <c r="P2458" s="31"/>
      <c r="Q2458" s="31"/>
      <c r="R2458" s="33"/>
      <c r="S2458" s="34" t="str">
        <f>HYPERLINK("http://www.cnpol.ru/covers/3697.jpg","фото на сайте")</f>
        <v>фото на сайте</v>
      </c>
    </row>
    <row r="2459" spans="1:19" ht="50.1" customHeight="1">
      <c r="A2459" s="31"/>
      <c r="B2459" s="32" t="s">
        <v>9529</v>
      </c>
      <c r="C2459" s="31" t="s">
        <v>37</v>
      </c>
      <c r="D2459" s="31" t="s">
        <v>3103</v>
      </c>
      <c r="E2459" s="31" t="s">
        <v>9530</v>
      </c>
      <c r="F2459" s="31" t="s">
        <v>31</v>
      </c>
      <c r="G2459" s="31">
        <v>693</v>
      </c>
      <c r="H2459" s="31">
        <v>10</v>
      </c>
      <c r="I2459" s="31">
        <v>16</v>
      </c>
      <c r="J2459" s="31" t="s">
        <v>9531</v>
      </c>
      <c r="K2459" s="31" t="s">
        <v>41</v>
      </c>
      <c r="L2459" s="31" t="s">
        <v>34</v>
      </c>
      <c r="M2459" s="31">
        <v>224</v>
      </c>
      <c r="N2459" s="31">
        <v>2016</v>
      </c>
      <c r="O2459" s="31">
        <v>324</v>
      </c>
      <c r="P2459" s="31"/>
      <c r="Q2459" s="31"/>
      <c r="R2459" s="33"/>
      <c r="S2459" s="34" t="str">
        <f>HYPERLINK("http://www.cnpol.ru/covers/16738.jpg","фото на сайте")</f>
        <v>фото на сайте</v>
      </c>
    </row>
    <row r="2460" spans="1:19" ht="50.1" customHeight="1">
      <c r="A2460" s="31"/>
      <c r="B2460" s="32" t="s">
        <v>9532</v>
      </c>
      <c r="C2460" s="31" t="s">
        <v>479</v>
      </c>
      <c r="D2460" s="31" t="s">
        <v>9533</v>
      </c>
      <c r="E2460" s="31" t="s">
        <v>9534</v>
      </c>
      <c r="F2460" s="31" t="s">
        <v>31</v>
      </c>
      <c r="G2460" s="31">
        <v>559</v>
      </c>
      <c r="H2460" s="31">
        <v>10</v>
      </c>
      <c r="I2460" s="31">
        <v>20</v>
      </c>
      <c r="J2460" s="31" t="s">
        <v>9535</v>
      </c>
      <c r="K2460" s="31" t="s">
        <v>158</v>
      </c>
      <c r="L2460" s="31" t="s">
        <v>34</v>
      </c>
      <c r="M2460" s="31">
        <v>192</v>
      </c>
      <c r="N2460" s="31">
        <v>2016</v>
      </c>
      <c r="O2460" s="31">
        <v>250</v>
      </c>
      <c r="P2460" s="31"/>
      <c r="Q2460" s="31"/>
      <c r="R2460" s="33"/>
      <c r="S2460" s="34" t="str">
        <f>HYPERLINK("http://www.cnpol.ru/covers/17077.jpg","фото на сайте")</f>
        <v>фото на сайте</v>
      </c>
    </row>
    <row r="2461" spans="1:19" ht="50.1" customHeight="1">
      <c r="A2461" s="31"/>
      <c r="B2461" s="32" t="s">
        <v>9536</v>
      </c>
      <c r="C2461" s="31" t="s">
        <v>8066</v>
      </c>
      <c r="D2461" s="31" t="s">
        <v>9537</v>
      </c>
      <c r="E2461" s="31" t="s">
        <v>9538</v>
      </c>
      <c r="F2461" s="31" t="s">
        <v>31</v>
      </c>
      <c r="G2461" s="31">
        <v>503</v>
      </c>
      <c r="H2461" s="31">
        <v>10</v>
      </c>
      <c r="I2461" s="31">
        <v>20</v>
      </c>
      <c r="J2461" s="31" t="s">
        <v>9539</v>
      </c>
      <c r="K2461" s="31" t="s">
        <v>194</v>
      </c>
      <c r="L2461" s="31" t="s">
        <v>34</v>
      </c>
      <c r="M2461" s="31">
        <v>160</v>
      </c>
      <c r="N2461" s="31">
        <v>2017</v>
      </c>
      <c r="O2461" s="31">
        <v>181</v>
      </c>
      <c r="P2461" s="31"/>
      <c r="Q2461" s="31"/>
      <c r="R2461" s="33"/>
      <c r="S2461" s="34" t="str">
        <f>HYPERLINK("http://www.cnpol.ru/covers/17888.jpg","фото на сайте")</f>
        <v>фото на сайте</v>
      </c>
    </row>
    <row r="2462" spans="1:19" ht="50.1" customHeight="1">
      <c r="A2462" s="31"/>
      <c r="B2462" s="32" t="s">
        <v>9540</v>
      </c>
      <c r="C2462" s="31" t="s">
        <v>589</v>
      </c>
      <c r="D2462" s="31" t="s">
        <v>590</v>
      </c>
      <c r="E2462" s="31" t="s">
        <v>9541</v>
      </c>
      <c r="F2462" s="31" t="s">
        <v>31</v>
      </c>
      <c r="G2462" s="31">
        <v>258</v>
      </c>
      <c r="H2462" s="31">
        <v>10</v>
      </c>
      <c r="I2462" s="31">
        <v>16</v>
      </c>
      <c r="J2462" s="31" t="s">
        <v>9542</v>
      </c>
      <c r="K2462" s="31" t="s">
        <v>130</v>
      </c>
      <c r="L2462" s="31" t="s">
        <v>56</v>
      </c>
      <c r="M2462" s="31">
        <v>256</v>
      </c>
      <c r="N2462" s="31">
        <v>2018</v>
      </c>
      <c r="O2462" s="31">
        <v>164</v>
      </c>
      <c r="P2462" s="31"/>
      <c r="Q2462" s="31"/>
      <c r="R2462" s="33"/>
      <c r="S2462" s="34" t="str">
        <f>HYPERLINK("http://www.cnpol.ru/covers/18350.jpg","фото на сайте")</f>
        <v>фото на сайте</v>
      </c>
    </row>
    <row r="2463" spans="1:19" ht="50.1" customHeight="1">
      <c r="A2463" s="31"/>
      <c r="B2463" s="32" t="s">
        <v>9543</v>
      </c>
      <c r="C2463" s="31" t="s">
        <v>385</v>
      </c>
      <c r="D2463" s="31" t="s">
        <v>386</v>
      </c>
      <c r="E2463" s="31" t="s">
        <v>9544</v>
      </c>
      <c r="F2463" s="31" t="s">
        <v>31</v>
      </c>
      <c r="G2463" s="31">
        <v>162</v>
      </c>
      <c r="H2463" s="31">
        <v>10</v>
      </c>
      <c r="I2463" s="31">
        <v>32</v>
      </c>
      <c r="J2463" s="31" t="s">
        <v>9545</v>
      </c>
      <c r="K2463" s="31" t="s">
        <v>55</v>
      </c>
      <c r="L2463" s="31" t="s">
        <v>56</v>
      </c>
      <c r="M2463" s="31">
        <v>256</v>
      </c>
      <c r="N2463" s="31">
        <v>2016</v>
      </c>
      <c r="O2463" s="31">
        <v>102</v>
      </c>
      <c r="P2463" s="31"/>
      <c r="Q2463" s="31"/>
      <c r="R2463" s="33"/>
      <c r="S2463" s="34" t="str">
        <f>HYPERLINK("http://www.cnpol.ru/covers/0183.jpg","фото на сайте")</f>
        <v>фото на сайте</v>
      </c>
    </row>
    <row r="2464" spans="1:19" ht="50.1" customHeight="1">
      <c r="A2464" s="31"/>
      <c r="B2464" s="32" t="s">
        <v>9546</v>
      </c>
      <c r="C2464" s="31" t="s">
        <v>5849</v>
      </c>
      <c r="D2464" s="31" t="s">
        <v>386</v>
      </c>
      <c r="E2464" s="31" t="s">
        <v>9547</v>
      </c>
      <c r="F2464" s="31" t="s">
        <v>31</v>
      </c>
      <c r="G2464" s="31">
        <v>96</v>
      </c>
      <c r="H2464" s="31">
        <v>10</v>
      </c>
      <c r="I2464" s="31">
        <v>32</v>
      </c>
      <c r="J2464" s="31" t="s">
        <v>9548</v>
      </c>
      <c r="K2464" s="31" t="s">
        <v>55</v>
      </c>
      <c r="L2464" s="31" t="s">
        <v>56</v>
      </c>
      <c r="M2464" s="31">
        <v>255</v>
      </c>
      <c r="N2464" s="31">
        <v>2008</v>
      </c>
      <c r="O2464" s="31">
        <v>110</v>
      </c>
      <c r="P2464" s="31"/>
      <c r="Q2464" s="31"/>
      <c r="R2464" s="33"/>
      <c r="S2464" s="34" t="str">
        <f>HYPERLINK("http://www.cnpol.ru/covers/10486.jpg","фото на сайте")</f>
        <v>фото на сайте</v>
      </c>
    </row>
    <row r="2465" spans="1:19" ht="50.1" customHeight="1">
      <c r="A2465" s="31" t="s">
        <v>43</v>
      </c>
      <c r="B2465" s="32" t="s">
        <v>9549</v>
      </c>
      <c r="C2465" s="31" t="s">
        <v>37</v>
      </c>
      <c r="D2465" s="31" t="s">
        <v>1504</v>
      </c>
      <c r="E2465" s="31" t="s">
        <v>9550</v>
      </c>
      <c r="F2465" s="31" t="s">
        <v>31</v>
      </c>
      <c r="G2465" s="31">
        <v>640</v>
      </c>
      <c r="H2465" s="31">
        <v>10</v>
      </c>
      <c r="I2465" s="31">
        <v>8</v>
      </c>
      <c r="J2465" s="31" t="s">
        <v>9551</v>
      </c>
      <c r="K2465" s="31" t="s">
        <v>33</v>
      </c>
      <c r="L2465" s="31" t="s">
        <v>34</v>
      </c>
      <c r="M2465" s="31">
        <v>543</v>
      </c>
      <c r="N2465" s="31">
        <v>2025</v>
      </c>
      <c r="O2465" s="31" t="s">
        <v>220</v>
      </c>
      <c r="P2465" s="31"/>
      <c r="Q2465" s="31"/>
      <c r="R2465" s="33" t="s">
        <v>9552</v>
      </c>
      <c r="S2465" s="34" t="str">
        <f>HYPERLINK("http://www.cnpol.ru/covers/21830.jpg","фото на сайте")</f>
        <v>фото на сайте</v>
      </c>
    </row>
    <row r="2466" spans="1:19" ht="50.1" customHeight="1">
      <c r="A2466" s="31"/>
      <c r="B2466" s="32" t="s">
        <v>9553</v>
      </c>
      <c r="C2466" s="31" t="s">
        <v>576</v>
      </c>
      <c r="D2466" s="31" t="s">
        <v>577</v>
      </c>
      <c r="E2466" s="31" t="s">
        <v>9554</v>
      </c>
      <c r="F2466" s="31" t="s">
        <v>31</v>
      </c>
      <c r="G2466" s="31">
        <v>226</v>
      </c>
      <c r="H2466" s="31">
        <v>10</v>
      </c>
      <c r="I2466" s="31">
        <v>20</v>
      </c>
      <c r="J2466" s="31" t="s">
        <v>9555</v>
      </c>
      <c r="K2466" s="31" t="s">
        <v>123</v>
      </c>
      <c r="L2466" s="31" t="s">
        <v>56</v>
      </c>
      <c r="M2466" s="31">
        <v>352</v>
      </c>
      <c r="N2466" s="31">
        <v>2019</v>
      </c>
      <c r="O2466" s="31">
        <v>162</v>
      </c>
      <c r="P2466" s="31"/>
      <c r="Q2466" s="31"/>
      <c r="R2466" s="33"/>
      <c r="S2466" s="34" t="str">
        <f>HYPERLINK("http://www.cnpol.ru/covers/18503.jpg","фото на сайте")</f>
        <v>фото на сайте</v>
      </c>
    </row>
    <row r="2467" spans="1:19" ht="50.1" customHeight="1">
      <c r="A2467" s="31"/>
      <c r="B2467" s="32" t="s">
        <v>9556</v>
      </c>
      <c r="C2467" s="31" t="s">
        <v>581</v>
      </c>
      <c r="D2467" s="31" t="s">
        <v>577</v>
      </c>
      <c r="E2467" s="31" t="s">
        <v>9554</v>
      </c>
      <c r="F2467" s="31" t="s">
        <v>31</v>
      </c>
      <c r="G2467" s="31">
        <v>185</v>
      </c>
      <c r="H2467" s="31">
        <v>10</v>
      </c>
      <c r="I2467" s="31">
        <v>32</v>
      </c>
      <c r="J2467" s="31" t="s">
        <v>9557</v>
      </c>
      <c r="K2467" s="31" t="s">
        <v>123</v>
      </c>
      <c r="L2467" s="31" t="s">
        <v>56</v>
      </c>
      <c r="M2467" s="31">
        <v>346</v>
      </c>
      <c r="N2467" s="31">
        <v>2014</v>
      </c>
      <c r="O2467" s="31">
        <v>166</v>
      </c>
      <c r="P2467" s="31"/>
      <c r="Q2467" s="31"/>
      <c r="R2467" s="33"/>
      <c r="S2467" s="34" t="str">
        <f>HYPERLINK("http://www.cnpol.ru/covers/14941.jpg","фото на сайте")</f>
        <v>фото на сайте</v>
      </c>
    </row>
    <row r="2468" spans="1:19" ht="50.1" customHeight="1">
      <c r="A2468" s="31"/>
      <c r="B2468" s="32" t="s">
        <v>9558</v>
      </c>
      <c r="C2468" s="31" t="s">
        <v>45</v>
      </c>
      <c r="D2468" s="31" t="s">
        <v>3458</v>
      </c>
      <c r="E2468" s="31" t="s">
        <v>9559</v>
      </c>
      <c r="F2468" s="31" t="s">
        <v>31</v>
      </c>
      <c r="G2468" s="31">
        <v>539</v>
      </c>
      <c r="H2468" s="31">
        <v>10</v>
      </c>
      <c r="I2468" s="31">
        <v>12</v>
      </c>
      <c r="J2468" s="31" t="s">
        <v>9560</v>
      </c>
      <c r="K2468" s="31" t="s">
        <v>33</v>
      </c>
      <c r="L2468" s="31" t="s">
        <v>34</v>
      </c>
      <c r="M2468" s="31">
        <v>368</v>
      </c>
      <c r="N2468" s="31">
        <v>2017</v>
      </c>
      <c r="O2468" s="31">
        <v>306</v>
      </c>
      <c r="P2468" s="31"/>
      <c r="Q2468" s="31"/>
      <c r="R2468" s="33"/>
      <c r="S2468" s="34" t="str">
        <f>HYPERLINK("http://www.cnpol.ru/covers/17513.jpg","фото на сайте")</f>
        <v>фото на сайте</v>
      </c>
    </row>
    <row r="2469" spans="1:19" ht="50.1" customHeight="1">
      <c r="A2469" s="31"/>
      <c r="B2469" s="32" t="s">
        <v>9561</v>
      </c>
      <c r="C2469" s="31" t="s">
        <v>28</v>
      </c>
      <c r="D2469" s="31" t="s">
        <v>9562</v>
      </c>
      <c r="E2469" s="31" t="s">
        <v>9563</v>
      </c>
      <c r="F2469" s="31" t="s">
        <v>31</v>
      </c>
      <c r="G2469" s="31">
        <v>593</v>
      </c>
      <c r="H2469" s="31">
        <v>10</v>
      </c>
      <c r="I2469" s="31">
        <v>16</v>
      </c>
      <c r="J2469" s="31" t="s">
        <v>9564</v>
      </c>
      <c r="K2469" s="31" t="s">
        <v>158</v>
      </c>
      <c r="L2469" s="31" t="s">
        <v>34</v>
      </c>
      <c r="M2469" s="31">
        <v>192</v>
      </c>
      <c r="N2469" s="31">
        <v>2017</v>
      </c>
      <c r="O2469" s="31">
        <v>210</v>
      </c>
      <c r="P2469" s="31"/>
      <c r="Q2469" s="31"/>
      <c r="R2469" s="33"/>
      <c r="S2469" s="34" t="str">
        <f>HYPERLINK("http://www.cnpol.ru/covers/17781.jpg","фото на сайте")</f>
        <v>фото на сайте</v>
      </c>
    </row>
    <row r="2470" spans="1:19" ht="50.1" customHeight="1">
      <c r="A2470" s="31"/>
      <c r="B2470" s="32" t="s">
        <v>9565</v>
      </c>
      <c r="C2470" s="31" t="s">
        <v>390</v>
      </c>
      <c r="D2470" s="31" t="s">
        <v>4675</v>
      </c>
      <c r="E2470" s="31" t="s">
        <v>9566</v>
      </c>
      <c r="F2470" s="31">
        <v>503</v>
      </c>
      <c r="G2470" s="31">
        <v>86</v>
      </c>
      <c r="H2470" s="31">
        <v>10</v>
      </c>
      <c r="I2470" s="31">
        <v>30</v>
      </c>
      <c r="J2470" s="31" t="s">
        <v>9567</v>
      </c>
      <c r="K2470" s="31" t="s">
        <v>123</v>
      </c>
      <c r="L2470" s="31" t="s">
        <v>56</v>
      </c>
      <c r="M2470" s="31">
        <v>158</v>
      </c>
      <c r="N2470" s="31">
        <v>2015</v>
      </c>
      <c r="O2470" s="31">
        <v>76</v>
      </c>
      <c r="P2470" s="31"/>
      <c r="Q2470" s="31"/>
      <c r="R2470" s="33"/>
      <c r="S2470" s="34" t="str">
        <f>HYPERLINK("http://www.cnpol.ru/covers/15878.jpg","фото на сайте")</f>
        <v>фото на сайте</v>
      </c>
    </row>
    <row r="2471" spans="1:19" ht="50.1" customHeight="1">
      <c r="A2471" s="31"/>
      <c r="B2471" s="32" t="s">
        <v>9568</v>
      </c>
      <c r="C2471" s="31" t="s">
        <v>380</v>
      </c>
      <c r="D2471" s="31" t="s">
        <v>9569</v>
      </c>
      <c r="E2471" s="31" t="s">
        <v>9570</v>
      </c>
      <c r="F2471" s="31" t="s">
        <v>31</v>
      </c>
      <c r="G2471" s="31">
        <v>988</v>
      </c>
      <c r="H2471" s="31">
        <v>10</v>
      </c>
      <c r="I2471" s="31">
        <v>10</v>
      </c>
      <c r="J2471" s="31" t="s">
        <v>9571</v>
      </c>
      <c r="K2471" s="31" t="s">
        <v>41</v>
      </c>
      <c r="L2471" s="31" t="s">
        <v>304</v>
      </c>
      <c r="M2471" s="31">
        <v>448</v>
      </c>
      <c r="N2471" s="31">
        <v>2018</v>
      </c>
      <c r="O2471" s="31">
        <v>570</v>
      </c>
      <c r="P2471" s="31"/>
      <c r="Q2471" s="31"/>
      <c r="R2471" s="33"/>
      <c r="S2471" s="34" t="str">
        <f>HYPERLINK("http://www.cnpol.ru/covers/17998.jpg","фото на сайте")</f>
        <v>фото на сайте</v>
      </c>
    </row>
    <row r="2472" spans="1:19" ht="50.1" customHeight="1">
      <c r="A2472" s="31" t="s">
        <v>43</v>
      </c>
      <c r="B2472" s="32" t="s">
        <v>9572</v>
      </c>
      <c r="C2472" s="31" t="s">
        <v>454</v>
      </c>
      <c r="D2472" s="31" t="s">
        <v>9573</v>
      </c>
      <c r="E2472" s="31" t="s">
        <v>9574</v>
      </c>
      <c r="F2472" s="31" t="s">
        <v>31</v>
      </c>
      <c r="G2472" s="31">
        <v>800</v>
      </c>
      <c r="H2472" s="31">
        <v>10</v>
      </c>
      <c r="I2472" s="31">
        <v>14</v>
      </c>
      <c r="J2472" s="31" t="s">
        <v>9575</v>
      </c>
      <c r="K2472" s="31" t="s">
        <v>33</v>
      </c>
      <c r="L2472" s="31" t="s">
        <v>34</v>
      </c>
      <c r="M2472" s="31">
        <v>255</v>
      </c>
      <c r="N2472" s="31">
        <v>2025</v>
      </c>
      <c r="O2472" s="31">
        <v>251</v>
      </c>
      <c r="P2472" s="31"/>
      <c r="Q2472" s="31"/>
      <c r="R2472" s="33" t="s">
        <v>9576</v>
      </c>
      <c r="S2472" s="34" t="str">
        <f>HYPERLINK("http://www.cnpol.ru/covers/21661.jpg","фото на сайте")</f>
        <v>фото на сайте</v>
      </c>
    </row>
    <row r="2473" spans="1:19" ht="50.1" customHeight="1">
      <c r="A2473" s="31"/>
      <c r="B2473" s="32" t="s">
        <v>9577</v>
      </c>
      <c r="C2473" s="31" t="s">
        <v>746</v>
      </c>
      <c r="D2473" s="31" t="s">
        <v>9578</v>
      </c>
      <c r="E2473" s="31" t="s">
        <v>9579</v>
      </c>
      <c r="F2473" s="31" t="s">
        <v>31</v>
      </c>
      <c r="G2473" s="31">
        <v>588</v>
      </c>
      <c r="H2473" s="31">
        <v>10</v>
      </c>
      <c r="I2473" s="31">
        <v>10</v>
      </c>
      <c r="J2473" s="31" t="s">
        <v>9580</v>
      </c>
      <c r="K2473" s="31" t="s">
        <v>33</v>
      </c>
      <c r="L2473" s="31" t="s">
        <v>34</v>
      </c>
      <c r="M2473" s="31">
        <v>511</v>
      </c>
      <c r="N2473" s="31">
        <v>2023</v>
      </c>
      <c r="O2473" s="31">
        <v>405</v>
      </c>
      <c r="P2473" s="31"/>
      <c r="Q2473" s="31"/>
      <c r="R2473" s="33" t="s">
        <v>9581</v>
      </c>
      <c r="S2473" s="34" t="str">
        <f>HYPERLINK("http://www.cnpol.ru/covers/20888.jpg","фото на сайте")</f>
        <v>фото на сайте</v>
      </c>
    </row>
    <row r="2474" spans="1:19" ht="50.1" customHeight="1">
      <c r="A2474" s="31"/>
      <c r="B2474" s="32" t="s">
        <v>9582</v>
      </c>
      <c r="C2474" s="31" t="s">
        <v>546</v>
      </c>
      <c r="D2474" s="31" t="s">
        <v>1638</v>
      </c>
      <c r="E2474" s="31" t="s">
        <v>9583</v>
      </c>
      <c r="F2474" s="31">
        <v>431</v>
      </c>
      <c r="G2474" s="31">
        <v>93</v>
      </c>
      <c r="H2474" s="31">
        <v>10</v>
      </c>
      <c r="I2474" s="31">
        <v>30</v>
      </c>
      <c r="J2474" s="31" t="s">
        <v>9584</v>
      </c>
      <c r="K2474" s="31" t="s">
        <v>123</v>
      </c>
      <c r="L2474" s="31" t="s">
        <v>56</v>
      </c>
      <c r="M2474" s="31">
        <v>159</v>
      </c>
      <c r="N2474" s="31">
        <v>2023</v>
      </c>
      <c r="O2474" s="31">
        <v>76</v>
      </c>
      <c r="P2474" s="31"/>
      <c r="Q2474" s="31"/>
      <c r="R2474" s="33" t="s">
        <v>9585</v>
      </c>
      <c r="S2474" s="34" t="str">
        <f>HYPERLINK("http://www.cnpol.ru/covers/20737.jpg","фото на сайте")</f>
        <v>фото на сайте</v>
      </c>
    </row>
    <row r="2475" spans="1:19" ht="50.1" customHeight="1">
      <c r="A2475" s="31"/>
      <c r="B2475" s="32" t="s">
        <v>9586</v>
      </c>
      <c r="C2475" s="31" t="s">
        <v>546</v>
      </c>
      <c r="D2475" s="31" t="s">
        <v>6002</v>
      </c>
      <c r="E2475" s="31" t="s">
        <v>9587</v>
      </c>
      <c r="F2475" s="31">
        <v>295</v>
      </c>
      <c r="G2475" s="31">
        <v>93</v>
      </c>
      <c r="H2475" s="31">
        <v>10</v>
      </c>
      <c r="I2475" s="31">
        <v>30</v>
      </c>
      <c r="J2475" s="31" t="s">
        <v>9588</v>
      </c>
      <c r="K2475" s="31" t="s">
        <v>123</v>
      </c>
      <c r="L2475" s="31" t="s">
        <v>56</v>
      </c>
      <c r="M2475" s="31">
        <v>160</v>
      </c>
      <c r="N2475" s="31">
        <v>2019</v>
      </c>
      <c r="O2475" s="31">
        <v>76</v>
      </c>
      <c r="P2475" s="31"/>
      <c r="Q2475" s="31"/>
      <c r="R2475" s="33"/>
      <c r="S2475" s="34" t="str">
        <f>HYPERLINK("http://www.cnpol.ru/covers/18520.jpg","фото на сайте")</f>
        <v>фото на сайте</v>
      </c>
    </row>
    <row r="2476" spans="1:19" ht="50.1" customHeight="1">
      <c r="A2476" s="31"/>
      <c r="B2476" s="32" t="s">
        <v>9589</v>
      </c>
      <c r="C2476" s="31" t="s">
        <v>1050</v>
      </c>
      <c r="D2476" s="31" t="s">
        <v>9590</v>
      </c>
      <c r="E2476" s="31" t="s">
        <v>9591</v>
      </c>
      <c r="F2476" s="31" t="s">
        <v>31</v>
      </c>
      <c r="G2476" s="31">
        <v>386</v>
      </c>
      <c r="H2476" s="31">
        <v>10</v>
      </c>
      <c r="I2476" s="31">
        <v>16</v>
      </c>
      <c r="J2476" s="31" t="s">
        <v>9592</v>
      </c>
      <c r="K2476" s="31" t="s">
        <v>130</v>
      </c>
      <c r="L2476" s="31" t="s">
        <v>210</v>
      </c>
      <c r="M2476" s="31">
        <v>317</v>
      </c>
      <c r="N2476" s="31">
        <v>2023</v>
      </c>
      <c r="O2476" s="31">
        <v>815</v>
      </c>
      <c r="P2476" s="31"/>
      <c r="Q2476" s="31"/>
      <c r="R2476" s="33" t="s">
        <v>9593</v>
      </c>
      <c r="S2476" s="34" t="str">
        <f>HYPERLINK("http://www.cnpol.ru/covers/20600.jpg","фото на сайте")</f>
        <v>фото на сайте</v>
      </c>
    </row>
    <row r="2477" spans="1:19" ht="50.1" customHeight="1">
      <c r="A2477" s="31"/>
      <c r="B2477" s="32" t="s">
        <v>9594</v>
      </c>
      <c r="C2477" s="31" t="s">
        <v>390</v>
      </c>
      <c r="D2477" s="31" t="s">
        <v>2976</v>
      </c>
      <c r="E2477" s="31" t="s">
        <v>9595</v>
      </c>
      <c r="F2477" s="31">
        <v>395</v>
      </c>
      <c r="G2477" s="31">
        <v>86</v>
      </c>
      <c r="H2477" s="31">
        <v>10</v>
      </c>
      <c r="I2477" s="31">
        <v>30</v>
      </c>
      <c r="J2477" s="31" t="s">
        <v>9596</v>
      </c>
      <c r="K2477" s="31" t="s">
        <v>123</v>
      </c>
      <c r="L2477" s="31" t="s">
        <v>56</v>
      </c>
      <c r="M2477" s="31">
        <v>158</v>
      </c>
      <c r="N2477" s="31">
        <v>2014</v>
      </c>
      <c r="O2477" s="31">
        <v>74</v>
      </c>
      <c r="P2477" s="31"/>
      <c r="Q2477" s="31"/>
      <c r="R2477" s="33"/>
      <c r="S2477" s="34" t="str">
        <f>HYPERLINK("http://www.cnpol.ru/covers/15018.jpg","фото на сайте")</f>
        <v>фото на сайте</v>
      </c>
    </row>
    <row r="2478" spans="1:19" ht="50.1" customHeight="1">
      <c r="A2478" s="31"/>
      <c r="B2478" s="32" t="s">
        <v>9597</v>
      </c>
      <c r="C2478" s="31" t="s">
        <v>390</v>
      </c>
      <c r="D2478" s="31" t="s">
        <v>4374</v>
      </c>
      <c r="E2478" s="31" t="s">
        <v>9598</v>
      </c>
      <c r="F2478" s="31">
        <v>718</v>
      </c>
      <c r="G2478" s="31">
        <v>86</v>
      </c>
      <c r="H2478" s="31">
        <v>10</v>
      </c>
      <c r="I2478" s="31">
        <v>30</v>
      </c>
      <c r="J2478" s="31" t="s">
        <v>9599</v>
      </c>
      <c r="K2478" s="31" t="s">
        <v>123</v>
      </c>
      <c r="L2478" s="31" t="s">
        <v>56</v>
      </c>
      <c r="M2478" s="31">
        <v>160</v>
      </c>
      <c r="N2478" s="31">
        <v>2017</v>
      </c>
      <c r="O2478" s="31">
        <v>76</v>
      </c>
      <c r="P2478" s="31"/>
      <c r="Q2478" s="31"/>
      <c r="R2478" s="33"/>
      <c r="S2478" s="34" t="str">
        <f>HYPERLINK("http://www.cnpol.ru/covers/17475.jpg","фото на сайте")</f>
        <v>фото на сайте</v>
      </c>
    </row>
    <row r="2479" spans="1:19" ht="50.1" customHeight="1">
      <c r="A2479" s="31"/>
      <c r="B2479" s="32" t="s">
        <v>9600</v>
      </c>
      <c r="C2479" s="31" t="s">
        <v>143</v>
      </c>
      <c r="D2479" s="31" t="s">
        <v>9601</v>
      </c>
      <c r="E2479" s="31" t="s">
        <v>9602</v>
      </c>
      <c r="F2479" s="31" t="s">
        <v>31</v>
      </c>
      <c r="G2479" s="31">
        <v>771</v>
      </c>
      <c r="H2479" s="31">
        <v>10</v>
      </c>
      <c r="I2479" s="31">
        <v>14</v>
      </c>
      <c r="J2479" s="31" t="s">
        <v>9603</v>
      </c>
      <c r="K2479" s="31" t="s">
        <v>33</v>
      </c>
      <c r="L2479" s="31" t="s">
        <v>34</v>
      </c>
      <c r="M2479" s="31">
        <v>255</v>
      </c>
      <c r="N2479" s="31">
        <v>2024</v>
      </c>
      <c r="O2479" s="31">
        <v>329</v>
      </c>
      <c r="P2479" s="31"/>
      <c r="Q2479" s="31"/>
      <c r="R2479" s="33" t="s">
        <v>9604</v>
      </c>
      <c r="S2479" s="34" t="str">
        <f>HYPERLINK("http://www.cnpol.ru/covers/20959.jpg","фото на сайте")</f>
        <v>фото на сайте</v>
      </c>
    </row>
    <row r="2480" spans="1:19" ht="50.1" customHeight="1">
      <c r="A2480" s="31"/>
      <c r="B2480" s="32" t="s">
        <v>9605</v>
      </c>
      <c r="C2480" s="31" t="s">
        <v>143</v>
      </c>
      <c r="D2480" s="31" t="s">
        <v>9606</v>
      </c>
      <c r="E2480" s="31" t="s">
        <v>9607</v>
      </c>
      <c r="F2480" s="31" t="s">
        <v>31</v>
      </c>
      <c r="G2480" s="31">
        <v>807</v>
      </c>
      <c r="H2480" s="31">
        <v>10</v>
      </c>
      <c r="I2480" s="31">
        <v>14</v>
      </c>
      <c r="J2480" s="31" t="s">
        <v>9608</v>
      </c>
      <c r="K2480" s="31" t="s">
        <v>33</v>
      </c>
      <c r="L2480" s="31" t="s">
        <v>34</v>
      </c>
      <c r="M2480" s="31">
        <v>254</v>
      </c>
      <c r="N2480" s="31">
        <v>2023</v>
      </c>
      <c r="O2480" s="31">
        <v>312</v>
      </c>
      <c r="P2480" s="31"/>
      <c r="Q2480" s="31"/>
      <c r="R2480" s="33" t="s">
        <v>9609</v>
      </c>
      <c r="S2480" s="34" t="str">
        <f>HYPERLINK("http://www.cnpol.ru/covers/20826.jpg","фото на сайте")</f>
        <v>фото на сайте</v>
      </c>
    </row>
    <row r="2481" spans="1:19" ht="50.1" customHeight="1">
      <c r="A2481" s="31"/>
      <c r="B2481" s="32" t="s">
        <v>9610</v>
      </c>
      <c r="C2481" s="31" t="s">
        <v>440</v>
      </c>
      <c r="D2481" s="31" t="s">
        <v>9611</v>
      </c>
      <c r="E2481" s="31" t="s">
        <v>9612</v>
      </c>
      <c r="F2481" s="31" t="s">
        <v>31</v>
      </c>
      <c r="G2481" s="31">
        <v>503</v>
      </c>
      <c r="H2481" s="31">
        <v>10</v>
      </c>
      <c r="I2481" s="31">
        <v>12</v>
      </c>
      <c r="J2481" s="31" t="s">
        <v>9613</v>
      </c>
      <c r="K2481" s="31" t="s">
        <v>33</v>
      </c>
      <c r="L2481" s="31" t="s">
        <v>34</v>
      </c>
      <c r="M2481" s="31">
        <v>320</v>
      </c>
      <c r="N2481" s="31">
        <v>2016</v>
      </c>
      <c r="O2481" s="31">
        <v>288</v>
      </c>
      <c r="P2481" s="31"/>
      <c r="Q2481" s="31"/>
      <c r="R2481" s="33"/>
      <c r="S2481" s="34" t="str">
        <f>HYPERLINK("http://www.cnpol.ru/covers/16827.jpg","фото на сайте")</f>
        <v>фото на сайте</v>
      </c>
    </row>
    <row r="2482" spans="1:19" ht="50.1" customHeight="1">
      <c r="A2482" s="31"/>
      <c r="B2482" s="32" t="s">
        <v>9614</v>
      </c>
      <c r="C2482" s="31" t="s">
        <v>3108</v>
      </c>
      <c r="D2482" s="31" t="s">
        <v>1364</v>
      </c>
      <c r="E2482" s="31" t="s">
        <v>9615</v>
      </c>
      <c r="F2482" s="31">
        <v>8</v>
      </c>
      <c r="G2482" s="31">
        <v>771</v>
      </c>
      <c r="H2482" s="31">
        <v>10</v>
      </c>
      <c r="I2482" s="31">
        <v>10</v>
      </c>
      <c r="J2482" s="31" t="s">
        <v>9616</v>
      </c>
      <c r="K2482" s="31" t="s">
        <v>33</v>
      </c>
      <c r="L2482" s="31" t="s">
        <v>34</v>
      </c>
      <c r="M2482" s="31">
        <v>351</v>
      </c>
      <c r="N2482" s="31">
        <v>2023</v>
      </c>
      <c r="O2482" s="31">
        <v>407</v>
      </c>
      <c r="P2482" s="31"/>
      <c r="Q2482" s="31"/>
      <c r="R2482" s="33" t="s">
        <v>9617</v>
      </c>
      <c r="S2482" s="34" t="str">
        <f>HYPERLINK("http://www.cnpol.ru/covers/20790.jpg","фото на сайте")</f>
        <v>фото на сайте</v>
      </c>
    </row>
    <row r="2483" spans="1:19" ht="50.1" customHeight="1">
      <c r="A2483" s="31"/>
      <c r="B2483" s="32" t="s">
        <v>9618</v>
      </c>
      <c r="C2483" s="31" t="s">
        <v>1685</v>
      </c>
      <c r="D2483" s="31" t="s">
        <v>1686</v>
      </c>
      <c r="E2483" s="31" t="s">
        <v>9619</v>
      </c>
      <c r="F2483" s="31" t="s">
        <v>31</v>
      </c>
      <c r="G2483" s="31">
        <v>209</v>
      </c>
      <c r="H2483" s="31">
        <v>10</v>
      </c>
      <c r="I2483" s="31">
        <v>20</v>
      </c>
      <c r="J2483" s="31" t="s">
        <v>9620</v>
      </c>
      <c r="K2483" s="31" t="s">
        <v>123</v>
      </c>
      <c r="L2483" s="31" t="s">
        <v>56</v>
      </c>
      <c r="M2483" s="31">
        <v>384</v>
      </c>
      <c r="N2483" s="31">
        <v>2017</v>
      </c>
      <c r="O2483" s="31">
        <v>178</v>
      </c>
      <c r="P2483" s="31"/>
      <c r="Q2483" s="31"/>
      <c r="R2483" s="33"/>
      <c r="S2483" s="34" t="str">
        <f>HYPERLINK("http://www.cnpol.ru/covers/17550.jpg","фото на сайте")</f>
        <v>фото на сайте</v>
      </c>
    </row>
    <row r="2484" spans="1:19" ht="50.1" customHeight="1">
      <c r="A2484" s="31"/>
      <c r="B2484" s="32" t="s">
        <v>9621</v>
      </c>
      <c r="C2484" s="31" t="s">
        <v>6027</v>
      </c>
      <c r="D2484" s="31" t="s">
        <v>4876</v>
      </c>
      <c r="E2484" s="31" t="s">
        <v>9622</v>
      </c>
      <c r="F2484" s="31" t="s">
        <v>31</v>
      </c>
      <c r="G2484" s="31">
        <v>154</v>
      </c>
      <c r="H2484" s="31">
        <v>10</v>
      </c>
      <c r="I2484" s="31">
        <v>28</v>
      </c>
      <c r="J2484" s="31" t="s">
        <v>9623</v>
      </c>
      <c r="K2484" s="31" t="s">
        <v>55</v>
      </c>
      <c r="L2484" s="31" t="s">
        <v>56</v>
      </c>
      <c r="M2484" s="31">
        <v>270</v>
      </c>
      <c r="N2484" s="31">
        <v>2008</v>
      </c>
      <c r="O2484" s="31">
        <v>114</v>
      </c>
      <c r="P2484" s="31"/>
      <c r="Q2484" s="31"/>
      <c r="R2484" s="33"/>
      <c r="S2484" s="34" t="str">
        <f>HYPERLINK("http://www.cnpol.ru/covers/72.jpg","фото на сайте")</f>
        <v>фото на сайте</v>
      </c>
    </row>
    <row r="2485" spans="1:19" ht="50.1" customHeight="1">
      <c r="A2485" s="31"/>
      <c r="B2485" s="32" t="s">
        <v>9624</v>
      </c>
      <c r="C2485" s="31" t="s">
        <v>28</v>
      </c>
      <c r="D2485" s="31" t="s">
        <v>9625</v>
      </c>
      <c r="E2485" s="31" t="s">
        <v>9626</v>
      </c>
      <c r="F2485" s="31" t="s">
        <v>31</v>
      </c>
      <c r="G2485" s="31">
        <v>575</v>
      </c>
      <c r="H2485" s="31">
        <v>10</v>
      </c>
      <c r="I2485" s="31">
        <v>18</v>
      </c>
      <c r="J2485" s="31" t="s">
        <v>9627</v>
      </c>
      <c r="K2485" s="31" t="s">
        <v>158</v>
      </c>
      <c r="L2485" s="31" t="s">
        <v>34</v>
      </c>
      <c r="M2485" s="31">
        <v>352</v>
      </c>
      <c r="N2485" s="31">
        <v>2018</v>
      </c>
      <c r="O2485" s="31">
        <v>298</v>
      </c>
      <c r="P2485" s="31"/>
      <c r="Q2485" s="31"/>
      <c r="R2485" s="33"/>
      <c r="S2485" s="34" t="str">
        <f>HYPERLINK("http://www.cnpol.ru/covers/18045.jpg","фото на сайте")</f>
        <v>фото на сайте</v>
      </c>
    </row>
    <row r="2486" spans="1:19" ht="50.1" customHeight="1">
      <c r="A2486" s="31"/>
      <c r="B2486" s="32" t="s">
        <v>9628</v>
      </c>
      <c r="C2486" s="31" t="s">
        <v>968</v>
      </c>
      <c r="D2486" s="31" t="s">
        <v>9629</v>
      </c>
      <c r="E2486" s="31" t="s">
        <v>9630</v>
      </c>
      <c r="F2486" s="31" t="s">
        <v>31</v>
      </c>
      <c r="G2486" s="31">
        <v>243</v>
      </c>
      <c r="H2486" s="31">
        <v>10</v>
      </c>
      <c r="I2486" s="31">
        <v>24</v>
      </c>
      <c r="J2486" s="31" t="s">
        <v>9631</v>
      </c>
      <c r="K2486" s="31" t="s">
        <v>123</v>
      </c>
      <c r="L2486" s="31" t="s">
        <v>56</v>
      </c>
      <c r="M2486" s="31">
        <v>288</v>
      </c>
      <c r="N2486" s="31">
        <v>2013</v>
      </c>
      <c r="O2486" s="31">
        <v>134</v>
      </c>
      <c r="P2486" s="31"/>
      <c r="Q2486" s="31"/>
      <c r="R2486" s="33"/>
      <c r="S2486" s="34" t="str">
        <f>HYPERLINK("http://www.cnpol.ru/covers/14400.jpg","фото на сайте")</f>
        <v>фото на сайте</v>
      </c>
    </row>
    <row r="2487" spans="1:19" ht="50.1" customHeight="1">
      <c r="A2487" s="31"/>
      <c r="B2487" s="32" t="s">
        <v>9632</v>
      </c>
      <c r="C2487" s="31" t="s">
        <v>956</v>
      </c>
      <c r="D2487" s="31" t="s">
        <v>9629</v>
      </c>
      <c r="E2487" s="31" t="s">
        <v>9630</v>
      </c>
      <c r="F2487" s="31" t="s">
        <v>31</v>
      </c>
      <c r="G2487" s="31">
        <v>425</v>
      </c>
      <c r="H2487" s="31">
        <v>10</v>
      </c>
      <c r="I2487" s="31">
        <v>16</v>
      </c>
      <c r="J2487" s="31" t="s">
        <v>9633</v>
      </c>
      <c r="K2487" s="31" t="s">
        <v>33</v>
      </c>
      <c r="L2487" s="31" t="s">
        <v>34</v>
      </c>
      <c r="M2487" s="31">
        <v>287</v>
      </c>
      <c r="N2487" s="31">
        <v>2011</v>
      </c>
      <c r="O2487" s="31">
        <v>302</v>
      </c>
      <c r="P2487" s="31"/>
      <c r="Q2487" s="31"/>
      <c r="R2487" s="33"/>
      <c r="S2487" s="34" t="str">
        <f>HYPERLINK("http://www.cnpol.ru/covers/12529.jpg","фото на сайте")</f>
        <v>фото на сайте</v>
      </c>
    </row>
    <row r="2488" spans="1:19" ht="50.1" customHeight="1">
      <c r="A2488" s="31"/>
      <c r="B2488" s="32" t="s">
        <v>9634</v>
      </c>
      <c r="C2488" s="31" t="s">
        <v>390</v>
      </c>
      <c r="D2488" s="31" t="s">
        <v>3095</v>
      </c>
      <c r="E2488" s="31" t="s">
        <v>9635</v>
      </c>
      <c r="F2488" s="31">
        <v>1067</v>
      </c>
      <c r="G2488" s="31">
        <v>86</v>
      </c>
      <c r="H2488" s="31">
        <v>10</v>
      </c>
      <c r="I2488" s="31">
        <v>30</v>
      </c>
      <c r="J2488" s="31" t="s">
        <v>9636</v>
      </c>
      <c r="K2488" s="31" t="s">
        <v>123</v>
      </c>
      <c r="L2488" s="31" t="s">
        <v>56</v>
      </c>
      <c r="M2488" s="31">
        <v>159</v>
      </c>
      <c r="N2488" s="31">
        <v>2021</v>
      </c>
      <c r="O2488" s="31">
        <v>76</v>
      </c>
      <c r="P2488" s="31"/>
      <c r="Q2488" s="31"/>
      <c r="R2488" s="33"/>
      <c r="S2488" s="34" t="str">
        <f>HYPERLINK("http://www.cnpol.ru/covers/19946.jpg","фото на сайте")</f>
        <v>фото на сайте</v>
      </c>
    </row>
    <row r="2489" spans="1:19" ht="50.1" customHeight="1">
      <c r="A2489" s="31"/>
      <c r="B2489" s="32" t="s">
        <v>9637</v>
      </c>
      <c r="C2489" s="31" t="s">
        <v>390</v>
      </c>
      <c r="D2489" s="31" t="s">
        <v>2285</v>
      </c>
      <c r="E2489" s="31" t="s">
        <v>9638</v>
      </c>
      <c r="F2489" s="31">
        <v>1001</v>
      </c>
      <c r="G2489" s="31">
        <v>86</v>
      </c>
      <c r="H2489" s="31">
        <v>10</v>
      </c>
      <c r="I2489" s="31">
        <v>30</v>
      </c>
      <c r="J2489" s="31" t="s">
        <v>9639</v>
      </c>
      <c r="K2489" s="31" t="s">
        <v>123</v>
      </c>
      <c r="L2489" s="31" t="s">
        <v>56</v>
      </c>
      <c r="M2489" s="31">
        <v>160</v>
      </c>
      <c r="N2489" s="31">
        <v>2020</v>
      </c>
      <c r="O2489" s="31">
        <v>76</v>
      </c>
      <c r="P2489" s="31"/>
      <c r="Q2489" s="31"/>
      <c r="R2489" s="33"/>
      <c r="S2489" s="34" t="str">
        <f>HYPERLINK("http://www.cnpol.ru/covers/19369.jpg","фото на сайте")</f>
        <v>фото на сайте</v>
      </c>
    </row>
    <row r="2490" spans="1:19" ht="50.1" customHeight="1">
      <c r="A2490" s="31"/>
      <c r="B2490" s="32" t="s">
        <v>9640</v>
      </c>
      <c r="C2490" s="31" t="s">
        <v>390</v>
      </c>
      <c r="D2490" s="31" t="s">
        <v>3691</v>
      </c>
      <c r="E2490" s="31" t="s">
        <v>9641</v>
      </c>
      <c r="F2490" s="31">
        <v>668</v>
      </c>
      <c r="G2490" s="31">
        <v>86</v>
      </c>
      <c r="H2490" s="31">
        <v>10</v>
      </c>
      <c r="I2490" s="31">
        <v>30</v>
      </c>
      <c r="J2490" s="31" t="s">
        <v>9642</v>
      </c>
      <c r="K2490" s="31" t="s">
        <v>123</v>
      </c>
      <c r="L2490" s="31" t="s">
        <v>56</v>
      </c>
      <c r="M2490" s="31">
        <v>160</v>
      </c>
      <c r="N2490" s="31">
        <v>2016</v>
      </c>
      <c r="O2490" s="31">
        <v>76</v>
      </c>
      <c r="P2490" s="31"/>
      <c r="Q2490" s="31"/>
      <c r="R2490" s="33"/>
      <c r="S2490" s="34" t="str">
        <f>HYPERLINK("http://www.cnpol.ru/covers/17139.jpg","фото на сайте")</f>
        <v>фото на сайте</v>
      </c>
    </row>
    <row r="2491" spans="1:19" ht="50.1" customHeight="1">
      <c r="A2491" s="31"/>
      <c r="B2491" s="32" t="s">
        <v>9643</v>
      </c>
      <c r="C2491" s="31" t="s">
        <v>400</v>
      </c>
      <c r="D2491" s="31" t="s">
        <v>9644</v>
      </c>
      <c r="E2491" s="31" t="s">
        <v>9645</v>
      </c>
      <c r="F2491" s="31" t="s">
        <v>31</v>
      </c>
      <c r="G2491" s="31">
        <v>503</v>
      </c>
      <c r="H2491" s="31">
        <v>10</v>
      </c>
      <c r="I2491" s="31">
        <v>10</v>
      </c>
      <c r="J2491" s="31" t="s">
        <v>9646</v>
      </c>
      <c r="K2491" s="31" t="s">
        <v>33</v>
      </c>
      <c r="L2491" s="31" t="s">
        <v>34</v>
      </c>
      <c r="M2491" s="31">
        <v>448</v>
      </c>
      <c r="N2491" s="31">
        <v>2019</v>
      </c>
      <c r="O2491" s="31">
        <v>348</v>
      </c>
      <c r="P2491" s="31"/>
      <c r="Q2491" s="31"/>
      <c r="R2491" s="33"/>
      <c r="S2491" s="34" t="str">
        <f>HYPERLINK("http://www.cnpol.ru/covers/18918.jpg","фото на сайте")</f>
        <v>фото на сайте</v>
      </c>
    </row>
    <row r="2492" spans="1:19" ht="50.1" customHeight="1">
      <c r="A2492" s="31"/>
      <c r="B2492" s="32" t="s">
        <v>9647</v>
      </c>
      <c r="C2492" s="31" t="s">
        <v>546</v>
      </c>
      <c r="D2492" s="31" t="s">
        <v>7377</v>
      </c>
      <c r="E2492" s="31" t="s">
        <v>9648</v>
      </c>
      <c r="F2492" s="31">
        <v>172</v>
      </c>
      <c r="G2492" s="31">
        <v>93</v>
      </c>
      <c r="H2492" s="31">
        <v>10</v>
      </c>
      <c r="I2492" s="31">
        <v>30</v>
      </c>
      <c r="J2492" s="31" t="s">
        <v>9649</v>
      </c>
      <c r="K2492" s="31" t="s">
        <v>123</v>
      </c>
      <c r="L2492" s="31" t="s">
        <v>56</v>
      </c>
      <c r="M2492" s="31">
        <v>160</v>
      </c>
      <c r="N2492" s="31">
        <v>2016</v>
      </c>
      <c r="O2492" s="31">
        <v>76</v>
      </c>
      <c r="P2492" s="31"/>
      <c r="Q2492" s="31"/>
      <c r="R2492" s="33"/>
      <c r="S2492" s="34" t="str">
        <f>HYPERLINK("http://www.cnpol.ru/covers/16794.jpg","фото на сайте")</f>
        <v>фото на сайте</v>
      </c>
    </row>
    <row r="2493" spans="1:19" ht="50.1" customHeight="1">
      <c r="A2493" s="31" t="s">
        <v>43</v>
      </c>
      <c r="B2493" s="32" t="s">
        <v>9650</v>
      </c>
      <c r="C2493" s="31" t="s">
        <v>9651</v>
      </c>
      <c r="D2493" s="31" t="s">
        <v>9652</v>
      </c>
      <c r="E2493" s="31" t="s">
        <v>9653</v>
      </c>
      <c r="F2493" s="31" t="s">
        <v>31</v>
      </c>
      <c r="G2493" s="31">
        <v>711</v>
      </c>
      <c r="H2493" s="31">
        <v>10</v>
      </c>
      <c r="I2493" s="31">
        <v>10</v>
      </c>
      <c r="J2493" s="31" t="s">
        <v>9654</v>
      </c>
      <c r="K2493" s="31" t="s">
        <v>33</v>
      </c>
      <c r="L2493" s="31" t="s">
        <v>34</v>
      </c>
      <c r="M2493" s="31">
        <v>191</v>
      </c>
      <c r="N2493" s="31">
        <v>2025</v>
      </c>
      <c r="O2493" s="31">
        <v>232</v>
      </c>
      <c r="P2493" s="31"/>
      <c r="Q2493" s="31"/>
      <c r="R2493" s="33" t="s">
        <v>9655</v>
      </c>
      <c r="S2493" s="34" t="str">
        <f>HYPERLINK("http://www.cnpol.ru/covers/21756.jpg","фото на сайте")</f>
        <v>фото на сайте</v>
      </c>
    </row>
    <row r="2494" spans="1:19" ht="50.1" customHeight="1">
      <c r="A2494" s="31"/>
      <c r="B2494" s="32" t="s">
        <v>9656</v>
      </c>
      <c r="C2494" s="31" t="s">
        <v>37</v>
      </c>
      <c r="D2494" s="31" t="s">
        <v>9657</v>
      </c>
      <c r="E2494" s="31" t="s">
        <v>9658</v>
      </c>
      <c r="F2494" s="31" t="s">
        <v>31</v>
      </c>
      <c r="G2494" s="31">
        <v>630</v>
      </c>
      <c r="H2494" s="31">
        <v>10</v>
      </c>
      <c r="I2494" s="31">
        <v>8</v>
      </c>
      <c r="J2494" s="31" t="s">
        <v>9659</v>
      </c>
      <c r="K2494" s="31" t="s">
        <v>33</v>
      </c>
      <c r="L2494" s="31" t="s">
        <v>34</v>
      </c>
      <c r="M2494" s="31">
        <v>576</v>
      </c>
      <c r="N2494" s="31">
        <v>2020</v>
      </c>
      <c r="O2494" s="31">
        <v>418</v>
      </c>
      <c r="P2494" s="31"/>
      <c r="Q2494" s="31"/>
      <c r="R2494" s="33"/>
      <c r="S2494" s="34" t="str">
        <f>HYPERLINK("http://www.cnpol.ru/covers/19372.jpg","фото на сайте")</f>
        <v>фото на сайте</v>
      </c>
    </row>
    <row r="2495" spans="1:19" ht="50.1" customHeight="1">
      <c r="A2495" s="31" t="s">
        <v>43</v>
      </c>
      <c r="B2495" s="32" t="s">
        <v>9660</v>
      </c>
      <c r="C2495" s="31" t="s">
        <v>746</v>
      </c>
      <c r="D2495" s="31" t="s">
        <v>9661</v>
      </c>
      <c r="E2495" s="31" t="s">
        <v>9662</v>
      </c>
      <c r="F2495" s="31" t="s">
        <v>31</v>
      </c>
      <c r="G2495" s="31">
        <v>464</v>
      </c>
      <c r="H2495" s="31">
        <v>10</v>
      </c>
      <c r="I2495" s="31">
        <v>20</v>
      </c>
      <c r="J2495" s="31" t="s">
        <v>9663</v>
      </c>
      <c r="K2495" s="31" t="s">
        <v>33</v>
      </c>
      <c r="L2495" s="31" t="s">
        <v>34</v>
      </c>
      <c r="M2495" s="31">
        <v>223</v>
      </c>
      <c r="N2495" s="31">
        <v>2024</v>
      </c>
      <c r="O2495" s="31">
        <v>248</v>
      </c>
      <c r="P2495" s="31"/>
      <c r="Q2495" s="31"/>
      <c r="R2495" s="33" t="s">
        <v>9664</v>
      </c>
      <c r="S2495" s="34" t="str">
        <f>HYPERLINK("http://www.cnpol.ru/covers/21043.jpg","фото на сайте")</f>
        <v>фото на сайте</v>
      </c>
    </row>
    <row r="2496" spans="1:19" ht="50.1" customHeight="1">
      <c r="A2496" s="31"/>
      <c r="B2496" s="32" t="s">
        <v>9665</v>
      </c>
      <c r="C2496" s="31" t="s">
        <v>37</v>
      </c>
      <c r="D2496" s="31" t="s">
        <v>9666</v>
      </c>
      <c r="E2496" s="31" t="s">
        <v>9667</v>
      </c>
      <c r="F2496" s="31" t="s">
        <v>31</v>
      </c>
      <c r="G2496" s="31">
        <v>539</v>
      </c>
      <c r="H2496" s="31">
        <v>10</v>
      </c>
      <c r="I2496" s="31">
        <v>12</v>
      </c>
      <c r="J2496" s="31" t="s">
        <v>9668</v>
      </c>
      <c r="K2496" s="31" t="s">
        <v>33</v>
      </c>
      <c r="L2496" s="31" t="s">
        <v>34</v>
      </c>
      <c r="M2496" s="31">
        <v>320</v>
      </c>
      <c r="N2496" s="31">
        <v>2017</v>
      </c>
      <c r="O2496" s="31">
        <v>260</v>
      </c>
      <c r="P2496" s="31"/>
      <c r="Q2496" s="31"/>
      <c r="R2496" s="33"/>
      <c r="S2496" s="34" t="str">
        <f>HYPERLINK("http://www.cnpol.ru/covers/17512.jpg","фото на сайте")</f>
        <v>фото на сайте</v>
      </c>
    </row>
    <row r="2497" spans="1:19" ht="50.1" customHeight="1">
      <c r="A2497" s="31" t="s">
        <v>43</v>
      </c>
      <c r="B2497" s="32" t="s">
        <v>9669</v>
      </c>
      <c r="C2497" s="31" t="s">
        <v>143</v>
      </c>
      <c r="D2497" s="31" t="s">
        <v>9670</v>
      </c>
      <c r="E2497" s="31" t="s">
        <v>9671</v>
      </c>
      <c r="F2497" s="31" t="s">
        <v>31</v>
      </c>
      <c r="G2497" s="31">
        <v>759</v>
      </c>
      <c r="H2497" s="31">
        <v>10</v>
      </c>
      <c r="I2497" s="31">
        <v>16</v>
      </c>
      <c r="J2497" s="31" t="s">
        <v>9672</v>
      </c>
      <c r="K2497" s="31" t="s">
        <v>33</v>
      </c>
      <c r="L2497" s="31" t="s">
        <v>34</v>
      </c>
      <c r="M2497" s="31">
        <v>222</v>
      </c>
      <c r="N2497" s="31">
        <v>2025</v>
      </c>
      <c r="O2497" s="31">
        <v>265</v>
      </c>
      <c r="P2497" s="31"/>
      <c r="Q2497" s="31"/>
      <c r="R2497" s="33" t="s">
        <v>9673</v>
      </c>
      <c r="S2497" s="34" t="str">
        <f>HYPERLINK("http://www.cnpol.ru/covers/21665.jpg","фото на сайте")</f>
        <v>фото на сайте</v>
      </c>
    </row>
    <row r="2498" spans="1:19" ht="50.1" customHeight="1">
      <c r="A2498" s="31"/>
      <c r="B2498" s="32" t="s">
        <v>9674</v>
      </c>
      <c r="C2498" s="31" t="s">
        <v>400</v>
      </c>
      <c r="D2498" s="31" t="s">
        <v>2412</v>
      </c>
      <c r="E2498" s="31" t="s">
        <v>9675</v>
      </c>
      <c r="F2498" s="31" t="s">
        <v>31</v>
      </c>
      <c r="G2498" s="31">
        <v>503</v>
      </c>
      <c r="H2498" s="31">
        <v>10</v>
      </c>
      <c r="I2498" s="31">
        <v>14</v>
      </c>
      <c r="J2498" s="31" t="s">
        <v>9676</v>
      </c>
      <c r="K2498" s="31" t="s">
        <v>33</v>
      </c>
      <c r="L2498" s="31" t="s">
        <v>34</v>
      </c>
      <c r="M2498" s="31">
        <v>288</v>
      </c>
      <c r="N2498" s="31">
        <v>2017</v>
      </c>
      <c r="O2498" s="31">
        <v>256</v>
      </c>
      <c r="P2498" s="31"/>
      <c r="Q2498" s="31"/>
      <c r="R2498" s="33"/>
      <c r="S2498" s="34" t="str">
        <f>HYPERLINK("http://www.cnpol.ru/covers/17754.jpg","фото на сайте")</f>
        <v>фото на сайте</v>
      </c>
    </row>
    <row r="2499" spans="1:19" ht="50.1" customHeight="1">
      <c r="A2499" s="31"/>
      <c r="B2499" s="32" t="s">
        <v>9677</v>
      </c>
      <c r="C2499" s="31" t="s">
        <v>546</v>
      </c>
      <c r="D2499" s="31" t="s">
        <v>1698</v>
      </c>
      <c r="E2499" s="31" t="s">
        <v>9678</v>
      </c>
      <c r="F2499" s="31">
        <v>209</v>
      </c>
      <c r="G2499" s="31">
        <v>93</v>
      </c>
      <c r="H2499" s="31">
        <v>10</v>
      </c>
      <c r="I2499" s="31">
        <v>30</v>
      </c>
      <c r="J2499" s="31" t="s">
        <v>9679</v>
      </c>
      <c r="K2499" s="31" t="s">
        <v>123</v>
      </c>
      <c r="L2499" s="31" t="s">
        <v>56</v>
      </c>
      <c r="M2499" s="31">
        <v>160</v>
      </c>
      <c r="N2499" s="31">
        <v>2017</v>
      </c>
      <c r="O2499" s="31">
        <v>76</v>
      </c>
      <c r="P2499" s="31"/>
      <c r="Q2499" s="31"/>
      <c r="R2499" s="33"/>
      <c r="S2499" s="34" t="str">
        <f>HYPERLINK("http://www.cnpol.ru/covers/17333.jpg","фото на сайте")</f>
        <v>фото на сайте</v>
      </c>
    </row>
    <row r="2500" spans="1:19" ht="50.1" customHeight="1">
      <c r="A2500" s="31"/>
      <c r="B2500" s="32" t="s">
        <v>9680</v>
      </c>
      <c r="C2500" s="31" t="s">
        <v>5849</v>
      </c>
      <c r="D2500" s="31" t="s">
        <v>386</v>
      </c>
      <c r="E2500" s="31" t="s">
        <v>9681</v>
      </c>
      <c r="F2500" s="31" t="s">
        <v>31</v>
      </c>
      <c r="G2500" s="31">
        <v>96</v>
      </c>
      <c r="H2500" s="31">
        <v>10</v>
      </c>
      <c r="I2500" s="31">
        <v>32</v>
      </c>
      <c r="J2500" s="31" t="s">
        <v>9682</v>
      </c>
      <c r="K2500" s="31" t="s">
        <v>55</v>
      </c>
      <c r="L2500" s="31" t="s">
        <v>56</v>
      </c>
      <c r="M2500" s="31">
        <v>251</v>
      </c>
      <c r="N2500" s="31">
        <v>2008</v>
      </c>
      <c r="O2500" s="31" t="s">
        <v>220</v>
      </c>
      <c r="P2500" s="31"/>
      <c r="Q2500" s="31"/>
      <c r="R2500" s="33"/>
      <c r="S2500" s="34" t="str">
        <f>HYPERLINK("http://www.cnpol.ru/covers/9015.jpg","фото на сайте")</f>
        <v>фото на сайте</v>
      </c>
    </row>
    <row r="2501" spans="1:19" ht="50.1" customHeight="1">
      <c r="A2501" s="31"/>
      <c r="B2501" s="32" t="s">
        <v>9683</v>
      </c>
      <c r="C2501" s="31" t="s">
        <v>385</v>
      </c>
      <c r="D2501" s="31" t="s">
        <v>386</v>
      </c>
      <c r="E2501" s="31" t="s">
        <v>9681</v>
      </c>
      <c r="F2501" s="31" t="s">
        <v>31</v>
      </c>
      <c r="G2501" s="31">
        <v>162</v>
      </c>
      <c r="H2501" s="31">
        <v>10</v>
      </c>
      <c r="I2501" s="31">
        <v>32</v>
      </c>
      <c r="J2501" s="31" t="s">
        <v>9684</v>
      </c>
      <c r="K2501" s="31" t="s">
        <v>55</v>
      </c>
      <c r="L2501" s="31" t="s">
        <v>56</v>
      </c>
      <c r="M2501" s="31">
        <v>256</v>
      </c>
      <c r="N2501" s="31">
        <v>2016</v>
      </c>
      <c r="O2501" s="31">
        <v>110</v>
      </c>
      <c r="P2501" s="31"/>
      <c r="Q2501" s="31"/>
      <c r="R2501" s="33"/>
      <c r="S2501" s="34" t="str">
        <f>HYPERLINK("http://www.cnpol.ru/covers/0147.jpg","фото на сайте")</f>
        <v>фото на сайте</v>
      </c>
    </row>
    <row r="2502" spans="1:19" ht="50.1" customHeight="1">
      <c r="A2502" s="31"/>
      <c r="B2502" s="32" t="s">
        <v>9685</v>
      </c>
      <c r="C2502" s="31" t="s">
        <v>390</v>
      </c>
      <c r="D2502" s="31" t="s">
        <v>3214</v>
      </c>
      <c r="E2502" s="31" t="s">
        <v>9686</v>
      </c>
      <c r="F2502" s="31">
        <v>1112</v>
      </c>
      <c r="G2502" s="31">
        <v>86</v>
      </c>
      <c r="H2502" s="31">
        <v>10</v>
      </c>
      <c r="I2502" s="31">
        <v>30</v>
      </c>
      <c r="J2502" s="31" t="s">
        <v>9687</v>
      </c>
      <c r="K2502" s="31" t="s">
        <v>123</v>
      </c>
      <c r="L2502" s="31" t="s">
        <v>56</v>
      </c>
      <c r="M2502" s="31">
        <v>159</v>
      </c>
      <c r="N2502" s="31">
        <v>2022</v>
      </c>
      <c r="O2502" s="31">
        <v>76</v>
      </c>
      <c r="P2502" s="31"/>
      <c r="Q2502" s="31"/>
      <c r="R2502" s="33" t="s">
        <v>9688</v>
      </c>
      <c r="S2502" s="34" t="str">
        <f>HYPERLINK("http://www.cnpol.ru/covers/20433.jpg","фото на сайте")</f>
        <v>фото на сайте</v>
      </c>
    </row>
    <row r="2503" spans="1:19" ht="50.1" customHeight="1">
      <c r="A2503" s="31"/>
      <c r="B2503" s="32" t="s">
        <v>9689</v>
      </c>
      <c r="C2503" s="31" t="s">
        <v>546</v>
      </c>
      <c r="D2503" s="31" t="s">
        <v>1698</v>
      </c>
      <c r="E2503" s="31" t="s">
        <v>9690</v>
      </c>
      <c r="F2503" s="31">
        <v>433</v>
      </c>
      <c r="G2503" s="31">
        <v>93</v>
      </c>
      <c r="H2503" s="31">
        <v>10</v>
      </c>
      <c r="I2503" s="31">
        <v>30</v>
      </c>
      <c r="J2503" s="31" t="s">
        <v>9691</v>
      </c>
      <c r="K2503" s="31" t="s">
        <v>123</v>
      </c>
      <c r="L2503" s="31" t="s">
        <v>56</v>
      </c>
      <c r="M2503" s="31">
        <v>159</v>
      </c>
      <c r="N2503" s="31">
        <v>2023</v>
      </c>
      <c r="O2503" s="31">
        <v>76</v>
      </c>
      <c r="P2503" s="31"/>
      <c r="Q2503" s="31"/>
      <c r="R2503" s="33" t="s">
        <v>9692</v>
      </c>
      <c r="S2503" s="34" t="str">
        <f>HYPERLINK("http://www.cnpol.ru/covers/20787.jpg","фото на сайте")</f>
        <v>фото на сайте</v>
      </c>
    </row>
    <row r="2504" spans="1:19" ht="50.1" customHeight="1">
      <c r="A2504" s="31"/>
      <c r="B2504" s="32" t="s">
        <v>9693</v>
      </c>
      <c r="C2504" s="31" t="s">
        <v>390</v>
      </c>
      <c r="D2504" s="31" t="s">
        <v>3214</v>
      </c>
      <c r="E2504" s="31" t="s">
        <v>9694</v>
      </c>
      <c r="F2504" s="31">
        <v>1133</v>
      </c>
      <c r="G2504" s="31">
        <v>86</v>
      </c>
      <c r="H2504" s="31">
        <v>10</v>
      </c>
      <c r="I2504" s="31">
        <v>30</v>
      </c>
      <c r="J2504" s="31" t="s">
        <v>9695</v>
      </c>
      <c r="K2504" s="31" t="s">
        <v>123</v>
      </c>
      <c r="L2504" s="31" t="s">
        <v>56</v>
      </c>
      <c r="M2504" s="31">
        <v>159</v>
      </c>
      <c r="N2504" s="31">
        <v>2023</v>
      </c>
      <c r="O2504" s="31">
        <v>76</v>
      </c>
      <c r="P2504" s="31"/>
      <c r="Q2504" s="31"/>
      <c r="R2504" s="33" t="s">
        <v>9696</v>
      </c>
      <c r="S2504" s="34" t="str">
        <f>HYPERLINK("http://www.cnpol.ru/covers/20576.jpg","фото на сайте")</f>
        <v>фото на сайте</v>
      </c>
    </row>
    <row r="2505" spans="1:19" ht="50.1" customHeight="1">
      <c r="A2505" s="31"/>
      <c r="B2505" s="32" t="s">
        <v>9697</v>
      </c>
      <c r="C2505" s="31" t="s">
        <v>390</v>
      </c>
      <c r="D2505" s="31" t="s">
        <v>3507</v>
      </c>
      <c r="E2505" s="31" t="s">
        <v>9698</v>
      </c>
      <c r="F2505" s="31">
        <v>1065</v>
      </c>
      <c r="G2505" s="31">
        <v>86</v>
      </c>
      <c r="H2505" s="31">
        <v>10</v>
      </c>
      <c r="I2505" s="31">
        <v>30</v>
      </c>
      <c r="J2505" s="31" t="s">
        <v>9699</v>
      </c>
      <c r="K2505" s="31" t="s">
        <v>123</v>
      </c>
      <c r="L2505" s="31" t="s">
        <v>56</v>
      </c>
      <c r="M2505" s="31">
        <v>159</v>
      </c>
      <c r="N2505" s="31">
        <v>2021</v>
      </c>
      <c r="O2505" s="31">
        <v>76</v>
      </c>
      <c r="P2505" s="31"/>
      <c r="Q2505" s="31"/>
      <c r="R2505" s="33"/>
      <c r="S2505" s="34" t="str">
        <f>HYPERLINK("http://www.cnpol.ru/covers/19928.jpg","фото на сайте")</f>
        <v>фото на сайте</v>
      </c>
    </row>
    <row r="2506" spans="1:19" ht="50.1" customHeight="1">
      <c r="A2506" s="31"/>
      <c r="B2506" s="32" t="s">
        <v>9700</v>
      </c>
      <c r="C2506" s="31" t="s">
        <v>546</v>
      </c>
      <c r="D2506" s="31" t="s">
        <v>4519</v>
      </c>
      <c r="E2506" s="31" t="s">
        <v>9701</v>
      </c>
      <c r="F2506" s="31">
        <v>405</v>
      </c>
      <c r="G2506" s="31">
        <v>93</v>
      </c>
      <c r="H2506" s="31">
        <v>10</v>
      </c>
      <c r="I2506" s="31">
        <v>30</v>
      </c>
      <c r="J2506" s="31" t="s">
        <v>9702</v>
      </c>
      <c r="K2506" s="31" t="s">
        <v>123</v>
      </c>
      <c r="L2506" s="31" t="s">
        <v>56</v>
      </c>
      <c r="M2506" s="31">
        <v>159</v>
      </c>
      <c r="N2506" s="31">
        <v>2022</v>
      </c>
      <c r="O2506" s="31">
        <v>76</v>
      </c>
      <c r="P2506" s="31"/>
      <c r="Q2506" s="31"/>
      <c r="R2506" s="33"/>
      <c r="S2506" s="34" t="str">
        <f>HYPERLINK("http://www.cnpol.ru/covers/20272.jpg","фото на сайте")</f>
        <v>фото на сайте</v>
      </c>
    </row>
    <row r="2507" spans="1:19" ht="50.1" customHeight="1">
      <c r="A2507" s="31"/>
      <c r="B2507" s="32" t="s">
        <v>9703</v>
      </c>
      <c r="C2507" s="31" t="s">
        <v>390</v>
      </c>
      <c r="D2507" s="31" t="s">
        <v>9704</v>
      </c>
      <c r="E2507" s="31" t="s">
        <v>9705</v>
      </c>
      <c r="F2507" s="31">
        <v>302</v>
      </c>
      <c r="G2507" s="31">
        <v>86</v>
      </c>
      <c r="H2507" s="31">
        <v>10</v>
      </c>
      <c r="I2507" s="31">
        <v>30</v>
      </c>
      <c r="J2507" s="31" t="s">
        <v>9706</v>
      </c>
      <c r="K2507" s="31" t="s">
        <v>123</v>
      </c>
      <c r="L2507" s="31" t="s">
        <v>56</v>
      </c>
      <c r="M2507" s="31">
        <v>158</v>
      </c>
      <c r="N2507" s="31">
        <v>2013</v>
      </c>
      <c r="O2507" s="31">
        <v>76</v>
      </c>
      <c r="P2507" s="31"/>
      <c r="Q2507" s="31"/>
      <c r="R2507" s="33"/>
      <c r="S2507" s="34" t="str">
        <f>HYPERLINK("http://www.cnpol.ru/covers/14120.jpg","фото на сайте")</f>
        <v>фото на сайте</v>
      </c>
    </row>
    <row r="2508" spans="1:19" ht="50.1" customHeight="1">
      <c r="A2508" s="31"/>
      <c r="B2508" s="32" t="s">
        <v>9707</v>
      </c>
      <c r="C2508" s="31" t="s">
        <v>4411</v>
      </c>
      <c r="D2508" s="31" t="s">
        <v>3754</v>
      </c>
      <c r="E2508" s="31" t="s">
        <v>9708</v>
      </c>
      <c r="F2508" s="31" t="s">
        <v>31</v>
      </c>
      <c r="G2508" s="31">
        <v>288</v>
      </c>
      <c r="H2508" s="31">
        <v>10</v>
      </c>
      <c r="I2508" s="31">
        <v>20</v>
      </c>
      <c r="J2508" s="31" t="s">
        <v>9709</v>
      </c>
      <c r="K2508" s="31" t="s">
        <v>123</v>
      </c>
      <c r="L2508" s="31" t="s">
        <v>56</v>
      </c>
      <c r="M2508" s="31">
        <v>347</v>
      </c>
      <c r="N2508" s="31">
        <v>2021</v>
      </c>
      <c r="O2508" s="31">
        <v>160</v>
      </c>
      <c r="P2508" s="31"/>
      <c r="Q2508" s="31"/>
      <c r="R2508" s="33"/>
      <c r="S2508" s="34" t="str">
        <f>HYPERLINK("http://www.cnpol.ru/covers/19917.jpg","фото на сайте")</f>
        <v>фото на сайте</v>
      </c>
    </row>
    <row r="2509" spans="1:19" ht="50.1" customHeight="1">
      <c r="A2509" s="31"/>
      <c r="B2509" s="32" t="s">
        <v>9710</v>
      </c>
      <c r="C2509" s="31" t="s">
        <v>2420</v>
      </c>
      <c r="D2509" s="31" t="s">
        <v>9711</v>
      </c>
      <c r="E2509" s="31" t="s">
        <v>9712</v>
      </c>
      <c r="F2509" s="31" t="s">
        <v>31</v>
      </c>
      <c r="G2509" s="31">
        <v>88</v>
      </c>
      <c r="H2509" s="31">
        <v>10</v>
      </c>
      <c r="I2509" s="31">
        <v>30</v>
      </c>
      <c r="J2509" s="31" t="s">
        <v>9713</v>
      </c>
      <c r="K2509" s="31" t="s">
        <v>123</v>
      </c>
      <c r="L2509" s="31" t="s">
        <v>56</v>
      </c>
      <c r="M2509" s="31">
        <v>175</v>
      </c>
      <c r="N2509" s="31">
        <v>2007</v>
      </c>
      <c r="O2509" s="31">
        <v>88</v>
      </c>
      <c r="P2509" s="31"/>
      <c r="Q2509" s="31"/>
      <c r="R2509" s="33"/>
      <c r="S2509" s="34" t="str">
        <f>HYPERLINK("http://www.cnpol.ru/covers/7324.jpg","фото на сайте")</f>
        <v>фото на сайте</v>
      </c>
    </row>
    <row r="2510" spans="1:19" ht="50.1" customHeight="1">
      <c r="A2510" s="31"/>
      <c r="B2510" s="32" t="s">
        <v>9714</v>
      </c>
      <c r="C2510" s="31" t="s">
        <v>390</v>
      </c>
      <c r="D2510" s="31" t="s">
        <v>3610</v>
      </c>
      <c r="E2510" s="31" t="s">
        <v>9715</v>
      </c>
      <c r="F2510" s="31">
        <v>377</v>
      </c>
      <c r="G2510" s="31">
        <v>86</v>
      </c>
      <c r="H2510" s="31">
        <v>10</v>
      </c>
      <c r="I2510" s="31">
        <v>30</v>
      </c>
      <c r="J2510" s="31" t="s">
        <v>9716</v>
      </c>
      <c r="K2510" s="31" t="s">
        <v>123</v>
      </c>
      <c r="L2510" s="31" t="s">
        <v>56</v>
      </c>
      <c r="M2510" s="31">
        <v>158</v>
      </c>
      <c r="N2510" s="31">
        <v>2014</v>
      </c>
      <c r="O2510" s="31">
        <v>76</v>
      </c>
      <c r="P2510" s="31"/>
      <c r="Q2510" s="31"/>
      <c r="R2510" s="33"/>
      <c r="S2510" s="34" t="str">
        <f>HYPERLINK("http://www.cnpol.ru/covers/14823.jpg","фото на сайте")</f>
        <v>фото на сайте</v>
      </c>
    </row>
    <row r="2511" spans="1:19" ht="50.1" customHeight="1">
      <c r="A2511" s="31"/>
      <c r="B2511" s="32" t="s">
        <v>9717</v>
      </c>
      <c r="C2511" s="31" t="s">
        <v>390</v>
      </c>
      <c r="D2511" s="31" t="s">
        <v>391</v>
      </c>
      <c r="E2511" s="31" t="s">
        <v>9718</v>
      </c>
      <c r="F2511" s="31">
        <v>1116</v>
      </c>
      <c r="G2511" s="31">
        <v>86</v>
      </c>
      <c r="H2511" s="31">
        <v>10</v>
      </c>
      <c r="I2511" s="31">
        <v>30</v>
      </c>
      <c r="J2511" s="31" t="s">
        <v>9719</v>
      </c>
      <c r="K2511" s="31" t="s">
        <v>123</v>
      </c>
      <c r="L2511" s="31" t="s">
        <v>56</v>
      </c>
      <c r="M2511" s="31">
        <v>159</v>
      </c>
      <c r="N2511" s="31">
        <v>2022</v>
      </c>
      <c r="O2511" s="31">
        <v>76</v>
      </c>
      <c r="P2511" s="31"/>
      <c r="Q2511" s="31"/>
      <c r="R2511" s="33" t="s">
        <v>9720</v>
      </c>
      <c r="S2511" s="34" t="str">
        <f>HYPERLINK("http://www.cnpol.ru/covers/20440.jpg","фото на сайте")</f>
        <v>фото на сайте</v>
      </c>
    </row>
    <row r="2512" spans="1:19" ht="50.1" customHeight="1">
      <c r="A2512" s="31"/>
      <c r="B2512" s="32" t="s">
        <v>9721</v>
      </c>
      <c r="C2512" s="31" t="s">
        <v>302</v>
      </c>
      <c r="D2512" s="31" t="s">
        <v>5474</v>
      </c>
      <c r="E2512" s="31" t="s">
        <v>9722</v>
      </c>
      <c r="F2512" s="31" t="s">
        <v>31</v>
      </c>
      <c r="G2512" s="31">
        <v>801</v>
      </c>
      <c r="H2512" s="31">
        <v>10</v>
      </c>
      <c r="I2512" s="31">
        <v>12</v>
      </c>
      <c r="J2512" s="31" t="s">
        <v>9723</v>
      </c>
      <c r="K2512" s="31" t="s">
        <v>41</v>
      </c>
      <c r="L2512" s="31" t="s">
        <v>304</v>
      </c>
      <c r="M2512" s="31">
        <v>288</v>
      </c>
      <c r="N2512" s="31">
        <v>2017</v>
      </c>
      <c r="O2512" s="31">
        <v>386</v>
      </c>
      <c r="P2512" s="31"/>
      <c r="Q2512" s="31"/>
      <c r="R2512" s="33"/>
      <c r="S2512" s="34" t="str">
        <f>HYPERLINK("http://www.cnpol.ru/covers/17403.jpg","фото на сайте")</f>
        <v>фото на сайте</v>
      </c>
    </row>
    <row r="2513" spans="1:19" ht="50.1" customHeight="1">
      <c r="A2513" s="31" t="s">
        <v>35</v>
      </c>
      <c r="B2513" s="32" t="s">
        <v>9724</v>
      </c>
      <c r="C2513" s="31" t="s">
        <v>297</v>
      </c>
      <c r="D2513" s="31" t="s">
        <v>5474</v>
      </c>
      <c r="E2513" s="31" t="s">
        <v>9722</v>
      </c>
      <c r="F2513" s="31" t="s">
        <v>31</v>
      </c>
      <c r="G2513" s="31">
        <v>300</v>
      </c>
      <c r="H2513" s="31">
        <v>10</v>
      </c>
      <c r="I2513" s="31">
        <v>10</v>
      </c>
      <c r="J2513" s="31" t="s">
        <v>9725</v>
      </c>
      <c r="K2513" s="31" t="s">
        <v>300</v>
      </c>
      <c r="L2513" s="31" t="s">
        <v>56</v>
      </c>
      <c r="M2513" s="31">
        <v>287</v>
      </c>
      <c r="N2513" s="31">
        <v>2024</v>
      </c>
      <c r="O2513" s="31" t="s">
        <v>220</v>
      </c>
      <c r="P2513" s="31"/>
      <c r="Q2513" s="31"/>
      <c r="R2513" s="33" t="s">
        <v>9726</v>
      </c>
      <c r="S2513" s="34" t="str">
        <f>HYPERLINK("http://www.cnpol.ru/covers/21667.jpg","фото на сайте")</f>
        <v>фото на сайте</v>
      </c>
    </row>
    <row r="2514" spans="1:19" ht="50.1" customHeight="1">
      <c r="A2514" s="31"/>
      <c r="B2514" s="32" t="s">
        <v>9727</v>
      </c>
      <c r="C2514" s="31" t="s">
        <v>418</v>
      </c>
      <c r="D2514" s="31" t="s">
        <v>5706</v>
      </c>
      <c r="E2514" s="31" t="s">
        <v>9728</v>
      </c>
      <c r="F2514" s="31">
        <v>108</v>
      </c>
      <c r="G2514" s="31">
        <v>153</v>
      </c>
      <c r="H2514" s="31">
        <v>10</v>
      </c>
      <c r="I2514" s="31">
        <v>28</v>
      </c>
      <c r="J2514" s="31" t="s">
        <v>9729</v>
      </c>
      <c r="K2514" s="31" t="s">
        <v>123</v>
      </c>
      <c r="L2514" s="31" t="s">
        <v>56</v>
      </c>
      <c r="M2514" s="31">
        <v>256</v>
      </c>
      <c r="N2514" s="31">
        <v>2020</v>
      </c>
      <c r="O2514" s="31">
        <v>117</v>
      </c>
      <c r="P2514" s="31"/>
      <c r="Q2514" s="31"/>
      <c r="R2514" s="33"/>
      <c r="S2514" s="34" t="str">
        <f>HYPERLINK("http://www.cnpol.ru/covers/19183.jpg","фото на сайте")</f>
        <v>фото на сайте</v>
      </c>
    </row>
    <row r="2515" spans="1:19" ht="50.1" customHeight="1">
      <c r="A2515" s="31"/>
      <c r="B2515" s="32" t="s">
        <v>9730</v>
      </c>
      <c r="C2515" s="31" t="s">
        <v>28</v>
      </c>
      <c r="D2515" s="31" t="s">
        <v>2822</v>
      </c>
      <c r="E2515" s="31" t="s">
        <v>9731</v>
      </c>
      <c r="F2515" s="31" t="s">
        <v>31</v>
      </c>
      <c r="G2515" s="35">
        <v>1095</v>
      </c>
      <c r="H2515" s="31">
        <v>10</v>
      </c>
      <c r="I2515" s="31">
        <v>8</v>
      </c>
      <c r="J2515" s="31" t="s">
        <v>9732</v>
      </c>
      <c r="K2515" s="31" t="s">
        <v>33</v>
      </c>
      <c r="L2515" s="31" t="s">
        <v>34</v>
      </c>
      <c r="M2515" s="31">
        <v>800</v>
      </c>
      <c r="N2515" s="31">
        <v>2016</v>
      </c>
      <c r="O2515" s="31">
        <v>762</v>
      </c>
      <c r="P2515" s="31"/>
      <c r="Q2515" s="31"/>
      <c r="R2515" s="33"/>
      <c r="S2515" s="34" t="str">
        <f>HYPERLINK("http://www.cnpol.ru/covers/16839.jpg","фото на сайте")</f>
        <v>фото на сайте</v>
      </c>
    </row>
    <row r="2516" spans="1:19" ht="50.1" customHeight="1">
      <c r="A2516" s="31"/>
      <c r="B2516" s="32" t="s">
        <v>9733</v>
      </c>
      <c r="C2516" s="31" t="s">
        <v>390</v>
      </c>
      <c r="D2516" s="31" t="s">
        <v>989</v>
      </c>
      <c r="E2516" s="31" t="s">
        <v>9734</v>
      </c>
      <c r="F2516" s="31">
        <v>689</v>
      </c>
      <c r="G2516" s="31">
        <v>86</v>
      </c>
      <c r="H2516" s="31">
        <v>10</v>
      </c>
      <c r="I2516" s="31">
        <v>30</v>
      </c>
      <c r="J2516" s="31" t="s">
        <v>9735</v>
      </c>
      <c r="K2516" s="31" t="s">
        <v>123</v>
      </c>
      <c r="L2516" s="31" t="s">
        <v>56</v>
      </c>
      <c r="M2516" s="31">
        <v>160</v>
      </c>
      <c r="N2516" s="31">
        <v>2017</v>
      </c>
      <c r="O2516" s="31">
        <v>76</v>
      </c>
      <c r="P2516" s="31"/>
      <c r="Q2516" s="31"/>
      <c r="R2516" s="33"/>
      <c r="S2516" s="34" t="str">
        <f>HYPERLINK("http://www.cnpol.ru/covers/17294.jpg","фото на сайте")</f>
        <v>фото на сайте</v>
      </c>
    </row>
    <row r="2517" spans="1:19" ht="50.1" customHeight="1">
      <c r="A2517" s="31"/>
      <c r="B2517" s="32" t="s">
        <v>9736</v>
      </c>
      <c r="C2517" s="31" t="s">
        <v>390</v>
      </c>
      <c r="D2517" s="31" t="s">
        <v>9737</v>
      </c>
      <c r="E2517" s="31" t="s">
        <v>9738</v>
      </c>
      <c r="F2517" s="31">
        <v>1098</v>
      </c>
      <c r="G2517" s="31">
        <v>86</v>
      </c>
      <c r="H2517" s="31">
        <v>10</v>
      </c>
      <c r="I2517" s="31">
        <v>30</v>
      </c>
      <c r="J2517" s="31" t="s">
        <v>9739</v>
      </c>
      <c r="K2517" s="31" t="s">
        <v>123</v>
      </c>
      <c r="L2517" s="31" t="s">
        <v>56</v>
      </c>
      <c r="M2517" s="31">
        <v>159</v>
      </c>
      <c r="N2517" s="31">
        <v>2022</v>
      </c>
      <c r="O2517" s="31">
        <v>76</v>
      </c>
      <c r="P2517" s="31"/>
      <c r="Q2517" s="31"/>
      <c r="R2517" s="33"/>
      <c r="S2517" s="34" t="str">
        <f>HYPERLINK("http://www.cnpol.ru/covers/20311.jpg","фото на сайте")</f>
        <v>фото на сайте</v>
      </c>
    </row>
    <row r="2518" spans="1:19" ht="50.1" customHeight="1">
      <c r="A2518" s="31" t="s">
        <v>43</v>
      </c>
      <c r="B2518" s="32" t="s">
        <v>9740</v>
      </c>
      <c r="C2518" s="31" t="s">
        <v>119</v>
      </c>
      <c r="D2518" s="31" t="s">
        <v>9741</v>
      </c>
      <c r="E2518" s="31" t="s">
        <v>9742</v>
      </c>
      <c r="F2518" s="31" t="s">
        <v>31</v>
      </c>
      <c r="G2518" s="31">
        <v>637</v>
      </c>
      <c r="H2518" s="31">
        <v>10</v>
      </c>
      <c r="I2518" s="31">
        <v>14</v>
      </c>
      <c r="J2518" s="31" t="s">
        <v>9743</v>
      </c>
      <c r="K2518" s="31" t="s">
        <v>194</v>
      </c>
      <c r="L2518" s="31" t="s">
        <v>34</v>
      </c>
      <c r="M2518" s="31">
        <v>287</v>
      </c>
      <c r="N2518" s="31">
        <v>2024</v>
      </c>
      <c r="O2518" s="31">
        <v>265</v>
      </c>
      <c r="P2518" s="31"/>
      <c r="Q2518" s="31"/>
      <c r="R2518" s="33" t="s">
        <v>9744</v>
      </c>
      <c r="S2518" s="34" t="str">
        <f>HYPERLINK("http://www.cnpol.ru/covers/21091.jpg","фото на сайте")</f>
        <v>фото на сайте</v>
      </c>
    </row>
    <row r="2519" spans="1:19" ht="50.1" customHeight="1">
      <c r="A2519" s="31"/>
      <c r="B2519" s="32" t="s">
        <v>9745</v>
      </c>
      <c r="C2519" s="31" t="s">
        <v>968</v>
      </c>
      <c r="D2519" s="31" t="s">
        <v>9746</v>
      </c>
      <c r="E2519" s="31" t="s">
        <v>9747</v>
      </c>
      <c r="F2519" s="31" t="s">
        <v>31</v>
      </c>
      <c r="G2519" s="31">
        <v>178</v>
      </c>
      <c r="H2519" s="31">
        <v>10</v>
      </c>
      <c r="I2519" s="31">
        <v>32</v>
      </c>
      <c r="J2519" s="31" t="s">
        <v>9748</v>
      </c>
      <c r="K2519" s="31" t="s">
        <v>123</v>
      </c>
      <c r="L2519" s="31" t="s">
        <v>56</v>
      </c>
      <c r="M2519" s="31">
        <v>287</v>
      </c>
      <c r="N2519" s="31">
        <v>2014</v>
      </c>
      <c r="O2519" s="31">
        <v>134</v>
      </c>
      <c r="P2519" s="31"/>
      <c r="Q2519" s="31"/>
      <c r="R2519" s="33"/>
      <c r="S2519" s="34" t="str">
        <f>HYPERLINK("http://www.cnpol.ru/covers/15035.jpg","фото на сайте")</f>
        <v>фото на сайте</v>
      </c>
    </row>
    <row r="2520" spans="1:19" ht="50.1" customHeight="1">
      <c r="A2520" s="31"/>
      <c r="B2520" s="32" t="s">
        <v>9749</v>
      </c>
      <c r="C2520" s="31" t="s">
        <v>1311</v>
      </c>
      <c r="D2520" s="31" t="s">
        <v>9746</v>
      </c>
      <c r="E2520" s="31" t="s">
        <v>9747</v>
      </c>
      <c r="F2520" s="31" t="s">
        <v>31</v>
      </c>
      <c r="G2520" s="31">
        <v>486</v>
      </c>
      <c r="H2520" s="31">
        <v>10</v>
      </c>
      <c r="I2520" s="31">
        <v>16</v>
      </c>
      <c r="J2520" s="31" t="s">
        <v>9750</v>
      </c>
      <c r="K2520" s="31" t="s">
        <v>33</v>
      </c>
      <c r="L2520" s="31" t="s">
        <v>34</v>
      </c>
      <c r="M2520" s="31">
        <v>255</v>
      </c>
      <c r="N2520" s="31">
        <v>2008</v>
      </c>
      <c r="O2520" s="31">
        <v>250</v>
      </c>
      <c r="P2520" s="31"/>
      <c r="Q2520" s="31"/>
      <c r="R2520" s="33"/>
      <c r="S2520" s="34" t="str">
        <f>HYPERLINK("http://www.cnpol.ru/covers/10684.jpg","фото на сайте")</f>
        <v>фото на сайте</v>
      </c>
    </row>
    <row r="2521" spans="1:19" ht="50.1" customHeight="1">
      <c r="A2521" s="31"/>
      <c r="B2521" s="32" t="s">
        <v>9751</v>
      </c>
      <c r="C2521" s="31" t="s">
        <v>538</v>
      </c>
      <c r="D2521" s="31" t="s">
        <v>9752</v>
      </c>
      <c r="E2521" s="31" t="s">
        <v>9753</v>
      </c>
      <c r="F2521" s="31" t="s">
        <v>31</v>
      </c>
      <c r="G2521" s="31">
        <v>559</v>
      </c>
      <c r="H2521" s="31">
        <v>10</v>
      </c>
      <c r="I2521" s="31">
        <v>12</v>
      </c>
      <c r="J2521" s="31" t="s">
        <v>9754</v>
      </c>
      <c r="K2521" s="31" t="s">
        <v>33</v>
      </c>
      <c r="L2521" s="31" t="s">
        <v>34</v>
      </c>
      <c r="M2521" s="31">
        <v>350</v>
      </c>
      <c r="N2521" s="31">
        <v>2008</v>
      </c>
      <c r="O2521" s="31">
        <v>322</v>
      </c>
      <c r="P2521" s="31"/>
      <c r="Q2521" s="31"/>
      <c r="R2521" s="33"/>
      <c r="S2521" s="34" t="str">
        <f>HYPERLINK("http://www.cnpol.ru/covers/10826.jpg","фото на сайте")</f>
        <v>фото на сайте</v>
      </c>
    </row>
    <row r="2522" spans="1:19" ht="50.1" customHeight="1">
      <c r="A2522" s="31"/>
      <c r="B2522" s="32" t="s">
        <v>9755</v>
      </c>
      <c r="C2522" s="31" t="s">
        <v>390</v>
      </c>
      <c r="D2522" s="31" t="s">
        <v>7377</v>
      </c>
      <c r="E2522" s="31" t="s">
        <v>9756</v>
      </c>
      <c r="F2522" s="31">
        <v>568</v>
      </c>
      <c r="G2522" s="31">
        <v>86</v>
      </c>
      <c r="H2522" s="31">
        <v>10</v>
      </c>
      <c r="I2522" s="31">
        <v>30</v>
      </c>
      <c r="J2522" s="31" t="s">
        <v>9757</v>
      </c>
      <c r="K2522" s="31" t="s">
        <v>123</v>
      </c>
      <c r="L2522" s="31" t="s">
        <v>56</v>
      </c>
      <c r="M2522" s="31">
        <v>158</v>
      </c>
      <c r="N2522" s="31">
        <v>2015</v>
      </c>
      <c r="O2522" s="31">
        <v>76</v>
      </c>
      <c r="P2522" s="31"/>
      <c r="Q2522" s="31"/>
      <c r="R2522" s="33"/>
      <c r="S2522" s="34" t="str">
        <f>HYPERLINK("http://www.cnpol.ru/covers/16375.jpg","фото на сайте")</f>
        <v>фото на сайте</v>
      </c>
    </row>
    <row r="2523" spans="1:19" ht="50.1" customHeight="1">
      <c r="A2523" s="31"/>
      <c r="B2523" s="32" t="s">
        <v>9758</v>
      </c>
      <c r="C2523" s="31" t="s">
        <v>390</v>
      </c>
      <c r="D2523" s="31" t="s">
        <v>1850</v>
      </c>
      <c r="E2523" s="31" t="s">
        <v>9759</v>
      </c>
      <c r="F2523" s="31">
        <v>1103</v>
      </c>
      <c r="G2523" s="31">
        <v>86</v>
      </c>
      <c r="H2523" s="31">
        <v>10</v>
      </c>
      <c r="I2523" s="31">
        <v>30</v>
      </c>
      <c r="J2523" s="31" t="s">
        <v>9760</v>
      </c>
      <c r="K2523" s="31" t="s">
        <v>123</v>
      </c>
      <c r="L2523" s="31" t="s">
        <v>56</v>
      </c>
      <c r="M2523" s="31">
        <v>159</v>
      </c>
      <c r="N2523" s="31">
        <v>2022</v>
      </c>
      <c r="O2523" s="31">
        <v>76</v>
      </c>
      <c r="P2523" s="31"/>
      <c r="Q2523" s="31"/>
      <c r="R2523" s="33"/>
      <c r="S2523" s="34" t="str">
        <f>HYPERLINK("http://www.cnpol.ru/covers/20350.jpg","фото на сайте")</f>
        <v>фото на сайте</v>
      </c>
    </row>
    <row r="2524" spans="1:19" ht="50.1" customHeight="1">
      <c r="A2524" s="31"/>
      <c r="B2524" s="32" t="s">
        <v>9761</v>
      </c>
      <c r="C2524" s="31" t="s">
        <v>546</v>
      </c>
      <c r="D2524" s="31" t="s">
        <v>6100</v>
      </c>
      <c r="E2524" s="31" t="s">
        <v>9762</v>
      </c>
      <c r="F2524" s="31">
        <v>402</v>
      </c>
      <c r="G2524" s="31">
        <v>93</v>
      </c>
      <c r="H2524" s="31">
        <v>10</v>
      </c>
      <c r="I2524" s="31">
        <v>30</v>
      </c>
      <c r="J2524" s="31" t="s">
        <v>9763</v>
      </c>
      <c r="K2524" s="31" t="s">
        <v>123</v>
      </c>
      <c r="L2524" s="31" t="s">
        <v>56</v>
      </c>
      <c r="M2524" s="31">
        <v>159</v>
      </c>
      <c r="N2524" s="31">
        <v>2022</v>
      </c>
      <c r="O2524" s="31">
        <v>76</v>
      </c>
      <c r="P2524" s="31"/>
      <c r="Q2524" s="31"/>
      <c r="R2524" s="33"/>
      <c r="S2524" s="34" t="str">
        <f>HYPERLINK("http://www.cnpol.ru/covers/20184.jpg","фото на сайте")</f>
        <v>фото на сайте</v>
      </c>
    </row>
    <row r="2525" spans="1:19" ht="50.1" customHeight="1">
      <c r="A2525" s="31"/>
      <c r="B2525" s="32" t="s">
        <v>9764</v>
      </c>
      <c r="C2525" s="31" t="s">
        <v>1323</v>
      </c>
      <c r="D2525" s="31" t="s">
        <v>2347</v>
      </c>
      <c r="E2525" s="31" t="s">
        <v>9765</v>
      </c>
      <c r="F2525" s="31" t="s">
        <v>31</v>
      </c>
      <c r="G2525" s="31">
        <v>169</v>
      </c>
      <c r="H2525" s="31">
        <v>10</v>
      </c>
      <c r="I2525" s="31">
        <v>40</v>
      </c>
      <c r="J2525" s="31" t="s">
        <v>9766</v>
      </c>
      <c r="K2525" s="31" t="s">
        <v>55</v>
      </c>
      <c r="L2525" s="31" t="s">
        <v>56</v>
      </c>
      <c r="M2525" s="31">
        <v>288</v>
      </c>
      <c r="N2525" s="31">
        <v>2019</v>
      </c>
      <c r="O2525" s="31">
        <v>122</v>
      </c>
      <c r="P2525" s="31"/>
      <c r="Q2525" s="31"/>
      <c r="R2525" s="33"/>
      <c r="S2525" s="34" t="str">
        <f>HYPERLINK("http://www.cnpol.ru/covers/18661.jpg","фото на сайте")</f>
        <v>фото на сайте</v>
      </c>
    </row>
    <row r="2526" spans="1:19" ht="50.1" customHeight="1">
      <c r="A2526" s="31"/>
      <c r="B2526" s="32" t="s">
        <v>9767</v>
      </c>
      <c r="C2526" s="31" t="s">
        <v>3422</v>
      </c>
      <c r="D2526" s="31" t="s">
        <v>4849</v>
      </c>
      <c r="E2526" s="31" t="s">
        <v>9768</v>
      </c>
      <c r="F2526" s="31" t="s">
        <v>31</v>
      </c>
      <c r="G2526" s="31">
        <v>112</v>
      </c>
      <c r="H2526" s="31">
        <v>10</v>
      </c>
      <c r="I2526" s="31">
        <v>20</v>
      </c>
      <c r="J2526" s="31" t="s">
        <v>9769</v>
      </c>
      <c r="K2526" s="31" t="s">
        <v>55</v>
      </c>
      <c r="L2526" s="31" t="s">
        <v>56</v>
      </c>
      <c r="M2526" s="31">
        <v>381</v>
      </c>
      <c r="N2526" s="31">
        <v>2008</v>
      </c>
      <c r="O2526" s="31">
        <v>158</v>
      </c>
      <c r="P2526" s="31"/>
      <c r="Q2526" s="31"/>
      <c r="R2526" s="33"/>
      <c r="S2526" s="34" t="str">
        <f>HYPERLINK("http://www.cnpol.ru/covers/7844.jpg","фото на сайте")</f>
        <v>фото на сайте</v>
      </c>
    </row>
    <row r="2527" spans="1:19" ht="50.1" customHeight="1">
      <c r="A2527" s="31" t="s">
        <v>43</v>
      </c>
      <c r="B2527" s="32" t="s">
        <v>9770</v>
      </c>
      <c r="C2527" s="31" t="s">
        <v>663</v>
      </c>
      <c r="D2527" s="31" t="s">
        <v>1379</v>
      </c>
      <c r="E2527" s="31" t="s">
        <v>6656</v>
      </c>
      <c r="F2527" s="31" t="s">
        <v>31</v>
      </c>
      <c r="G2527" s="35">
        <v>1443</v>
      </c>
      <c r="H2527" s="31">
        <v>10</v>
      </c>
      <c r="I2527" s="31">
        <v>4</v>
      </c>
      <c r="J2527" s="31" t="s">
        <v>9771</v>
      </c>
      <c r="K2527" s="31" t="s">
        <v>33</v>
      </c>
      <c r="L2527" s="31" t="s">
        <v>34</v>
      </c>
      <c r="M2527" s="31">
        <v>685</v>
      </c>
      <c r="N2527" s="31">
        <v>2025</v>
      </c>
      <c r="O2527" s="31">
        <v>441</v>
      </c>
      <c r="P2527" s="31"/>
      <c r="Q2527" s="31"/>
      <c r="R2527" s="33" t="s">
        <v>9772</v>
      </c>
      <c r="S2527" s="34" t="str">
        <f>HYPERLINK("http://www.cnpol.ru/covers/21573.jpg","фото на сайте")</f>
        <v>фото на сайте</v>
      </c>
    </row>
    <row r="2528" spans="1:19" ht="50.1" customHeight="1">
      <c r="A2528" s="31" t="s">
        <v>35</v>
      </c>
      <c r="B2528" s="32" t="s">
        <v>9773</v>
      </c>
      <c r="C2528" s="31" t="s">
        <v>1442</v>
      </c>
      <c r="D2528" s="31" t="s">
        <v>1443</v>
      </c>
      <c r="E2528" s="31" t="s">
        <v>9774</v>
      </c>
      <c r="F2528" s="31" t="s">
        <v>31</v>
      </c>
      <c r="G2528" s="35">
        <v>1022</v>
      </c>
      <c r="H2528" s="31">
        <v>10</v>
      </c>
      <c r="I2528" s="31">
        <v>5</v>
      </c>
      <c r="J2528" s="31" t="s">
        <v>9775</v>
      </c>
      <c r="K2528" s="31" t="s">
        <v>33</v>
      </c>
      <c r="L2528" s="31" t="s">
        <v>34</v>
      </c>
      <c r="M2528" s="31">
        <v>381</v>
      </c>
      <c r="N2528" s="31">
        <v>2025</v>
      </c>
      <c r="O2528" s="31">
        <v>455</v>
      </c>
      <c r="P2528" s="31"/>
      <c r="Q2528" s="31"/>
      <c r="R2528" s="33" t="s">
        <v>9776</v>
      </c>
      <c r="S2528" s="34" t="str">
        <f>HYPERLINK("http://www.cnpol.ru/covers/21777.jpg","фото на сайте")</f>
        <v>фото на сайте</v>
      </c>
    </row>
    <row r="2529" spans="1:19" ht="50.1" customHeight="1">
      <c r="A2529" s="31"/>
      <c r="B2529" s="32" t="s">
        <v>9777</v>
      </c>
      <c r="C2529" s="31" t="s">
        <v>546</v>
      </c>
      <c r="D2529" s="31" t="s">
        <v>9778</v>
      </c>
      <c r="E2529" s="31" t="s">
        <v>9779</v>
      </c>
      <c r="F2529" s="31">
        <v>177</v>
      </c>
      <c r="G2529" s="31">
        <v>93</v>
      </c>
      <c r="H2529" s="31">
        <v>10</v>
      </c>
      <c r="I2529" s="31">
        <v>30</v>
      </c>
      <c r="J2529" s="31" t="s">
        <v>9780</v>
      </c>
      <c r="K2529" s="31" t="s">
        <v>123</v>
      </c>
      <c r="L2529" s="31" t="s">
        <v>56</v>
      </c>
      <c r="M2529" s="31">
        <v>160</v>
      </c>
      <c r="N2529" s="31">
        <v>2016</v>
      </c>
      <c r="O2529" s="31">
        <v>76</v>
      </c>
      <c r="P2529" s="31"/>
      <c r="Q2529" s="31"/>
      <c r="R2529" s="33"/>
      <c r="S2529" s="34" t="str">
        <f>HYPERLINK("http://www.cnpol.ru/covers/16870.jpg","фото на сайте")</f>
        <v>фото на сайте</v>
      </c>
    </row>
    <row r="2530" spans="1:19" ht="50.1" customHeight="1">
      <c r="A2530" s="31"/>
      <c r="B2530" s="32" t="s">
        <v>9781</v>
      </c>
      <c r="C2530" s="31" t="s">
        <v>5849</v>
      </c>
      <c r="D2530" s="31" t="s">
        <v>386</v>
      </c>
      <c r="E2530" s="31" t="s">
        <v>9782</v>
      </c>
      <c r="F2530" s="31" t="s">
        <v>31</v>
      </c>
      <c r="G2530" s="31">
        <v>96</v>
      </c>
      <c r="H2530" s="31">
        <v>10</v>
      </c>
      <c r="I2530" s="31">
        <v>32</v>
      </c>
      <c r="J2530" s="31" t="s">
        <v>9783</v>
      </c>
      <c r="K2530" s="31" t="s">
        <v>55</v>
      </c>
      <c r="L2530" s="31" t="s">
        <v>56</v>
      </c>
      <c r="M2530" s="31">
        <v>222</v>
      </c>
      <c r="N2530" s="31">
        <v>2008</v>
      </c>
      <c r="O2530" s="31">
        <v>106</v>
      </c>
      <c r="P2530" s="31"/>
      <c r="Q2530" s="31"/>
      <c r="R2530" s="33"/>
      <c r="S2530" s="34" t="str">
        <f>HYPERLINK("http://www.cnpol.ru/covers/10418.jpg","фото на сайте")</f>
        <v>фото на сайте</v>
      </c>
    </row>
    <row r="2531" spans="1:19" ht="50.1" customHeight="1">
      <c r="A2531" s="31"/>
      <c r="B2531" s="32" t="s">
        <v>9784</v>
      </c>
      <c r="C2531" s="31" t="s">
        <v>385</v>
      </c>
      <c r="D2531" s="31" t="s">
        <v>386</v>
      </c>
      <c r="E2531" s="31" t="s">
        <v>9782</v>
      </c>
      <c r="F2531" s="31" t="s">
        <v>31</v>
      </c>
      <c r="G2531" s="31">
        <v>162</v>
      </c>
      <c r="H2531" s="31">
        <v>10</v>
      </c>
      <c r="I2531" s="31">
        <v>32</v>
      </c>
      <c r="J2531" s="31" t="s">
        <v>9785</v>
      </c>
      <c r="K2531" s="31" t="s">
        <v>55</v>
      </c>
      <c r="L2531" s="31" t="s">
        <v>56</v>
      </c>
      <c r="M2531" s="31">
        <v>222</v>
      </c>
      <c r="N2531" s="31">
        <v>2014</v>
      </c>
      <c r="O2531" s="31">
        <v>92</v>
      </c>
      <c r="P2531" s="31"/>
      <c r="Q2531" s="31"/>
      <c r="R2531" s="33"/>
      <c r="S2531" s="34" t="str">
        <f>HYPERLINK("http://www.cnpol.ru/covers/14899.jpg","фото на сайте")</f>
        <v>фото на сайте</v>
      </c>
    </row>
    <row r="2532" spans="1:19" ht="50.1" customHeight="1">
      <c r="A2532" s="31"/>
      <c r="B2532" s="32" t="s">
        <v>9786</v>
      </c>
      <c r="C2532" s="31" t="s">
        <v>385</v>
      </c>
      <c r="D2532" s="31" t="s">
        <v>386</v>
      </c>
      <c r="E2532" s="31" t="s">
        <v>9782</v>
      </c>
      <c r="F2532" s="31" t="s">
        <v>31</v>
      </c>
      <c r="G2532" s="31">
        <v>162</v>
      </c>
      <c r="H2532" s="31">
        <v>10</v>
      </c>
      <c r="I2532" s="31">
        <v>32</v>
      </c>
      <c r="J2532" s="31" t="s">
        <v>9787</v>
      </c>
      <c r="K2532" s="31" t="s">
        <v>55</v>
      </c>
      <c r="L2532" s="31" t="s">
        <v>56</v>
      </c>
      <c r="M2532" s="31">
        <v>224</v>
      </c>
      <c r="N2532" s="31">
        <v>2016</v>
      </c>
      <c r="O2532" s="31">
        <v>92</v>
      </c>
      <c r="P2532" s="31"/>
      <c r="Q2532" s="31"/>
      <c r="R2532" s="33"/>
      <c r="S2532" s="34" t="str">
        <f>HYPERLINK("http://www.cnpol.ru/covers/0160.jpg","фото на сайте")</f>
        <v>фото на сайте</v>
      </c>
    </row>
    <row r="2533" spans="1:19" ht="50.1" customHeight="1">
      <c r="A2533" s="31" t="s">
        <v>43</v>
      </c>
      <c r="B2533" s="32" t="s">
        <v>9788</v>
      </c>
      <c r="C2533" s="31" t="s">
        <v>9789</v>
      </c>
      <c r="D2533" s="31" t="s">
        <v>9790</v>
      </c>
      <c r="E2533" s="31" t="s">
        <v>9791</v>
      </c>
      <c r="F2533" s="31" t="s">
        <v>31</v>
      </c>
      <c r="G2533" s="31">
        <v>600</v>
      </c>
      <c r="H2533" s="31">
        <v>10</v>
      </c>
      <c r="I2533" s="31">
        <v>22</v>
      </c>
      <c r="J2533" s="31" t="s">
        <v>9792</v>
      </c>
      <c r="K2533" s="31" t="s">
        <v>33</v>
      </c>
      <c r="L2533" s="31" t="s">
        <v>34</v>
      </c>
      <c r="M2533" s="31">
        <v>125</v>
      </c>
      <c r="N2533" s="31">
        <v>2025</v>
      </c>
      <c r="O2533" s="31">
        <v>153</v>
      </c>
      <c r="P2533" s="31"/>
      <c r="Q2533" s="31"/>
      <c r="R2533" s="33" t="s">
        <v>9793</v>
      </c>
      <c r="S2533" s="34" t="str">
        <f>HYPERLINK("http://www.cnpol.ru/covers/21620.jpg","фото на сайте")</f>
        <v>фото на сайте</v>
      </c>
    </row>
    <row r="2534" spans="1:19" ht="50.1" customHeight="1">
      <c r="A2534" s="31"/>
      <c r="B2534" s="32" t="s">
        <v>9794</v>
      </c>
      <c r="C2534" s="31" t="s">
        <v>37</v>
      </c>
      <c r="D2534" s="31" t="s">
        <v>9795</v>
      </c>
      <c r="E2534" s="31" t="s">
        <v>9796</v>
      </c>
      <c r="F2534" s="31" t="s">
        <v>31</v>
      </c>
      <c r="G2534" s="31">
        <v>539</v>
      </c>
      <c r="H2534" s="31">
        <v>10</v>
      </c>
      <c r="I2534" s="31">
        <v>14</v>
      </c>
      <c r="J2534" s="31" t="s">
        <v>9797</v>
      </c>
      <c r="K2534" s="31" t="s">
        <v>33</v>
      </c>
      <c r="L2534" s="31" t="s">
        <v>34</v>
      </c>
      <c r="M2534" s="31">
        <v>320</v>
      </c>
      <c r="N2534" s="31">
        <v>2017</v>
      </c>
      <c r="O2534" s="31">
        <v>276</v>
      </c>
      <c r="P2534" s="31"/>
      <c r="Q2534" s="31"/>
      <c r="R2534" s="33"/>
      <c r="S2534" s="34" t="str">
        <f>HYPERLINK("http://www.cnpol.ru/covers/17517.jpg","фото на сайте")</f>
        <v>фото на сайте</v>
      </c>
    </row>
    <row r="2535" spans="1:19" ht="50.1" customHeight="1">
      <c r="A2535" s="31"/>
      <c r="B2535" s="32" t="s">
        <v>9798</v>
      </c>
      <c r="C2535" s="31" t="s">
        <v>37</v>
      </c>
      <c r="D2535" s="31" t="s">
        <v>9799</v>
      </c>
      <c r="E2535" s="31" t="s">
        <v>9800</v>
      </c>
      <c r="F2535" s="31" t="s">
        <v>31</v>
      </c>
      <c r="G2535" s="35">
        <v>1632</v>
      </c>
      <c r="H2535" s="31">
        <v>10</v>
      </c>
      <c r="I2535" s="31">
        <v>6</v>
      </c>
      <c r="J2535" s="31" t="s">
        <v>9801</v>
      </c>
      <c r="K2535" s="31" t="s">
        <v>41</v>
      </c>
      <c r="L2535" s="31" t="s">
        <v>34</v>
      </c>
      <c r="M2535" s="31">
        <v>638</v>
      </c>
      <c r="N2535" s="31">
        <v>2024</v>
      </c>
      <c r="O2535" s="31">
        <v>725</v>
      </c>
      <c r="P2535" s="31"/>
      <c r="Q2535" s="31"/>
      <c r="R2535" s="33" t="s">
        <v>9802</v>
      </c>
      <c r="S2535" s="34" t="str">
        <f>HYPERLINK("http://www.cnpol.ru/covers/20981.jpg","фото на сайте")</f>
        <v>фото на сайте</v>
      </c>
    </row>
    <row r="2536" spans="1:19" ht="50.1" customHeight="1">
      <c r="A2536" s="31" t="s">
        <v>43</v>
      </c>
      <c r="B2536" s="32" t="s">
        <v>9803</v>
      </c>
      <c r="C2536" s="31" t="s">
        <v>143</v>
      </c>
      <c r="D2536" s="31" t="s">
        <v>9804</v>
      </c>
      <c r="E2536" s="31" t="s">
        <v>9805</v>
      </c>
      <c r="F2536" s="31" t="s">
        <v>31</v>
      </c>
      <c r="G2536" s="35">
        <v>1601</v>
      </c>
      <c r="H2536" s="31">
        <v>10</v>
      </c>
      <c r="I2536" s="31">
        <v>6</v>
      </c>
      <c r="J2536" s="31" t="s">
        <v>9806</v>
      </c>
      <c r="K2536" s="31" t="s">
        <v>41</v>
      </c>
      <c r="L2536" s="31" t="s">
        <v>34</v>
      </c>
      <c r="M2536" s="31">
        <v>623</v>
      </c>
      <c r="N2536" s="31">
        <v>2024</v>
      </c>
      <c r="O2536" s="31">
        <v>716</v>
      </c>
      <c r="P2536" s="31"/>
      <c r="Q2536" s="31"/>
      <c r="R2536" s="33" t="s">
        <v>9807</v>
      </c>
      <c r="S2536" s="34" t="str">
        <f>HYPERLINK("http://www.cnpol.ru/covers/21028.jpg","фото на сайте")</f>
        <v>фото на сайте</v>
      </c>
    </row>
    <row r="2537" spans="1:19" ht="50.1" customHeight="1">
      <c r="A2537" s="31"/>
      <c r="B2537" s="32" t="s">
        <v>9808</v>
      </c>
      <c r="C2537" s="31" t="s">
        <v>9809</v>
      </c>
      <c r="D2537" s="31" t="s">
        <v>4418</v>
      </c>
      <c r="E2537" s="31" t="s">
        <v>9810</v>
      </c>
      <c r="F2537" s="31" t="s">
        <v>31</v>
      </c>
      <c r="G2537" s="31">
        <v>112</v>
      </c>
      <c r="H2537" s="31">
        <v>10</v>
      </c>
      <c r="I2537" s="31">
        <v>40</v>
      </c>
      <c r="J2537" s="31" t="s">
        <v>9811</v>
      </c>
      <c r="K2537" s="31" t="s">
        <v>130</v>
      </c>
      <c r="L2537" s="31" t="s">
        <v>56</v>
      </c>
      <c r="M2537" s="31">
        <v>157</v>
      </c>
      <c r="N2537" s="31">
        <v>2004</v>
      </c>
      <c r="O2537" s="31">
        <v>102</v>
      </c>
      <c r="P2537" s="31"/>
      <c r="Q2537" s="31"/>
      <c r="R2537" s="33"/>
      <c r="S2537" s="34" t="str">
        <f>HYPERLINK("http://www.cnpol.ru/covers/4888.jpg","фото на сайте")</f>
        <v>фото на сайте</v>
      </c>
    </row>
    <row r="2538" spans="1:19" ht="50.1" customHeight="1">
      <c r="A2538" s="31"/>
      <c r="B2538" s="32" t="s">
        <v>9812</v>
      </c>
      <c r="C2538" s="31" t="s">
        <v>528</v>
      </c>
      <c r="D2538" s="31" t="s">
        <v>529</v>
      </c>
      <c r="E2538" s="31" t="s">
        <v>9813</v>
      </c>
      <c r="F2538" s="31" t="s">
        <v>31</v>
      </c>
      <c r="G2538" s="31">
        <v>137</v>
      </c>
      <c r="H2538" s="31">
        <v>10</v>
      </c>
      <c r="I2538" s="31">
        <v>30</v>
      </c>
      <c r="J2538" s="31" t="s">
        <v>9814</v>
      </c>
      <c r="K2538" s="31" t="s">
        <v>55</v>
      </c>
      <c r="L2538" s="31" t="s">
        <v>56</v>
      </c>
      <c r="M2538" s="31">
        <v>160</v>
      </c>
      <c r="N2538" s="31">
        <v>2021</v>
      </c>
      <c r="O2538" s="31">
        <v>68</v>
      </c>
      <c r="P2538" s="31"/>
      <c r="Q2538" s="31"/>
      <c r="R2538" s="33"/>
      <c r="S2538" s="34" t="str">
        <f>HYPERLINK("http://www.cnpol.ru/covers/19490.jpg","фото на сайте")</f>
        <v>фото на сайте</v>
      </c>
    </row>
    <row r="2539" spans="1:19" ht="50.1" customHeight="1">
      <c r="A2539" s="31"/>
      <c r="B2539" s="32" t="s">
        <v>9815</v>
      </c>
      <c r="C2539" s="31" t="s">
        <v>528</v>
      </c>
      <c r="D2539" s="31" t="s">
        <v>529</v>
      </c>
      <c r="E2539" s="31" t="s">
        <v>9816</v>
      </c>
      <c r="F2539" s="31" t="s">
        <v>31</v>
      </c>
      <c r="G2539" s="31">
        <v>137</v>
      </c>
      <c r="H2539" s="31">
        <v>10</v>
      </c>
      <c r="I2539" s="31">
        <v>40</v>
      </c>
      <c r="J2539" s="31" t="s">
        <v>9817</v>
      </c>
      <c r="K2539" s="31" t="s">
        <v>55</v>
      </c>
      <c r="L2539" s="31" t="s">
        <v>56</v>
      </c>
      <c r="M2539" s="31">
        <v>159</v>
      </c>
      <c r="N2539" s="31">
        <v>2013</v>
      </c>
      <c r="O2539" s="31">
        <v>74</v>
      </c>
      <c r="P2539" s="31"/>
      <c r="Q2539" s="31"/>
      <c r="R2539" s="33"/>
      <c r="S2539" s="34" t="str">
        <f>HYPERLINK("http://www.cnpol.ru/covers/14397.jpg","фото на сайте")</f>
        <v>фото на сайте</v>
      </c>
    </row>
    <row r="2540" spans="1:19" ht="50.1" customHeight="1">
      <c r="A2540" s="31"/>
      <c r="B2540" s="32" t="s">
        <v>9818</v>
      </c>
      <c r="C2540" s="31" t="s">
        <v>528</v>
      </c>
      <c r="D2540" s="31" t="s">
        <v>529</v>
      </c>
      <c r="E2540" s="31" t="s">
        <v>9819</v>
      </c>
      <c r="F2540" s="31" t="s">
        <v>31</v>
      </c>
      <c r="G2540" s="31">
        <v>137</v>
      </c>
      <c r="H2540" s="31">
        <v>10</v>
      </c>
      <c r="I2540" s="31">
        <v>40</v>
      </c>
      <c r="J2540" s="31" t="s">
        <v>9820</v>
      </c>
      <c r="K2540" s="31" t="s">
        <v>55</v>
      </c>
      <c r="L2540" s="31" t="s">
        <v>56</v>
      </c>
      <c r="M2540" s="31">
        <v>160</v>
      </c>
      <c r="N2540" s="31">
        <v>2021</v>
      </c>
      <c r="O2540" s="31">
        <v>68</v>
      </c>
      <c r="P2540" s="31"/>
      <c r="Q2540" s="31"/>
      <c r="R2540" s="33"/>
      <c r="S2540" s="34" t="str">
        <f>HYPERLINK("http://www.cnpol.ru/covers/19589.jpg","фото на сайте")</f>
        <v>фото на сайте</v>
      </c>
    </row>
    <row r="2541" spans="1:19" ht="50.1" customHeight="1">
      <c r="A2541" s="31"/>
      <c r="B2541" s="32" t="s">
        <v>9821</v>
      </c>
      <c r="C2541" s="31" t="s">
        <v>9822</v>
      </c>
      <c r="D2541" s="31" t="s">
        <v>9823</v>
      </c>
      <c r="E2541" s="31" t="s">
        <v>9824</v>
      </c>
      <c r="F2541" s="31" t="s">
        <v>31</v>
      </c>
      <c r="G2541" s="31">
        <v>137</v>
      </c>
      <c r="H2541" s="31">
        <v>10</v>
      </c>
      <c r="I2541" s="31">
        <v>24</v>
      </c>
      <c r="J2541" s="31" t="s">
        <v>9825</v>
      </c>
      <c r="K2541" s="31" t="s">
        <v>300</v>
      </c>
      <c r="L2541" s="31" t="s">
        <v>56</v>
      </c>
      <c r="M2541" s="31">
        <v>224</v>
      </c>
      <c r="N2541" s="31">
        <v>2013</v>
      </c>
      <c r="O2541" s="31">
        <v>116</v>
      </c>
      <c r="P2541" s="31"/>
      <c r="Q2541" s="31"/>
      <c r="R2541" s="33"/>
      <c r="S2541" s="34" t="str">
        <f>HYPERLINK("http://www.cnpol.ru/covers/14226.jpg","фото на сайте")</f>
        <v>фото на сайте</v>
      </c>
    </row>
    <row r="2542" spans="1:19" ht="50.1" customHeight="1">
      <c r="A2542" s="31"/>
      <c r="B2542" s="32" t="s">
        <v>9826</v>
      </c>
      <c r="C2542" s="31" t="s">
        <v>520</v>
      </c>
      <c r="D2542" s="31" t="s">
        <v>3606</v>
      </c>
      <c r="E2542" s="31" t="s">
        <v>9827</v>
      </c>
      <c r="F2542" s="31">
        <v>80</v>
      </c>
      <c r="G2542" s="31">
        <v>117</v>
      </c>
      <c r="H2542" s="31">
        <v>10</v>
      </c>
      <c r="I2542" s="31">
        <v>30</v>
      </c>
      <c r="J2542" s="31" t="s">
        <v>9828</v>
      </c>
      <c r="K2542" s="31" t="s">
        <v>123</v>
      </c>
      <c r="L2542" s="31" t="s">
        <v>56</v>
      </c>
      <c r="M2542" s="31">
        <v>192</v>
      </c>
      <c r="N2542" s="31">
        <v>2020</v>
      </c>
      <c r="O2542" s="31">
        <v>90</v>
      </c>
      <c r="P2542" s="31"/>
      <c r="Q2542" s="31"/>
      <c r="R2542" s="33"/>
      <c r="S2542" s="34" t="str">
        <f>HYPERLINK("http://www.cnpol.ru/covers/19339.jpg","фото на сайте")</f>
        <v>фото на сайте</v>
      </c>
    </row>
    <row r="2543" spans="1:19" ht="50.1" customHeight="1">
      <c r="A2543" s="31"/>
      <c r="B2543" s="32" t="s">
        <v>9829</v>
      </c>
      <c r="C2543" s="31" t="s">
        <v>413</v>
      </c>
      <c r="D2543" s="31" t="s">
        <v>9830</v>
      </c>
      <c r="E2543" s="31" t="s">
        <v>9831</v>
      </c>
      <c r="F2543" s="31">
        <v>71</v>
      </c>
      <c r="G2543" s="31">
        <v>117</v>
      </c>
      <c r="H2543" s="31">
        <v>10</v>
      </c>
      <c r="I2543" s="31">
        <v>36</v>
      </c>
      <c r="J2543" s="31" t="s">
        <v>9832</v>
      </c>
      <c r="K2543" s="31" t="s">
        <v>123</v>
      </c>
      <c r="L2543" s="31" t="s">
        <v>56</v>
      </c>
      <c r="M2543" s="31">
        <v>190</v>
      </c>
      <c r="N2543" s="31">
        <v>2015</v>
      </c>
      <c r="O2543" s="31">
        <v>90</v>
      </c>
      <c r="P2543" s="31"/>
      <c r="Q2543" s="31"/>
      <c r="R2543" s="33"/>
      <c r="S2543" s="34" t="str">
        <f>HYPERLINK("http://www.cnpol.ru/covers/16216.jpg","фото на сайте")</f>
        <v>фото на сайте</v>
      </c>
    </row>
    <row r="2544" spans="1:19" ht="50.1" customHeight="1">
      <c r="A2544" s="31"/>
      <c r="B2544" s="32" t="s">
        <v>9833</v>
      </c>
      <c r="C2544" s="31" t="s">
        <v>390</v>
      </c>
      <c r="D2544" s="31" t="s">
        <v>989</v>
      </c>
      <c r="E2544" s="31" t="s">
        <v>9834</v>
      </c>
      <c r="F2544" s="31">
        <v>975</v>
      </c>
      <c r="G2544" s="31">
        <v>86</v>
      </c>
      <c r="H2544" s="31">
        <v>10</v>
      </c>
      <c r="I2544" s="31">
        <v>30</v>
      </c>
      <c r="J2544" s="31" t="s">
        <v>9835</v>
      </c>
      <c r="K2544" s="31" t="s">
        <v>123</v>
      </c>
      <c r="L2544" s="31" t="s">
        <v>56</v>
      </c>
      <c r="M2544" s="31">
        <v>160</v>
      </c>
      <c r="N2544" s="31">
        <v>2020</v>
      </c>
      <c r="O2544" s="31">
        <v>76</v>
      </c>
      <c r="P2544" s="31"/>
      <c r="Q2544" s="31"/>
      <c r="R2544" s="33"/>
      <c r="S2544" s="34" t="str">
        <f>HYPERLINK("http://www.cnpol.ru/covers/19147.jpg","фото на сайте")</f>
        <v>фото на сайте</v>
      </c>
    </row>
    <row r="2545" spans="1:19" ht="50.1" customHeight="1">
      <c r="A2545" s="31"/>
      <c r="B2545" s="32" t="s">
        <v>9836</v>
      </c>
      <c r="C2545" s="31" t="s">
        <v>385</v>
      </c>
      <c r="D2545" s="31" t="s">
        <v>386</v>
      </c>
      <c r="E2545" s="31" t="s">
        <v>9837</v>
      </c>
      <c r="F2545" s="31" t="s">
        <v>31</v>
      </c>
      <c r="G2545" s="31">
        <v>162</v>
      </c>
      <c r="H2545" s="31">
        <v>10</v>
      </c>
      <c r="I2545" s="31">
        <v>32</v>
      </c>
      <c r="J2545" s="31" t="s">
        <v>9838</v>
      </c>
      <c r="K2545" s="31" t="s">
        <v>55</v>
      </c>
      <c r="L2545" s="31" t="s">
        <v>56</v>
      </c>
      <c r="M2545" s="31">
        <v>256</v>
      </c>
      <c r="N2545" s="31">
        <v>2016</v>
      </c>
      <c r="O2545" s="31">
        <v>106</v>
      </c>
      <c r="P2545" s="31"/>
      <c r="Q2545" s="31"/>
      <c r="R2545" s="33"/>
      <c r="S2545" s="34" t="str">
        <f>HYPERLINK("http://www.cnpol.ru/covers/0155.jpg","фото на сайте")</f>
        <v>фото на сайте</v>
      </c>
    </row>
    <row r="2546" spans="1:19" ht="50.1" customHeight="1">
      <c r="A2546" s="31"/>
      <c r="B2546" s="32" t="s">
        <v>9839</v>
      </c>
      <c r="C2546" s="31" t="s">
        <v>546</v>
      </c>
      <c r="D2546" s="31" t="s">
        <v>1581</v>
      </c>
      <c r="E2546" s="31" t="s">
        <v>9840</v>
      </c>
      <c r="F2546" s="31">
        <v>196</v>
      </c>
      <c r="G2546" s="31">
        <v>93</v>
      </c>
      <c r="H2546" s="31">
        <v>10</v>
      </c>
      <c r="I2546" s="31">
        <v>30</v>
      </c>
      <c r="J2546" s="31" t="s">
        <v>9841</v>
      </c>
      <c r="K2546" s="31" t="s">
        <v>123</v>
      </c>
      <c r="L2546" s="31" t="s">
        <v>56</v>
      </c>
      <c r="M2546" s="31">
        <v>160</v>
      </c>
      <c r="N2546" s="31">
        <v>2016</v>
      </c>
      <c r="O2546" s="31">
        <v>76</v>
      </c>
      <c r="P2546" s="31"/>
      <c r="Q2546" s="31"/>
      <c r="R2546" s="33"/>
      <c r="S2546" s="34" t="str">
        <f>HYPERLINK("http://www.cnpol.ru/covers/17156.jpg","фото на сайте")</f>
        <v>фото на сайте</v>
      </c>
    </row>
    <row r="2547" spans="1:19" ht="50.1" customHeight="1">
      <c r="A2547" s="31"/>
      <c r="B2547" s="32" t="s">
        <v>9842</v>
      </c>
      <c r="C2547" s="31" t="s">
        <v>9843</v>
      </c>
      <c r="D2547" s="31" t="s">
        <v>9844</v>
      </c>
      <c r="E2547" s="31" t="s">
        <v>9845</v>
      </c>
      <c r="F2547" s="31" t="s">
        <v>31</v>
      </c>
      <c r="G2547" s="31">
        <v>218</v>
      </c>
      <c r="H2547" s="31">
        <v>10</v>
      </c>
      <c r="I2547" s="31">
        <v>24</v>
      </c>
      <c r="J2547" s="31" t="s">
        <v>9846</v>
      </c>
      <c r="K2547" s="31" t="s">
        <v>123</v>
      </c>
      <c r="L2547" s="31" t="s">
        <v>56</v>
      </c>
      <c r="M2547" s="31">
        <v>347</v>
      </c>
      <c r="N2547" s="31">
        <v>2012</v>
      </c>
      <c r="O2547" s="31">
        <v>164</v>
      </c>
      <c r="P2547" s="31"/>
      <c r="Q2547" s="31"/>
      <c r="R2547" s="33"/>
      <c r="S2547" s="34" t="str">
        <f>HYPERLINK("http://www.cnpol.ru/covers/13858.jpg","фото на сайте")</f>
        <v>фото на сайте</v>
      </c>
    </row>
    <row r="2548" spans="1:19" ht="50.1" customHeight="1">
      <c r="A2548" s="31"/>
      <c r="B2548" s="32" t="s">
        <v>9847</v>
      </c>
      <c r="C2548" s="31" t="s">
        <v>3990</v>
      </c>
      <c r="D2548" s="31" t="s">
        <v>9848</v>
      </c>
      <c r="E2548" s="31" t="s">
        <v>9849</v>
      </c>
      <c r="F2548" s="31" t="s">
        <v>31</v>
      </c>
      <c r="G2548" s="35">
        <v>1627</v>
      </c>
      <c r="H2548" s="31">
        <v>10</v>
      </c>
      <c r="I2548" s="31">
        <v>8</v>
      </c>
      <c r="J2548" s="31" t="s">
        <v>9850</v>
      </c>
      <c r="K2548" s="31" t="s">
        <v>33</v>
      </c>
      <c r="L2548" s="31" t="s">
        <v>34</v>
      </c>
      <c r="M2548" s="31">
        <v>848</v>
      </c>
      <c r="N2548" s="31">
        <v>2021</v>
      </c>
      <c r="O2548" s="31">
        <v>762</v>
      </c>
      <c r="P2548" s="31"/>
      <c r="Q2548" s="31"/>
      <c r="R2548" s="33"/>
      <c r="S2548" s="34" t="str">
        <f>HYPERLINK("http://www.cnpol.ru/covers/20031.jpg","фото на сайте")</f>
        <v>фото на сайте</v>
      </c>
    </row>
    <row r="2549" spans="1:19" ht="50.1" customHeight="1">
      <c r="A2549" s="31"/>
      <c r="B2549" s="32" t="s">
        <v>9851</v>
      </c>
      <c r="C2549" s="31" t="s">
        <v>630</v>
      </c>
      <c r="D2549" s="31" t="s">
        <v>9852</v>
      </c>
      <c r="E2549" s="31" t="s">
        <v>9853</v>
      </c>
      <c r="F2549" s="31" t="s">
        <v>31</v>
      </c>
      <c r="G2549" s="31">
        <v>96</v>
      </c>
      <c r="H2549" s="31">
        <v>10</v>
      </c>
      <c r="I2549" s="31">
        <v>28</v>
      </c>
      <c r="J2549" s="31" t="s">
        <v>9854</v>
      </c>
      <c r="K2549" s="31" t="s">
        <v>130</v>
      </c>
      <c r="L2549" s="31" t="s">
        <v>56</v>
      </c>
      <c r="M2549" s="31">
        <v>254</v>
      </c>
      <c r="N2549" s="31">
        <v>2005</v>
      </c>
      <c r="O2549" s="31">
        <v>158</v>
      </c>
      <c r="P2549" s="31"/>
      <c r="Q2549" s="31"/>
      <c r="R2549" s="33"/>
      <c r="S2549" s="34" t="str">
        <f>HYPERLINK("http://www.cnpol.ru/covers/6161.jpg","фото на сайте")</f>
        <v>фото на сайте</v>
      </c>
    </row>
    <row r="2550" spans="1:19" ht="50.1" customHeight="1">
      <c r="A2550" s="31"/>
      <c r="B2550" s="32" t="s">
        <v>9855</v>
      </c>
      <c r="C2550" s="31" t="s">
        <v>5419</v>
      </c>
      <c r="D2550" s="31" t="s">
        <v>5420</v>
      </c>
      <c r="E2550" s="31" t="s">
        <v>9856</v>
      </c>
      <c r="F2550" s="31" t="s">
        <v>31</v>
      </c>
      <c r="G2550" s="31">
        <v>290</v>
      </c>
      <c r="H2550" s="31">
        <v>10</v>
      </c>
      <c r="I2550" s="31">
        <v>12</v>
      </c>
      <c r="J2550" s="31" t="s">
        <v>9857</v>
      </c>
      <c r="K2550" s="31" t="s">
        <v>130</v>
      </c>
      <c r="L2550" s="31" t="s">
        <v>56</v>
      </c>
      <c r="M2550" s="31">
        <v>448</v>
      </c>
      <c r="N2550" s="31">
        <v>2018</v>
      </c>
      <c r="O2550" s="31">
        <v>262</v>
      </c>
      <c r="P2550" s="31"/>
      <c r="Q2550" s="31"/>
      <c r="R2550" s="33"/>
      <c r="S2550" s="34" t="str">
        <f>HYPERLINK("http://www.cnpol.ru/covers/18326.jpg","фото на сайте")</f>
        <v>фото на сайте</v>
      </c>
    </row>
    <row r="2551" spans="1:19" ht="50.1" customHeight="1">
      <c r="A2551" s="31"/>
      <c r="B2551" s="32" t="s">
        <v>9858</v>
      </c>
      <c r="C2551" s="31" t="s">
        <v>390</v>
      </c>
      <c r="D2551" s="31" t="s">
        <v>1107</v>
      </c>
      <c r="E2551" s="31" t="s">
        <v>9859</v>
      </c>
      <c r="F2551" s="31">
        <v>1050</v>
      </c>
      <c r="G2551" s="31">
        <v>86</v>
      </c>
      <c r="H2551" s="31">
        <v>10</v>
      </c>
      <c r="I2551" s="31">
        <v>30</v>
      </c>
      <c r="J2551" s="31" t="s">
        <v>9860</v>
      </c>
      <c r="K2551" s="31" t="s">
        <v>123</v>
      </c>
      <c r="L2551" s="31" t="s">
        <v>56</v>
      </c>
      <c r="M2551" s="31">
        <v>160</v>
      </c>
      <c r="N2551" s="31">
        <v>2021</v>
      </c>
      <c r="O2551" s="31">
        <v>76</v>
      </c>
      <c r="P2551" s="31"/>
      <c r="Q2551" s="31"/>
      <c r="R2551" s="33"/>
      <c r="S2551" s="34" t="str">
        <f>HYPERLINK("http://www.cnpol.ru/covers/19816.jpg","фото на сайте")</f>
        <v>фото на сайте</v>
      </c>
    </row>
    <row r="2552" spans="1:19" ht="50.1" customHeight="1">
      <c r="A2552" s="31"/>
      <c r="B2552" s="32" t="s">
        <v>9861</v>
      </c>
      <c r="C2552" s="31" t="s">
        <v>546</v>
      </c>
      <c r="D2552" s="31" t="s">
        <v>8716</v>
      </c>
      <c r="E2552" s="31" t="s">
        <v>9862</v>
      </c>
      <c r="F2552" s="31">
        <v>340</v>
      </c>
      <c r="G2552" s="31">
        <v>93</v>
      </c>
      <c r="H2552" s="31">
        <v>10</v>
      </c>
      <c r="I2552" s="31">
        <v>30</v>
      </c>
      <c r="J2552" s="31" t="s">
        <v>9863</v>
      </c>
      <c r="K2552" s="31" t="s">
        <v>123</v>
      </c>
      <c r="L2552" s="31" t="s">
        <v>56</v>
      </c>
      <c r="M2552" s="31">
        <v>160</v>
      </c>
      <c r="N2552" s="31">
        <v>2020</v>
      </c>
      <c r="O2552" s="31">
        <v>76</v>
      </c>
      <c r="P2552" s="31"/>
      <c r="Q2552" s="31"/>
      <c r="R2552" s="33"/>
      <c r="S2552" s="34" t="str">
        <f>HYPERLINK("http://www.cnpol.ru/covers/19037.jpg","фото на сайте")</f>
        <v>фото на сайте</v>
      </c>
    </row>
    <row r="2553" spans="1:19" ht="50.1" customHeight="1">
      <c r="A2553" s="31"/>
      <c r="B2553" s="32" t="s">
        <v>9864</v>
      </c>
      <c r="C2553" s="31" t="s">
        <v>390</v>
      </c>
      <c r="D2553" s="31" t="s">
        <v>3691</v>
      </c>
      <c r="E2553" s="31" t="s">
        <v>9865</v>
      </c>
      <c r="F2553" s="31">
        <v>787</v>
      </c>
      <c r="G2553" s="31">
        <v>86</v>
      </c>
      <c r="H2553" s="31">
        <v>10</v>
      </c>
      <c r="I2553" s="31">
        <v>30</v>
      </c>
      <c r="J2553" s="31" t="s">
        <v>9866</v>
      </c>
      <c r="K2553" s="31" t="s">
        <v>123</v>
      </c>
      <c r="L2553" s="31" t="s">
        <v>56</v>
      </c>
      <c r="M2553" s="31">
        <v>160</v>
      </c>
      <c r="N2553" s="31">
        <v>2018</v>
      </c>
      <c r="O2553" s="31">
        <v>76</v>
      </c>
      <c r="P2553" s="31"/>
      <c r="Q2553" s="31"/>
      <c r="R2553" s="33"/>
      <c r="S2553" s="34" t="str">
        <f>HYPERLINK("http://www.cnpol.ru/covers/17943.jpg","фото на сайте")</f>
        <v>фото на сайте</v>
      </c>
    </row>
    <row r="2554" spans="1:19" ht="50.1" customHeight="1">
      <c r="A2554" s="31" t="s">
        <v>35</v>
      </c>
      <c r="B2554" s="32" t="s">
        <v>9867</v>
      </c>
      <c r="C2554" s="31" t="s">
        <v>1611</v>
      </c>
      <c r="D2554" s="31" t="s">
        <v>9868</v>
      </c>
      <c r="E2554" s="31" t="s">
        <v>9869</v>
      </c>
      <c r="F2554" s="31" t="s">
        <v>31</v>
      </c>
      <c r="G2554" s="31">
        <v>185</v>
      </c>
      <c r="H2554" s="31">
        <v>10</v>
      </c>
      <c r="I2554" s="31">
        <v>12</v>
      </c>
      <c r="J2554" s="31" t="s">
        <v>9870</v>
      </c>
      <c r="K2554" s="31" t="s">
        <v>130</v>
      </c>
      <c r="L2554" s="31" t="s">
        <v>56</v>
      </c>
      <c r="M2554" s="31">
        <v>192</v>
      </c>
      <c r="N2554" s="31">
        <v>2025</v>
      </c>
      <c r="O2554" s="31">
        <v>118</v>
      </c>
      <c r="P2554" s="31"/>
      <c r="Q2554" s="31"/>
      <c r="R2554" s="33" t="s">
        <v>9871</v>
      </c>
      <c r="S2554" s="34" t="str">
        <f>HYPERLINK("http://www.cnpol.ru/covers/21836.jpg","фото на сайте")</f>
        <v>фото на сайте</v>
      </c>
    </row>
    <row r="2555" spans="1:19" ht="50.1" customHeight="1">
      <c r="A2555" s="31" t="s">
        <v>43</v>
      </c>
      <c r="B2555" s="32" t="s">
        <v>9872</v>
      </c>
      <c r="C2555" s="31" t="s">
        <v>1390</v>
      </c>
      <c r="D2555" s="31" t="s">
        <v>236</v>
      </c>
      <c r="E2555" s="31" t="s">
        <v>9873</v>
      </c>
      <c r="F2555" s="31" t="s">
        <v>31</v>
      </c>
      <c r="G2555" s="31">
        <v>244</v>
      </c>
      <c r="H2555" s="31">
        <v>10</v>
      </c>
      <c r="I2555" s="31">
        <v>10</v>
      </c>
      <c r="J2555" s="31" t="s">
        <v>9874</v>
      </c>
      <c r="K2555" s="31" t="s">
        <v>33</v>
      </c>
      <c r="L2555" s="31" t="s">
        <v>56</v>
      </c>
      <c r="M2555" s="31">
        <v>255</v>
      </c>
      <c r="N2555" s="31">
        <v>2025</v>
      </c>
      <c r="O2555" s="31">
        <v>120</v>
      </c>
      <c r="P2555" s="31"/>
      <c r="Q2555" s="31"/>
      <c r="R2555" s="33" t="s">
        <v>9875</v>
      </c>
      <c r="S2555" s="34" t="str">
        <f>HYPERLINK("http://www.cnpol.ru/covers/21720.jpg","фото на сайте")</f>
        <v>фото на сайте</v>
      </c>
    </row>
    <row r="2556" spans="1:19" ht="50.1" customHeight="1">
      <c r="A2556" s="31" t="s">
        <v>35</v>
      </c>
      <c r="B2556" s="32" t="s">
        <v>9876</v>
      </c>
      <c r="C2556" s="31" t="s">
        <v>6074</v>
      </c>
      <c r="D2556" s="31" t="s">
        <v>5169</v>
      </c>
      <c r="E2556" s="31" t="s">
        <v>9877</v>
      </c>
      <c r="F2556" s="31" t="s">
        <v>31</v>
      </c>
      <c r="G2556" s="31">
        <v>258</v>
      </c>
      <c r="H2556" s="31">
        <v>10</v>
      </c>
      <c r="I2556" s="31">
        <v>12</v>
      </c>
      <c r="J2556" s="31" t="s">
        <v>9878</v>
      </c>
      <c r="K2556" s="31" t="s">
        <v>130</v>
      </c>
      <c r="L2556" s="31" t="s">
        <v>56</v>
      </c>
      <c r="M2556" s="31">
        <v>249</v>
      </c>
      <c r="N2556" s="31">
        <v>2024</v>
      </c>
      <c r="O2556" s="31">
        <v>150</v>
      </c>
      <c r="P2556" s="31"/>
      <c r="Q2556" s="31"/>
      <c r="R2556" s="33" t="s">
        <v>9879</v>
      </c>
      <c r="S2556" s="34" t="str">
        <f>HYPERLINK("http://www.cnpol.ru/covers/21105.jpg","фото на сайте")</f>
        <v>фото на сайте</v>
      </c>
    </row>
    <row r="2557" spans="1:19" ht="50.1" customHeight="1">
      <c r="A2557" s="31"/>
      <c r="B2557" s="32" t="s">
        <v>9880</v>
      </c>
      <c r="C2557" s="31" t="s">
        <v>390</v>
      </c>
      <c r="D2557" s="31" t="s">
        <v>2285</v>
      </c>
      <c r="E2557" s="31" t="s">
        <v>9881</v>
      </c>
      <c r="F2557" s="31">
        <v>532</v>
      </c>
      <c r="G2557" s="31">
        <v>86</v>
      </c>
      <c r="H2557" s="31">
        <v>10</v>
      </c>
      <c r="I2557" s="31">
        <v>30</v>
      </c>
      <c r="J2557" s="31" t="s">
        <v>9882</v>
      </c>
      <c r="K2557" s="31" t="s">
        <v>123</v>
      </c>
      <c r="L2557" s="31" t="s">
        <v>56</v>
      </c>
      <c r="M2557" s="31">
        <v>158</v>
      </c>
      <c r="N2557" s="31">
        <v>2015</v>
      </c>
      <c r="O2557" s="31">
        <v>76</v>
      </c>
      <c r="P2557" s="31"/>
      <c r="Q2557" s="31"/>
      <c r="R2557" s="33"/>
      <c r="S2557" s="34" t="str">
        <f>HYPERLINK("http://www.cnpol.ru/covers/16116.jpg","фото на сайте")</f>
        <v>фото на сайте</v>
      </c>
    </row>
    <row r="2558" spans="1:19" ht="50.1" customHeight="1">
      <c r="A2558" s="31"/>
      <c r="B2558" s="32" t="s">
        <v>9883</v>
      </c>
      <c r="C2558" s="31" t="s">
        <v>879</v>
      </c>
      <c r="D2558" s="31" t="s">
        <v>880</v>
      </c>
      <c r="E2558" s="31" t="s">
        <v>9884</v>
      </c>
      <c r="F2558" s="31" t="s">
        <v>31</v>
      </c>
      <c r="G2558" s="31">
        <v>489</v>
      </c>
      <c r="H2558" s="31">
        <v>10</v>
      </c>
      <c r="I2558" s="31">
        <v>14</v>
      </c>
      <c r="J2558" s="31" t="s">
        <v>9885</v>
      </c>
      <c r="K2558" s="31" t="s">
        <v>33</v>
      </c>
      <c r="L2558" s="31" t="s">
        <v>34</v>
      </c>
      <c r="M2558" s="31">
        <v>319</v>
      </c>
      <c r="N2558" s="31">
        <v>2022</v>
      </c>
      <c r="O2558" s="31">
        <v>278</v>
      </c>
      <c r="P2558" s="31"/>
      <c r="Q2558" s="31"/>
      <c r="R2558" s="33" t="s">
        <v>9886</v>
      </c>
      <c r="S2558" s="34" t="str">
        <f>HYPERLINK("http://www.cnpol.ru/covers/20384.jpg","фото на сайте")</f>
        <v>фото на сайте</v>
      </c>
    </row>
    <row r="2559" spans="1:19" ht="50.1" customHeight="1">
      <c r="A2559" s="31" t="s">
        <v>43</v>
      </c>
      <c r="B2559" s="32" t="s">
        <v>9887</v>
      </c>
      <c r="C2559" s="31" t="s">
        <v>879</v>
      </c>
      <c r="D2559" s="31" t="s">
        <v>880</v>
      </c>
      <c r="E2559" s="31" t="s">
        <v>9888</v>
      </c>
      <c r="F2559" s="31" t="s">
        <v>31</v>
      </c>
      <c r="G2559" s="31">
        <v>489</v>
      </c>
      <c r="H2559" s="31">
        <v>10</v>
      </c>
      <c r="I2559" s="31">
        <v>12</v>
      </c>
      <c r="J2559" s="31" t="s">
        <v>9889</v>
      </c>
      <c r="K2559" s="31" t="s">
        <v>33</v>
      </c>
      <c r="L2559" s="31" t="s">
        <v>34</v>
      </c>
      <c r="M2559" s="31">
        <v>351</v>
      </c>
      <c r="N2559" s="31">
        <v>2024</v>
      </c>
      <c r="O2559" s="31">
        <v>355</v>
      </c>
      <c r="P2559" s="31"/>
      <c r="Q2559" s="31"/>
      <c r="R2559" s="33" t="s">
        <v>9890</v>
      </c>
      <c r="S2559" s="34" t="str">
        <f>HYPERLINK("http://www.cnpol.ru/covers/21334.jpg","фото на сайте")</f>
        <v>фото на сайте</v>
      </c>
    </row>
    <row r="2560" spans="1:19" ht="50.1" customHeight="1">
      <c r="A2560" s="31"/>
      <c r="B2560" s="32" t="s">
        <v>9891</v>
      </c>
      <c r="C2560" s="31" t="s">
        <v>390</v>
      </c>
      <c r="D2560" s="31" t="s">
        <v>391</v>
      </c>
      <c r="E2560" s="31" t="s">
        <v>9892</v>
      </c>
      <c r="F2560" s="31">
        <v>1025</v>
      </c>
      <c r="G2560" s="31">
        <v>86</v>
      </c>
      <c r="H2560" s="31">
        <v>10</v>
      </c>
      <c r="I2560" s="31">
        <v>30</v>
      </c>
      <c r="J2560" s="31" t="s">
        <v>9893</v>
      </c>
      <c r="K2560" s="31" t="s">
        <v>123</v>
      </c>
      <c r="L2560" s="31" t="s">
        <v>56</v>
      </c>
      <c r="M2560" s="31">
        <v>160</v>
      </c>
      <c r="N2560" s="31">
        <v>2021</v>
      </c>
      <c r="O2560" s="31">
        <v>76</v>
      </c>
      <c r="P2560" s="31"/>
      <c r="Q2560" s="31"/>
      <c r="R2560" s="33"/>
      <c r="S2560" s="34" t="str">
        <f>HYPERLINK("http://www.cnpol.ru/covers/19573.jpg","фото на сайте")</f>
        <v>фото на сайте</v>
      </c>
    </row>
    <row r="2561" spans="1:19" ht="50.1" customHeight="1">
      <c r="A2561" s="31"/>
      <c r="B2561" s="32" t="s">
        <v>9894</v>
      </c>
      <c r="C2561" s="31" t="s">
        <v>546</v>
      </c>
      <c r="D2561" s="31" t="s">
        <v>3798</v>
      </c>
      <c r="E2561" s="31" t="s">
        <v>9895</v>
      </c>
      <c r="F2561" s="31">
        <v>381</v>
      </c>
      <c r="G2561" s="31">
        <v>93</v>
      </c>
      <c r="H2561" s="31">
        <v>10</v>
      </c>
      <c r="I2561" s="31">
        <v>30</v>
      </c>
      <c r="J2561" s="31" t="s">
        <v>9896</v>
      </c>
      <c r="K2561" s="31" t="s">
        <v>123</v>
      </c>
      <c r="L2561" s="31" t="s">
        <v>56</v>
      </c>
      <c r="M2561" s="31">
        <v>160</v>
      </c>
      <c r="N2561" s="31">
        <v>2021</v>
      </c>
      <c r="O2561" s="31">
        <v>76</v>
      </c>
      <c r="P2561" s="31"/>
      <c r="Q2561" s="31"/>
      <c r="R2561" s="33"/>
      <c r="S2561" s="34" t="str">
        <f>HYPERLINK("http://www.cnpol.ru/covers/19784.jpg","фото на сайте")</f>
        <v>фото на сайте</v>
      </c>
    </row>
    <row r="2562" spans="1:19" ht="50.1" customHeight="1">
      <c r="A2562" s="31"/>
      <c r="B2562" s="32" t="s">
        <v>9897</v>
      </c>
      <c r="C2562" s="31" t="s">
        <v>390</v>
      </c>
      <c r="D2562" s="31" t="s">
        <v>1599</v>
      </c>
      <c r="E2562" s="31" t="s">
        <v>9898</v>
      </c>
      <c r="F2562" s="31">
        <v>716</v>
      </c>
      <c r="G2562" s="31">
        <v>86</v>
      </c>
      <c r="H2562" s="31">
        <v>10</v>
      </c>
      <c r="I2562" s="31">
        <v>30</v>
      </c>
      <c r="J2562" s="31" t="s">
        <v>9899</v>
      </c>
      <c r="K2562" s="31" t="s">
        <v>123</v>
      </c>
      <c r="L2562" s="31" t="s">
        <v>56</v>
      </c>
      <c r="M2562" s="31">
        <v>160</v>
      </c>
      <c r="N2562" s="31">
        <v>2017</v>
      </c>
      <c r="O2562" s="31">
        <v>76</v>
      </c>
      <c r="P2562" s="31"/>
      <c r="Q2562" s="31"/>
      <c r="R2562" s="33"/>
      <c r="S2562" s="34" t="str">
        <f>HYPERLINK("http://www.cnpol.ru/covers/17470.jpg","фото на сайте")</f>
        <v>фото на сайте</v>
      </c>
    </row>
    <row r="2563" spans="1:19" ht="50.1" customHeight="1">
      <c r="A2563" s="31"/>
      <c r="B2563" s="32" t="s">
        <v>9900</v>
      </c>
      <c r="C2563" s="31" t="s">
        <v>730</v>
      </c>
      <c r="D2563" s="31" t="s">
        <v>9901</v>
      </c>
      <c r="E2563" s="31" t="s">
        <v>9902</v>
      </c>
      <c r="F2563" s="31" t="s">
        <v>31</v>
      </c>
      <c r="G2563" s="31">
        <v>441</v>
      </c>
      <c r="H2563" s="31">
        <v>10</v>
      </c>
      <c r="I2563" s="31">
        <v>12</v>
      </c>
      <c r="J2563" s="31" t="s">
        <v>9903</v>
      </c>
      <c r="K2563" s="31" t="s">
        <v>33</v>
      </c>
      <c r="L2563" s="31" t="s">
        <v>34</v>
      </c>
      <c r="M2563" s="31">
        <v>352</v>
      </c>
      <c r="N2563" s="31">
        <v>2018</v>
      </c>
      <c r="O2563" s="31">
        <v>296</v>
      </c>
      <c r="P2563" s="31"/>
      <c r="Q2563" s="31"/>
      <c r="R2563" s="33"/>
      <c r="S2563" s="34" t="str">
        <f>HYPERLINK("http://www.cnpol.ru/covers/18308.jpg","фото на сайте")</f>
        <v>фото на сайте</v>
      </c>
    </row>
    <row r="2564" spans="1:19" ht="50.1" customHeight="1">
      <c r="A2564" s="31"/>
      <c r="B2564" s="32" t="s">
        <v>9904</v>
      </c>
      <c r="C2564" s="31" t="s">
        <v>143</v>
      </c>
      <c r="D2564" s="31" t="s">
        <v>4069</v>
      </c>
      <c r="E2564" s="31" t="s">
        <v>9905</v>
      </c>
      <c r="F2564" s="31" t="s">
        <v>31</v>
      </c>
      <c r="G2564" s="35">
        <v>1174</v>
      </c>
      <c r="H2564" s="31">
        <v>10</v>
      </c>
      <c r="I2564" s="31">
        <v>8</v>
      </c>
      <c r="J2564" s="31" t="s">
        <v>9906</v>
      </c>
      <c r="K2564" s="31" t="s">
        <v>41</v>
      </c>
      <c r="L2564" s="31" t="s">
        <v>34</v>
      </c>
      <c r="M2564" s="31">
        <v>511</v>
      </c>
      <c r="N2564" s="31">
        <v>2021</v>
      </c>
      <c r="O2564" s="31">
        <v>622</v>
      </c>
      <c r="P2564" s="31"/>
      <c r="Q2564" s="31"/>
      <c r="R2564" s="33"/>
      <c r="S2564" s="34" t="str">
        <f>HYPERLINK("http://www.cnpol.ru/covers/19936.jpg","фото на сайте")</f>
        <v>фото на сайте</v>
      </c>
    </row>
    <row r="2565" spans="1:19" ht="50.1" customHeight="1">
      <c r="A2565" s="31" t="s">
        <v>35</v>
      </c>
      <c r="B2565" s="32" t="s">
        <v>9907</v>
      </c>
      <c r="C2565" s="31" t="s">
        <v>5168</v>
      </c>
      <c r="D2565" s="31" t="s">
        <v>5169</v>
      </c>
      <c r="E2565" s="31" t="s">
        <v>9908</v>
      </c>
      <c r="F2565" s="31" t="s">
        <v>31</v>
      </c>
      <c r="G2565" s="31">
        <v>258</v>
      </c>
      <c r="H2565" s="31">
        <v>10</v>
      </c>
      <c r="I2565" s="31">
        <v>10</v>
      </c>
      <c r="J2565" s="31" t="s">
        <v>9909</v>
      </c>
      <c r="K2565" s="31" t="s">
        <v>130</v>
      </c>
      <c r="L2565" s="31" t="s">
        <v>56</v>
      </c>
      <c r="M2565" s="31">
        <v>192</v>
      </c>
      <c r="N2565" s="31">
        <v>2024</v>
      </c>
      <c r="O2565" s="31">
        <v>122</v>
      </c>
      <c r="P2565" s="31"/>
      <c r="Q2565" s="31"/>
      <c r="R2565" s="33" t="s">
        <v>9910</v>
      </c>
      <c r="S2565" s="34" t="str">
        <f>HYPERLINK("http://www.cnpol.ru/covers/21238.jpg","фото на сайте")</f>
        <v>фото на сайте</v>
      </c>
    </row>
    <row r="2566" spans="1:19" ht="50.1" customHeight="1">
      <c r="A2566" s="31"/>
      <c r="B2566" s="32" t="s">
        <v>9911</v>
      </c>
      <c r="C2566" s="31" t="s">
        <v>143</v>
      </c>
      <c r="D2566" s="31" t="s">
        <v>9912</v>
      </c>
      <c r="E2566" s="31" t="s">
        <v>9913</v>
      </c>
      <c r="F2566" s="31" t="s">
        <v>31</v>
      </c>
      <c r="G2566" s="31">
        <v>917</v>
      </c>
      <c r="H2566" s="31">
        <v>10</v>
      </c>
      <c r="I2566" s="31">
        <v>12</v>
      </c>
      <c r="J2566" s="31" t="s">
        <v>9914</v>
      </c>
      <c r="K2566" s="31" t="s">
        <v>33</v>
      </c>
      <c r="L2566" s="31" t="s">
        <v>34</v>
      </c>
      <c r="M2566" s="31">
        <v>319</v>
      </c>
      <c r="N2566" s="31">
        <v>2023</v>
      </c>
      <c r="O2566" s="31">
        <v>353</v>
      </c>
      <c r="P2566" s="31"/>
      <c r="Q2566" s="31"/>
      <c r="R2566" s="33" t="s">
        <v>9915</v>
      </c>
      <c r="S2566" s="34" t="str">
        <f>HYPERLINK("http://www.cnpol.ru/covers/20532.jpg","фото на сайте")</f>
        <v>фото на сайте</v>
      </c>
    </row>
    <row r="2567" spans="1:19" ht="50.1" customHeight="1">
      <c r="A2567" s="31"/>
      <c r="B2567" s="32" t="s">
        <v>9916</v>
      </c>
      <c r="C2567" s="31" t="s">
        <v>390</v>
      </c>
      <c r="D2567" s="31" t="s">
        <v>1520</v>
      </c>
      <c r="E2567" s="31" t="s">
        <v>9917</v>
      </c>
      <c r="F2567" s="31">
        <v>605</v>
      </c>
      <c r="G2567" s="31">
        <v>86</v>
      </c>
      <c r="H2567" s="31">
        <v>10</v>
      </c>
      <c r="I2567" s="31">
        <v>30</v>
      </c>
      <c r="J2567" s="31" t="s">
        <v>9918</v>
      </c>
      <c r="K2567" s="31" t="s">
        <v>123</v>
      </c>
      <c r="L2567" s="31" t="s">
        <v>56</v>
      </c>
      <c r="M2567" s="31">
        <v>160</v>
      </c>
      <c r="N2567" s="31">
        <v>2016</v>
      </c>
      <c r="O2567" s="31">
        <v>76</v>
      </c>
      <c r="P2567" s="31"/>
      <c r="Q2567" s="31"/>
      <c r="R2567" s="33"/>
      <c r="S2567" s="34" t="str">
        <f>HYPERLINK("http://www.cnpol.ru/covers/16652.jpg","фото на сайте")</f>
        <v>фото на сайте</v>
      </c>
    </row>
    <row r="2568" spans="1:19" ht="50.1" customHeight="1">
      <c r="A2568" s="31"/>
      <c r="B2568" s="32" t="s">
        <v>9919</v>
      </c>
      <c r="C2568" s="31" t="s">
        <v>546</v>
      </c>
      <c r="D2568" s="31" t="s">
        <v>2137</v>
      </c>
      <c r="E2568" s="31" t="s">
        <v>9920</v>
      </c>
      <c r="F2568" s="31">
        <v>154</v>
      </c>
      <c r="G2568" s="31">
        <v>93</v>
      </c>
      <c r="H2568" s="31">
        <v>10</v>
      </c>
      <c r="I2568" s="31">
        <v>30</v>
      </c>
      <c r="J2568" s="31" t="s">
        <v>9921</v>
      </c>
      <c r="K2568" s="31" t="s">
        <v>123</v>
      </c>
      <c r="L2568" s="31" t="s">
        <v>56</v>
      </c>
      <c r="M2568" s="31">
        <v>158</v>
      </c>
      <c r="N2568" s="31">
        <v>2016</v>
      </c>
      <c r="O2568" s="31">
        <v>76</v>
      </c>
      <c r="P2568" s="31"/>
      <c r="Q2568" s="31"/>
      <c r="R2568" s="33"/>
      <c r="S2568" s="34" t="str">
        <f>HYPERLINK("http://www.cnpol.ru/covers/16527.jpg","фото на сайте")</f>
        <v>фото на сайте</v>
      </c>
    </row>
    <row r="2569" spans="1:19" ht="50.1" customHeight="1">
      <c r="A2569" s="31" t="s">
        <v>43</v>
      </c>
      <c r="B2569" s="32" t="s">
        <v>9922</v>
      </c>
      <c r="C2569" s="31" t="s">
        <v>37</v>
      </c>
      <c r="D2569" s="31" t="s">
        <v>9923</v>
      </c>
      <c r="E2569" s="31" t="s">
        <v>9924</v>
      </c>
      <c r="F2569" s="31" t="s">
        <v>31</v>
      </c>
      <c r="G2569" s="35">
        <v>1249</v>
      </c>
      <c r="H2569" s="31">
        <v>10</v>
      </c>
      <c r="I2569" s="31">
        <v>8</v>
      </c>
      <c r="J2569" s="31" t="s">
        <v>9925</v>
      </c>
      <c r="K2569" s="31" t="s">
        <v>33</v>
      </c>
      <c r="L2569" s="31" t="s">
        <v>34</v>
      </c>
      <c r="M2569" s="31">
        <v>445</v>
      </c>
      <c r="N2569" s="31">
        <v>2025</v>
      </c>
      <c r="O2569" s="31">
        <v>622</v>
      </c>
      <c r="P2569" s="31"/>
      <c r="Q2569" s="31"/>
      <c r="R2569" s="33" t="s">
        <v>9926</v>
      </c>
      <c r="S2569" s="34" t="str">
        <f>HYPERLINK("http://www.cnpol.ru/covers/21548.jpg","фото на сайте")</f>
        <v>фото на сайте</v>
      </c>
    </row>
    <row r="2570" spans="1:19" ht="50.1" customHeight="1">
      <c r="A2570" s="31"/>
      <c r="B2570" s="32" t="s">
        <v>9927</v>
      </c>
      <c r="C2570" s="31" t="s">
        <v>390</v>
      </c>
      <c r="D2570" s="31" t="s">
        <v>9928</v>
      </c>
      <c r="E2570" s="31" t="s">
        <v>9929</v>
      </c>
      <c r="F2570" s="31">
        <v>342</v>
      </c>
      <c r="G2570" s="31">
        <v>86</v>
      </c>
      <c r="H2570" s="31">
        <v>10</v>
      </c>
      <c r="I2570" s="31">
        <v>30</v>
      </c>
      <c r="J2570" s="31" t="s">
        <v>9930</v>
      </c>
      <c r="K2570" s="31" t="s">
        <v>123</v>
      </c>
      <c r="L2570" s="31" t="s">
        <v>56</v>
      </c>
      <c r="M2570" s="31">
        <v>158</v>
      </c>
      <c r="N2570" s="31">
        <v>2013</v>
      </c>
      <c r="O2570" s="31">
        <v>78</v>
      </c>
      <c r="P2570" s="31"/>
      <c r="Q2570" s="31"/>
      <c r="R2570" s="33"/>
      <c r="S2570" s="34" t="str">
        <f>HYPERLINK("http://www.cnpol.ru/covers/14518.jpg","фото на сайте")</f>
        <v>фото на сайте</v>
      </c>
    </row>
    <row r="2571" spans="1:19" ht="50.1" customHeight="1">
      <c r="A2571" s="31"/>
      <c r="B2571" s="32" t="s">
        <v>9931</v>
      </c>
      <c r="C2571" s="31" t="s">
        <v>390</v>
      </c>
      <c r="D2571" s="31" t="s">
        <v>1805</v>
      </c>
      <c r="E2571" s="31" t="s">
        <v>9932</v>
      </c>
      <c r="F2571" s="31">
        <v>607</v>
      </c>
      <c r="G2571" s="31">
        <v>86</v>
      </c>
      <c r="H2571" s="31">
        <v>10</v>
      </c>
      <c r="I2571" s="31">
        <v>30</v>
      </c>
      <c r="J2571" s="31" t="s">
        <v>9933</v>
      </c>
      <c r="K2571" s="31" t="s">
        <v>123</v>
      </c>
      <c r="L2571" s="31" t="s">
        <v>56</v>
      </c>
      <c r="M2571" s="31">
        <v>160</v>
      </c>
      <c r="N2571" s="31">
        <v>2016</v>
      </c>
      <c r="O2571" s="31">
        <v>76</v>
      </c>
      <c r="P2571" s="31"/>
      <c r="Q2571" s="31"/>
      <c r="R2571" s="33"/>
      <c r="S2571" s="34" t="str">
        <f>HYPERLINK("http://www.cnpol.ru/covers/16666.jpg","фото на сайте")</f>
        <v>фото на сайте</v>
      </c>
    </row>
    <row r="2572" spans="1:19" ht="50.1" customHeight="1">
      <c r="A2572" s="31"/>
      <c r="B2572" s="32" t="s">
        <v>9934</v>
      </c>
      <c r="C2572" s="31" t="s">
        <v>1668</v>
      </c>
      <c r="D2572" s="31" t="s">
        <v>9935</v>
      </c>
      <c r="E2572" s="31" t="s">
        <v>9936</v>
      </c>
      <c r="F2572" s="31" t="s">
        <v>31</v>
      </c>
      <c r="G2572" s="31">
        <v>575</v>
      </c>
      <c r="H2572" s="31">
        <v>10</v>
      </c>
      <c r="I2572" s="31">
        <v>14</v>
      </c>
      <c r="J2572" s="31" t="s">
        <v>9937</v>
      </c>
      <c r="K2572" s="31" t="s">
        <v>33</v>
      </c>
      <c r="L2572" s="31" t="s">
        <v>34</v>
      </c>
      <c r="M2572" s="31">
        <v>320</v>
      </c>
      <c r="N2572" s="31">
        <v>2019</v>
      </c>
      <c r="O2572" s="31">
        <v>280</v>
      </c>
      <c r="P2572" s="31"/>
      <c r="Q2572" s="31"/>
      <c r="R2572" s="33"/>
      <c r="S2572" s="34" t="str">
        <f>HYPERLINK("http://www.cnpol.ru/covers/18448.jpg","фото на сайте")</f>
        <v>фото на сайте</v>
      </c>
    </row>
    <row r="2573" spans="1:19" ht="50.1" customHeight="1">
      <c r="A2573" s="31"/>
      <c r="B2573" s="32" t="s">
        <v>9938</v>
      </c>
      <c r="C2573" s="31" t="s">
        <v>546</v>
      </c>
      <c r="D2573" s="31" t="s">
        <v>1435</v>
      </c>
      <c r="E2573" s="31" t="s">
        <v>9939</v>
      </c>
      <c r="F2573" s="31">
        <v>312</v>
      </c>
      <c r="G2573" s="31">
        <v>93</v>
      </c>
      <c r="H2573" s="31">
        <v>10</v>
      </c>
      <c r="I2573" s="31">
        <v>30</v>
      </c>
      <c r="J2573" s="31" t="s">
        <v>9940</v>
      </c>
      <c r="K2573" s="31" t="s">
        <v>123</v>
      </c>
      <c r="L2573" s="31" t="s">
        <v>56</v>
      </c>
      <c r="M2573" s="31">
        <v>160</v>
      </c>
      <c r="N2573" s="31">
        <v>2019</v>
      </c>
      <c r="O2573" s="31">
        <v>78</v>
      </c>
      <c r="P2573" s="31"/>
      <c r="Q2573" s="31"/>
      <c r="R2573" s="33"/>
      <c r="S2573" s="34" t="str">
        <f>HYPERLINK("http://www.cnpol.ru/covers/18725.jpg","фото на сайте")</f>
        <v>фото на сайте</v>
      </c>
    </row>
    <row r="2574" spans="1:19" ht="50.1" customHeight="1">
      <c r="A2574" s="31"/>
      <c r="B2574" s="32" t="s">
        <v>9941</v>
      </c>
      <c r="C2574" s="31" t="s">
        <v>390</v>
      </c>
      <c r="D2574" s="31" t="s">
        <v>1652</v>
      </c>
      <c r="E2574" s="31" t="s">
        <v>9942</v>
      </c>
      <c r="F2574" s="31">
        <v>984</v>
      </c>
      <c r="G2574" s="31">
        <v>86</v>
      </c>
      <c r="H2574" s="31">
        <v>10</v>
      </c>
      <c r="I2574" s="31">
        <v>30</v>
      </c>
      <c r="J2574" s="31" t="s">
        <v>9943</v>
      </c>
      <c r="K2574" s="31" t="s">
        <v>123</v>
      </c>
      <c r="L2574" s="31" t="s">
        <v>56</v>
      </c>
      <c r="M2574" s="31">
        <v>160</v>
      </c>
      <c r="N2574" s="31">
        <v>2020</v>
      </c>
      <c r="O2574" s="31">
        <v>76</v>
      </c>
      <c r="P2574" s="31"/>
      <c r="Q2574" s="31"/>
      <c r="R2574" s="33"/>
      <c r="S2574" s="34" t="str">
        <f>HYPERLINK("http://www.cnpol.ru/covers/19239.jpg","фото на сайте")</f>
        <v>фото на сайте</v>
      </c>
    </row>
    <row r="2575" spans="1:19" ht="50.1" customHeight="1">
      <c r="A2575" s="31"/>
      <c r="B2575" s="32" t="s">
        <v>9944</v>
      </c>
      <c r="C2575" s="31" t="s">
        <v>9945</v>
      </c>
      <c r="D2575" s="31" t="s">
        <v>4418</v>
      </c>
      <c r="E2575" s="31" t="s">
        <v>9946</v>
      </c>
      <c r="F2575" s="31">
        <v>2</v>
      </c>
      <c r="G2575" s="31">
        <v>209</v>
      </c>
      <c r="H2575" s="31">
        <v>10</v>
      </c>
      <c r="I2575" s="31">
        <v>12</v>
      </c>
      <c r="J2575" s="31" t="s">
        <v>9947</v>
      </c>
      <c r="K2575" s="31" t="s">
        <v>41</v>
      </c>
      <c r="L2575" s="31" t="s">
        <v>56</v>
      </c>
      <c r="M2575" s="31">
        <v>381</v>
      </c>
      <c r="N2575" s="31">
        <v>2001</v>
      </c>
      <c r="O2575" s="31">
        <v>185</v>
      </c>
      <c r="P2575" s="31"/>
      <c r="Q2575" s="31"/>
      <c r="R2575" s="33"/>
      <c r="S2575" s="34" t="str">
        <f>HYPERLINK("http://www.cnpol.ru/covers/2509.jpg","фото на сайте")</f>
        <v>фото на сайте</v>
      </c>
    </row>
    <row r="2576" spans="1:19" ht="50.1" customHeight="1">
      <c r="A2576" s="31"/>
      <c r="B2576" s="32" t="s">
        <v>9948</v>
      </c>
      <c r="C2576" s="31" t="s">
        <v>9945</v>
      </c>
      <c r="D2576" s="31" t="s">
        <v>4418</v>
      </c>
      <c r="E2576" s="31" t="s">
        <v>9946</v>
      </c>
      <c r="F2576" s="31">
        <v>3</v>
      </c>
      <c r="G2576" s="31">
        <v>209</v>
      </c>
      <c r="H2576" s="31">
        <v>10</v>
      </c>
      <c r="I2576" s="31">
        <v>12</v>
      </c>
      <c r="J2576" s="31" t="s">
        <v>9949</v>
      </c>
      <c r="K2576" s="31" t="s">
        <v>41</v>
      </c>
      <c r="L2576" s="31" t="s">
        <v>56</v>
      </c>
      <c r="M2576" s="31">
        <v>447</v>
      </c>
      <c r="N2576" s="31">
        <v>2001</v>
      </c>
      <c r="O2576" s="31">
        <v>185</v>
      </c>
      <c r="P2576" s="31"/>
      <c r="Q2576" s="31"/>
      <c r="R2576" s="33"/>
      <c r="S2576" s="34" t="str">
        <f>HYPERLINK("http://www.cnpol.ru/covers/2728.jpg","фото на сайте")</f>
        <v>фото на сайте</v>
      </c>
    </row>
    <row r="2577" spans="1:19" ht="50.1" customHeight="1">
      <c r="A2577" s="31"/>
      <c r="B2577" s="32" t="s">
        <v>9950</v>
      </c>
      <c r="C2577" s="31" t="s">
        <v>464</v>
      </c>
      <c r="D2577" s="31" t="s">
        <v>9951</v>
      </c>
      <c r="E2577" s="31" t="s">
        <v>9952</v>
      </c>
      <c r="F2577" s="31" t="s">
        <v>31</v>
      </c>
      <c r="G2577" s="31">
        <v>137</v>
      </c>
      <c r="H2577" s="31">
        <v>10</v>
      </c>
      <c r="I2577" s="31">
        <v>50</v>
      </c>
      <c r="J2577" s="31" t="s">
        <v>9953</v>
      </c>
      <c r="K2577" s="31" t="s">
        <v>468</v>
      </c>
      <c r="L2577" s="31" t="s">
        <v>56</v>
      </c>
      <c r="M2577" s="31">
        <v>18</v>
      </c>
      <c r="N2577" s="31">
        <v>2005</v>
      </c>
      <c r="O2577" s="31">
        <v>88</v>
      </c>
      <c r="P2577" s="31"/>
      <c r="Q2577" s="31"/>
      <c r="R2577" s="33"/>
      <c r="S2577" s="34" t="str">
        <f>HYPERLINK("http://www.cnpol.ru/covers/6219.jpg","фото на сайте")</f>
        <v>фото на сайте</v>
      </c>
    </row>
    <row r="2578" spans="1:19" ht="50.1" customHeight="1">
      <c r="A2578" s="31"/>
      <c r="B2578" s="32" t="s">
        <v>9954</v>
      </c>
      <c r="C2578" s="31" t="s">
        <v>390</v>
      </c>
      <c r="D2578" s="31" t="s">
        <v>2518</v>
      </c>
      <c r="E2578" s="31" t="s">
        <v>9955</v>
      </c>
      <c r="F2578" s="31">
        <v>674</v>
      </c>
      <c r="G2578" s="31">
        <v>86</v>
      </c>
      <c r="H2578" s="31">
        <v>10</v>
      </c>
      <c r="I2578" s="31">
        <v>30</v>
      </c>
      <c r="J2578" s="31" t="s">
        <v>9956</v>
      </c>
      <c r="K2578" s="31" t="s">
        <v>123</v>
      </c>
      <c r="L2578" s="31" t="s">
        <v>56</v>
      </c>
      <c r="M2578" s="31">
        <v>160</v>
      </c>
      <c r="N2578" s="31">
        <v>2016</v>
      </c>
      <c r="O2578" s="31">
        <v>76</v>
      </c>
      <c r="P2578" s="31"/>
      <c r="Q2578" s="31"/>
      <c r="R2578" s="33"/>
      <c r="S2578" s="34" t="str">
        <f>HYPERLINK("http://www.cnpol.ru/covers/17177.jpg","фото на сайте")</f>
        <v>фото на сайте</v>
      </c>
    </row>
    <row r="2579" spans="1:19" ht="50.1" customHeight="1">
      <c r="A2579" s="31"/>
      <c r="B2579" s="32" t="s">
        <v>9957</v>
      </c>
      <c r="C2579" s="31" t="s">
        <v>390</v>
      </c>
      <c r="D2579" s="31" t="s">
        <v>4721</v>
      </c>
      <c r="E2579" s="31" t="s">
        <v>9958</v>
      </c>
      <c r="F2579" s="31">
        <v>729</v>
      </c>
      <c r="G2579" s="31">
        <v>86</v>
      </c>
      <c r="H2579" s="31">
        <v>10</v>
      </c>
      <c r="I2579" s="31">
        <v>30</v>
      </c>
      <c r="J2579" s="31" t="s">
        <v>9959</v>
      </c>
      <c r="K2579" s="31" t="s">
        <v>123</v>
      </c>
      <c r="L2579" s="31" t="s">
        <v>56</v>
      </c>
      <c r="M2579" s="31">
        <v>160</v>
      </c>
      <c r="N2579" s="31">
        <v>2017</v>
      </c>
      <c r="O2579" s="31">
        <v>76</v>
      </c>
      <c r="P2579" s="31"/>
      <c r="Q2579" s="31"/>
      <c r="R2579" s="33"/>
      <c r="S2579" s="34" t="str">
        <f>HYPERLINK("http://www.cnpol.ru/covers/17559.jpg","фото на сайте")</f>
        <v>фото на сайте</v>
      </c>
    </row>
    <row r="2580" spans="1:19" ht="50.1" customHeight="1">
      <c r="A2580" s="31" t="s">
        <v>35</v>
      </c>
      <c r="B2580" s="32" t="s">
        <v>9960</v>
      </c>
      <c r="C2580" s="31" t="s">
        <v>1668</v>
      </c>
      <c r="D2580" s="31" t="s">
        <v>1669</v>
      </c>
      <c r="E2580" s="31" t="s">
        <v>9961</v>
      </c>
      <c r="F2580" s="31" t="s">
        <v>31</v>
      </c>
      <c r="G2580" s="35">
        <v>1015</v>
      </c>
      <c r="H2580" s="31">
        <v>10</v>
      </c>
      <c r="I2580" s="31">
        <v>10</v>
      </c>
      <c r="J2580" s="31" t="s">
        <v>9962</v>
      </c>
      <c r="K2580" s="31" t="s">
        <v>33</v>
      </c>
      <c r="L2580" s="31" t="s">
        <v>34</v>
      </c>
      <c r="M2580" s="31">
        <v>382</v>
      </c>
      <c r="N2580" s="31">
        <v>2024</v>
      </c>
      <c r="O2580" s="31">
        <v>421</v>
      </c>
      <c r="P2580" s="31"/>
      <c r="Q2580" s="31"/>
      <c r="R2580" s="33" t="s">
        <v>9963</v>
      </c>
      <c r="S2580" s="34" t="str">
        <f>HYPERLINK("http://www.cnpol.ru/covers/21227.jpg","фото на сайте")</f>
        <v>фото на сайте</v>
      </c>
    </row>
    <row r="2581" spans="1:19" ht="50.1" customHeight="1">
      <c r="A2581" s="31"/>
      <c r="B2581" s="32" t="s">
        <v>9964</v>
      </c>
      <c r="C2581" s="31" t="s">
        <v>1668</v>
      </c>
      <c r="D2581" s="31" t="s">
        <v>1669</v>
      </c>
      <c r="E2581" s="31" t="s">
        <v>9965</v>
      </c>
      <c r="F2581" s="31" t="s">
        <v>31</v>
      </c>
      <c r="G2581" s="31">
        <v>575</v>
      </c>
      <c r="H2581" s="31">
        <v>10</v>
      </c>
      <c r="I2581" s="31">
        <v>12</v>
      </c>
      <c r="J2581" s="31" t="s">
        <v>9966</v>
      </c>
      <c r="K2581" s="31" t="s">
        <v>33</v>
      </c>
      <c r="L2581" s="31" t="s">
        <v>34</v>
      </c>
      <c r="M2581" s="31">
        <v>351</v>
      </c>
      <c r="N2581" s="31">
        <v>2023</v>
      </c>
      <c r="O2581" s="31">
        <v>300</v>
      </c>
      <c r="P2581" s="31"/>
      <c r="Q2581" s="31"/>
      <c r="R2581" s="33" t="s">
        <v>9967</v>
      </c>
      <c r="S2581" s="34" t="str">
        <f>HYPERLINK("http://www.cnpol.ru/covers/20727.jpg","фото на сайте")</f>
        <v>фото на сайте</v>
      </c>
    </row>
    <row r="2582" spans="1:19" ht="50.1" customHeight="1">
      <c r="A2582" s="31"/>
      <c r="B2582" s="32" t="s">
        <v>9968</v>
      </c>
      <c r="C2582" s="31" t="s">
        <v>520</v>
      </c>
      <c r="D2582" s="31" t="s">
        <v>5181</v>
      </c>
      <c r="E2582" s="31" t="s">
        <v>9969</v>
      </c>
      <c r="F2582" s="31">
        <v>78</v>
      </c>
      <c r="G2582" s="31">
        <v>117</v>
      </c>
      <c r="H2582" s="31">
        <v>10</v>
      </c>
      <c r="I2582" s="31">
        <v>30</v>
      </c>
      <c r="J2582" s="31" t="s">
        <v>9970</v>
      </c>
      <c r="K2582" s="31" t="s">
        <v>123</v>
      </c>
      <c r="L2582" s="31" t="s">
        <v>56</v>
      </c>
      <c r="M2582" s="31">
        <v>192</v>
      </c>
      <c r="N2582" s="31">
        <v>2020</v>
      </c>
      <c r="O2582" s="31">
        <v>90</v>
      </c>
      <c r="P2582" s="31"/>
      <c r="Q2582" s="31"/>
      <c r="R2582" s="33"/>
      <c r="S2582" s="34" t="str">
        <f>HYPERLINK("http://www.cnpol.ru/covers/19243.jpg","фото на сайте")</f>
        <v>фото на сайте</v>
      </c>
    </row>
    <row r="2583" spans="1:19" ht="50.1" customHeight="1">
      <c r="A2583" s="31"/>
      <c r="B2583" s="32" t="s">
        <v>9971</v>
      </c>
      <c r="C2583" s="31" t="s">
        <v>390</v>
      </c>
      <c r="D2583" s="31" t="s">
        <v>1347</v>
      </c>
      <c r="E2583" s="31" t="s">
        <v>9972</v>
      </c>
      <c r="F2583" s="31">
        <v>805</v>
      </c>
      <c r="G2583" s="31">
        <v>86</v>
      </c>
      <c r="H2583" s="31">
        <v>10</v>
      </c>
      <c r="I2583" s="31">
        <v>30</v>
      </c>
      <c r="J2583" s="31" t="s">
        <v>9973</v>
      </c>
      <c r="K2583" s="31" t="s">
        <v>123</v>
      </c>
      <c r="L2583" s="31" t="s">
        <v>56</v>
      </c>
      <c r="M2583" s="31">
        <v>160</v>
      </c>
      <c r="N2583" s="31">
        <v>2018</v>
      </c>
      <c r="O2583" s="31">
        <v>76</v>
      </c>
      <c r="P2583" s="31"/>
      <c r="Q2583" s="31"/>
      <c r="R2583" s="33"/>
      <c r="S2583" s="34" t="str">
        <f>HYPERLINK("http://www.cnpol.ru/covers/18099.jpg","фото на сайте")</f>
        <v>фото на сайте</v>
      </c>
    </row>
    <row r="2584" spans="1:19" ht="50.1" customHeight="1">
      <c r="A2584" s="31"/>
      <c r="B2584" s="32" t="s">
        <v>9974</v>
      </c>
      <c r="C2584" s="31" t="s">
        <v>546</v>
      </c>
      <c r="D2584" s="31" t="s">
        <v>1656</v>
      </c>
      <c r="E2584" s="31" t="s">
        <v>9975</v>
      </c>
      <c r="F2584" s="31">
        <v>286</v>
      </c>
      <c r="G2584" s="31">
        <v>93</v>
      </c>
      <c r="H2584" s="31">
        <v>10</v>
      </c>
      <c r="I2584" s="31">
        <v>30</v>
      </c>
      <c r="J2584" s="31" t="s">
        <v>9976</v>
      </c>
      <c r="K2584" s="31" t="s">
        <v>123</v>
      </c>
      <c r="L2584" s="31" t="s">
        <v>56</v>
      </c>
      <c r="M2584" s="31">
        <v>160</v>
      </c>
      <c r="N2584" s="31">
        <v>2018</v>
      </c>
      <c r="O2584" s="31">
        <v>76</v>
      </c>
      <c r="P2584" s="31"/>
      <c r="Q2584" s="31"/>
      <c r="R2584" s="33"/>
      <c r="S2584" s="34" t="str">
        <f>HYPERLINK("http://www.cnpol.ru/covers/18399.jpg","фото на сайте")</f>
        <v>фото на сайте</v>
      </c>
    </row>
    <row r="2585" spans="1:19" ht="50.1" customHeight="1">
      <c r="A2585" s="31"/>
      <c r="B2585" s="32" t="s">
        <v>9977</v>
      </c>
      <c r="C2585" s="31" t="s">
        <v>390</v>
      </c>
      <c r="D2585" s="31" t="s">
        <v>2511</v>
      </c>
      <c r="E2585" s="31" t="s">
        <v>9978</v>
      </c>
      <c r="F2585" s="31">
        <v>633</v>
      </c>
      <c r="G2585" s="31">
        <v>86</v>
      </c>
      <c r="H2585" s="31">
        <v>10</v>
      </c>
      <c r="I2585" s="31">
        <v>30</v>
      </c>
      <c r="J2585" s="31" t="s">
        <v>9979</v>
      </c>
      <c r="K2585" s="31" t="s">
        <v>123</v>
      </c>
      <c r="L2585" s="31" t="s">
        <v>56</v>
      </c>
      <c r="M2585" s="31">
        <v>160</v>
      </c>
      <c r="N2585" s="31">
        <v>2016</v>
      </c>
      <c r="O2585" s="31">
        <v>76</v>
      </c>
      <c r="P2585" s="31"/>
      <c r="Q2585" s="31"/>
      <c r="R2585" s="33"/>
      <c r="S2585" s="34" t="str">
        <f>HYPERLINK("http://www.cnpol.ru/covers/16869.jpg","фото на сайте")</f>
        <v>фото на сайте</v>
      </c>
    </row>
    <row r="2586" spans="1:19" ht="50.1" customHeight="1">
      <c r="A2586" s="31"/>
      <c r="B2586" s="32" t="s">
        <v>9980</v>
      </c>
      <c r="C2586" s="31" t="s">
        <v>9981</v>
      </c>
      <c r="D2586" s="31" t="s">
        <v>9982</v>
      </c>
      <c r="E2586" s="31" t="s">
        <v>9983</v>
      </c>
      <c r="F2586" s="31" t="s">
        <v>31</v>
      </c>
      <c r="G2586" s="31">
        <v>81</v>
      </c>
      <c r="H2586" s="31">
        <v>10</v>
      </c>
      <c r="I2586" s="31">
        <v>22</v>
      </c>
      <c r="J2586" s="31" t="s">
        <v>9984</v>
      </c>
      <c r="K2586" s="31" t="s">
        <v>130</v>
      </c>
      <c r="L2586" s="31" t="s">
        <v>56</v>
      </c>
      <c r="M2586" s="31">
        <v>315</v>
      </c>
      <c r="N2586" s="31">
        <v>2000</v>
      </c>
      <c r="O2586" s="31">
        <v>198</v>
      </c>
      <c r="P2586" s="31"/>
      <c r="Q2586" s="31"/>
      <c r="R2586" s="33"/>
      <c r="S2586" s="34" t="str">
        <f>HYPERLINK("http://www.cnpol.ru/covers/1806.jpg","фото на сайте")</f>
        <v>фото на сайте</v>
      </c>
    </row>
    <row r="2587" spans="1:19" ht="50.1" customHeight="1">
      <c r="A2587" s="31"/>
      <c r="B2587" s="32" t="s">
        <v>9985</v>
      </c>
      <c r="C2587" s="31" t="s">
        <v>546</v>
      </c>
      <c r="D2587" s="31" t="s">
        <v>1423</v>
      </c>
      <c r="E2587" s="31" t="s">
        <v>9986</v>
      </c>
      <c r="F2587" s="31">
        <v>267</v>
      </c>
      <c r="G2587" s="31">
        <v>93</v>
      </c>
      <c r="H2587" s="31">
        <v>10</v>
      </c>
      <c r="I2587" s="31">
        <v>30</v>
      </c>
      <c r="J2587" s="31" t="s">
        <v>9987</v>
      </c>
      <c r="K2587" s="31" t="s">
        <v>123</v>
      </c>
      <c r="L2587" s="31" t="s">
        <v>56</v>
      </c>
      <c r="M2587" s="31">
        <v>160</v>
      </c>
      <c r="N2587" s="31">
        <v>2018</v>
      </c>
      <c r="O2587" s="31">
        <v>76</v>
      </c>
      <c r="P2587" s="31"/>
      <c r="Q2587" s="31"/>
      <c r="R2587" s="33"/>
      <c r="S2587" s="34" t="str">
        <f>HYPERLINK("http://www.cnpol.ru/covers/18165.jpg","фото на сайте")</f>
        <v>фото на сайте</v>
      </c>
    </row>
    <row r="2588" spans="1:19" ht="50.1" customHeight="1">
      <c r="A2588" s="31"/>
      <c r="B2588" s="32" t="s">
        <v>9988</v>
      </c>
      <c r="C2588" s="31" t="s">
        <v>1668</v>
      </c>
      <c r="D2588" s="31" t="s">
        <v>1669</v>
      </c>
      <c r="E2588" s="31" t="s">
        <v>9989</v>
      </c>
      <c r="F2588" s="31" t="s">
        <v>31</v>
      </c>
      <c r="G2588" s="31">
        <v>575</v>
      </c>
      <c r="H2588" s="31">
        <v>10</v>
      </c>
      <c r="I2588" s="31">
        <v>12</v>
      </c>
      <c r="J2588" s="31" t="s">
        <v>9990</v>
      </c>
      <c r="K2588" s="31" t="s">
        <v>33</v>
      </c>
      <c r="L2588" s="31" t="s">
        <v>34</v>
      </c>
      <c r="M2588" s="31">
        <v>351</v>
      </c>
      <c r="N2588" s="31">
        <v>2023</v>
      </c>
      <c r="O2588" s="31">
        <v>310</v>
      </c>
      <c r="P2588" s="31"/>
      <c r="Q2588" s="31"/>
      <c r="R2588" s="33" t="s">
        <v>9991</v>
      </c>
      <c r="S2588" s="34" t="str">
        <f>HYPERLINK("http://www.cnpol.ru/covers/20520.jpg","фото на сайте")</f>
        <v>фото на сайте</v>
      </c>
    </row>
    <row r="2589" spans="1:19" ht="50.1" customHeight="1">
      <c r="A2589" s="31"/>
      <c r="B2589" s="32" t="s">
        <v>9992</v>
      </c>
      <c r="C2589" s="31" t="s">
        <v>400</v>
      </c>
      <c r="D2589" s="31" t="s">
        <v>9993</v>
      </c>
      <c r="E2589" s="31" t="s">
        <v>9994</v>
      </c>
      <c r="F2589" s="31" t="s">
        <v>31</v>
      </c>
      <c r="G2589" s="31">
        <v>503</v>
      </c>
      <c r="H2589" s="31">
        <v>10</v>
      </c>
      <c r="I2589" s="31">
        <v>12</v>
      </c>
      <c r="J2589" s="31" t="s">
        <v>9995</v>
      </c>
      <c r="K2589" s="31" t="s">
        <v>33</v>
      </c>
      <c r="L2589" s="31" t="s">
        <v>34</v>
      </c>
      <c r="M2589" s="31">
        <v>383</v>
      </c>
      <c r="N2589" s="31">
        <v>2021</v>
      </c>
      <c r="O2589" s="31">
        <v>410</v>
      </c>
      <c r="P2589" s="31"/>
      <c r="Q2589" s="31"/>
      <c r="R2589" s="33"/>
      <c r="S2589" s="34" t="str">
        <f>HYPERLINK("http://www.cnpol.ru/covers/20039.jpg","фото на сайте")</f>
        <v>фото на сайте</v>
      </c>
    </row>
    <row r="2590" spans="1:19" ht="50.1" customHeight="1">
      <c r="A2590" s="31"/>
      <c r="B2590" s="32" t="s">
        <v>9996</v>
      </c>
      <c r="C2590" s="31" t="s">
        <v>520</v>
      </c>
      <c r="D2590" s="31" t="s">
        <v>9997</v>
      </c>
      <c r="E2590" s="31" t="s">
        <v>9998</v>
      </c>
      <c r="F2590" s="31">
        <v>51</v>
      </c>
      <c r="G2590" s="31">
        <v>117</v>
      </c>
      <c r="H2590" s="31">
        <v>10</v>
      </c>
      <c r="I2590" s="31">
        <v>30</v>
      </c>
      <c r="J2590" s="31" t="s">
        <v>9999</v>
      </c>
      <c r="K2590" s="31" t="s">
        <v>123</v>
      </c>
      <c r="L2590" s="31" t="s">
        <v>56</v>
      </c>
      <c r="M2590" s="31">
        <v>192</v>
      </c>
      <c r="N2590" s="31">
        <v>2017</v>
      </c>
      <c r="O2590" s="31">
        <v>90</v>
      </c>
      <c r="P2590" s="31"/>
      <c r="Q2590" s="31"/>
      <c r="R2590" s="33"/>
      <c r="S2590" s="34" t="str">
        <f>HYPERLINK("http://www.cnpol.ru/covers/17820.jpg","фото на сайте")</f>
        <v>фото на сайте</v>
      </c>
    </row>
    <row r="2591" spans="1:19" ht="50.1" customHeight="1">
      <c r="A2591" s="31"/>
      <c r="B2591" s="32" t="s">
        <v>10000</v>
      </c>
      <c r="C2591" s="31" t="s">
        <v>390</v>
      </c>
      <c r="D2591" s="31" t="s">
        <v>4657</v>
      </c>
      <c r="E2591" s="31" t="s">
        <v>10001</v>
      </c>
      <c r="F2591" s="31">
        <v>474</v>
      </c>
      <c r="G2591" s="31">
        <v>86</v>
      </c>
      <c r="H2591" s="31">
        <v>10</v>
      </c>
      <c r="I2591" s="31">
        <v>30</v>
      </c>
      <c r="J2591" s="31" t="s">
        <v>10002</v>
      </c>
      <c r="K2591" s="31" t="s">
        <v>123</v>
      </c>
      <c r="L2591" s="31" t="s">
        <v>56</v>
      </c>
      <c r="M2591" s="31">
        <v>158</v>
      </c>
      <c r="N2591" s="31">
        <v>2014</v>
      </c>
      <c r="O2591" s="31">
        <v>78</v>
      </c>
      <c r="P2591" s="31"/>
      <c r="Q2591" s="31"/>
      <c r="R2591" s="33"/>
      <c r="S2591" s="34" t="str">
        <f>HYPERLINK("http://www.cnpol.ru/covers/15670.jpg","фото на сайте")</f>
        <v>фото на сайте</v>
      </c>
    </row>
    <row r="2592" spans="1:19" ht="50.1" customHeight="1">
      <c r="A2592" s="31" t="s">
        <v>43</v>
      </c>
      <c r="B2592" s="32" t="s">
        <v>10003</v>
      </c>
      <c r="C2592" s="31" t="s">
        <v>390</v>
      </c>
      <c r="D2592" s="31" t="s">
        <v>5684</v>
      </c>
      <c r="E2592" s="31" t="s">
        <v>10004</v>
      </c>
      <c r="F2592" s="31">
        <v>1168</v>
      </c>
      <c r="G2592" s="31">
        <v>86</v>
      </c>
      <c r="H2592" s="31">
        <v>10</v>
      </c>
      <c r="I2592" s="31">
        <v>30</v>
      </c>
      <c r="J2592" s="31" t="s">
        <v>10005</v>
      </c>
      <c r="K2592" s="31" t="s">
        <v>123</v>
      </c>
      <c r="L2592" s="31" t="s">
        <v>56</v>
      </c>
      <c r="M2592" s="31">
        <v>159</v>
      </c>
      <c r="N2592" s="31">
        <v>2024</v>
      </c>
      <c r="O2592" s="31">
        <v>76</v>
      </c>
      <c r="P2592" s="31"/>
      <c r="Q2592" s="31"/>
      <c r="R2592" s="33" t="s">
        <v>10006</v>
      </c>
      <c r="S2592" s="34" t="str">
        <f>HYPERLINK("http://www.cnpol.ru/covers/21053.jpg","фото на сайте")</f>
        <v>фото на сайте</v>
      </c>
    </row>
    <row r="2593" spans="1:19" ht="50.1" customHeight="1">
      <c r="A2593" s="31"/>
      <c r="B2593" s="32" t="s">
        <v>10007</v>
      </c>
      <c r="C2593" s="31" t="s">
        <v>390</v>
      </c>
      <c r="D2593" s="31" t="s">
        <v>4374</v>
      </c>
      <c r="E2593" s="31" t="s">
        <v>10008</v>
      </c>
      <c r="F2593" s="31">
        <v>669</v>
      </c>
      <c r="G2593" s="31">
        <v>86</v>
      </c>
      <c r="H2593" s="31">
        <v>10</v>
      </c>
      <c r="I2593" s="31">
        <v>30</v>
      </c>
      <c r="J2593" s="31" t="s">
        <v>10009</v>
      </c>
      <c r="K2593" s="31" t="s">
        <v>123</v>
      </c>
      <c r="L2593" s="31" t="s">
        <v>56</v>
      </c>
      <c r="M2593" s="31">
        <v>160</v>
      </c>
      <c r="N2593" s="31">
        <v>2016</v>
      </c>
      <c r="O2593" s="31">
        <v>76</v>
      </c>
      <c r="P2593" s="31"/>
      <c r="Q2593" s="31"/>
      <c r="R2593" s="33"/>
      <c r="S2593" s="34" t="str">
        <f>HYPERLINK("http://www.cnpol.ru/covers/17140.jpg","фото на сайте")</f>
        <v>фото на сайте</v>
      </c>
    </row>
    <row r="2594" spans="1:19" ht="50.1" customHeight="1">
      <c r="A2594" s="31"/>
      <c r="B2594" s="32" t="s">
        <v>10010</v>
      </c>
      <c r="C2594" s="31" t="s">
        <v>390</v>
      </c>
      <c r="D2594" s="31" t="s">
        <v>1801</v>
      </c>
      <c r="E2594" s="31" t="s">
        <v>10011</v>
      </c>
      <c r="F2594" s="31">
        <v>635</v>
      </c>
      <c r="G2594" s="31">
        <v>86</v>
      </c>
      <c r="H2594" s="31">
        <v>10</v>
      </c>
      <c r="I2594" s="31">
        <v>30</v>
      </c>
      <c r="J2594" s="31" t="s">
        <v>10012</v>
      </c>
      <c r="K2594" s="31" t="s">
        <v>123</v>
      </c>
      <c r="L2594" s="31" t="s">
        <v>56</v>
      </c>
      <c r="M2594" s="31">
        <v>160</v>
      </c>
      <c r="N2594" s="31">
        <v>2016</v>
      </c>
      <c r="O2594" s="31">
        <v>76</v>
      </c>
      <c r="P2594" s="31"/>
      <c r="Q2594" s="31"/>
      <c r="R2594" s="33"/>
      <c r="S2594" s="34" t="str">
        <f>HYPERLINK("http://www.cnpol.ru/covers/16882.jpg","фото на сайте")</f>
        <v>фото на сайте</v>
      </c>
    </row>
    <row r="2595" spans="1:19" ht="50.1" customHeight="1">
      <c r="A2595" s="31"/>
      <c r="B2595" s="32" t="s">
        <v>10013</v>
      </c>
      <c r="C2595" s="31" t="s">
        <v>993</v>
      </c>
      <c r="D2595" s="31" t="s">
        <v>10014</v>
      </c>
      <c r="E2595" s="31" t="s">
        <v>10015</v>
      </c>
      <c r="F2595" s="31" t="s">
        <v>31</v>
      </c>
      <c r="G2595" s="31">
        <v>88</v>
      </c>
      <c r="H2595" s="31">
        <v>10</v>
      </c>
      <c r="I2595" s="31">
        <v>40</v>
      </c>
      <c r="J2595" s="31" t="s">
        <v>10016</v>
      </c>
      <c r="K2595" s="31" t="s">
        <v>123</v>
      </c>
      <c r="L2595" s="31" t="s">
        <v>56</v>
      </c>
      <c r="M2595" s="31">
        <v>127</v>
      </c>
      <c r="N2595" s="31">
        <v>2008</v>
      </c>
      <c r="O2595" s="31">
        <v>60</v>
      </c>
      <c r="P2595" s="31"/>
      <c r="Q2595" s="31"/>
      <c r="R2595" s="33"/>
      <c r="S2595" s="34" t="str">
        <f>HYPERLINK("http://www.cnpol.ru/covers/10723.jpg","фото на сайте")</f>
        <v>фото на сайте</v>
      </c>
    </row>
    <row r="2596" spans="1:19" ht="50.1" customHeight="1">
      <c r="A2596" s="31"/>
      <c r="B2596" s="32" t="s">
        <v>10017</v>
      </c>
      <c r="C2596" s="31" t="s">
        <v>520</v>
      </c>
      <c r="D2596" s="31" t="s">
        <v>559</v>
      </c>
      <c r="E2596" s="31" t="s">
        <v>10018</v>
      </c>
      <c r="F2596" s="31">
        <v>21</v>
      </c>
      <c r="G2596" s="31">
        <v>117</v>
      </c>
      <c r="H2596" s="31">
        <v>10</v>
      </c>
      <c r="I2596" s="31">
        <v>30</v>
      </c>
      <c r="J2596" s="31" t="s">
        <v>10019</v>
      </c>
      <c r="K2596" s="31" t="s">
        <v>123</v>
      </c>
      <c r="L2596" s="31" t="s">
        <v>56</v>
      </c>
      <c r="M2596" s="31">
        <v>192</v>
      </c>
      <c r="N2596" s="31">
        <v>2016</v>
      </c>
      <c r="O2596" s="31">
        <v>90</v>
      </c>
      <c r="P2596" s="31"/>
      <c r="Q2596" s="31"/>
      <c r="R2596" s="33"/>
      <c r="S2596" s="34" t="str">
        <f>HYPERLINK("http://www.cnpol.ru/covers/16582.jpg","фото на сайте")</f>
        <v>фото на сайте</v>
      </c>
    </row>
    <row r="2597" spans="1:19" ht="50.1" customHeight="1">
      <c r="A2597" s="31"/>
      <c r="B2597" s="32" t="s">
        <v>10020</v>
      </c>
      <c r="C2597" s="31" t="s">
        <v>546</v>
      </c>
      <c r="D2597" s="31" t="s">
        <v>594</v>
      </c>
      <c r="E2597" s="31" t="s">
        <v>10021</v>
      </c>
      <c r="F2597" s="31">
        <v>178</v>
      </c>
      <c r="G2597" s="31">
        <v>93</v>
      </c>
      <c r="H2597" s="31">
        <v>10</v>
      </c>
      <c r="I2597" s="31">
        <v>30</v>
      </c>
      <c r="J2597" s="31" t="s">
        <v>10022</v>
      </c>
      <c r="K2597" s="31" t="s">
        <v>123</v>
      </c>
      <c r="L2597" s="31" t="s">
        <v>56</v>
      </c>
      <c r="M2597" s="31">
        <v>160</v>
      </c>
      <c r="N2597" s="31">
        <v>2016</v>
      </c>
      <c r="O2597" s="31">
        <v>76</v>
      </c>
      <c r="P2597" s="31"/>
      <c r="Q2597" s="31"/>
      <c r="R2597" s="33"/>
      <c r="S2597" s="34" t="str">
        <f>HYPERLINK("http://www.cnpol.ru/covers/16883.jpg","фото на сайте")</f>
        <v>фото на сайте</v>
      </c>
    </row>
    <row r="2598" spans="1:19" ht="50.1" customHeight="1">
      <c r="A2598" s="31"/>
      <c r="B2598" s="32" t="s">
        <v>10023</v>
      </c>
      <c r="C2598" s="31" t="s">
        <v>1323</v>
      </c>
      <c r="D2598" s="31" t="s">
        <v>1324</v>
      </c>
      <c r="E2598" s="31" t="s">
        <v>10024</v>
      </c>
      <c r="F2598" s="31" t="s">
        <v>31</v>
      </c>
      <c r="G2598" s="31">
        <v>169</v>
      </c>
      <c r="H2598" s="31">
        <v>10</v>
      </c>
      <c r="I2598" s="31">
        <v>16</v>
      </c>
      <c r="J2598" s="31" t="s">
        <v>10025</v>
      </c>
      <c r="K2598" s="31" t="s">
        <v>55</v>
      </c>
      <c r="L2598" s="31" t="s">
        <v>56</v>
      </c>
      <c r="M2598" s="31">
        <v>288</v>
      </c>
      <c r="N2598" s="31">
        <v>2020</v>
      </c>
      <c r="O2598" s="31">
        <v>122</v>
      </c>
      <c r="P2598" s="31"/>
      <c r="Q2598" s="31"/>
      <c r="R2598" s="33"/>
      <c r="S2598" s="34" t="str">
        <f>HYPERLINK("http://www.cnpol.ru/covers/19343.jpg","фото на сайте")</f>
        <v>фото на сайте</v>
      </c>
    </row>
    <row r="2599" spans="1:19" ht="50.1" customHeight="1">
      <c r="A2599" s="31"/>
      <c r="B2599" s="32" t="s">
        <v>10026</v>
      </c>
      <c r="C2599" s="31" t="s">
        <v>390</v>
      </c>
      <c r="D2599" s="31" t="s">
        <v>1794</v>
      </c>
      <c r="E2599" s="31" t="s">
        <v>10027</v>
      </c>
      <c r="F2599" s="31">
        <v>541</v>
      </c>
      <c r="G2599" s="31">
        <v>86</v>
      </c>
      <c r="H2599" s="31">
        <v>10</v>
      </c>
      <c r="I2599" s="31">
        <v>30</v>
      </c>
      <c r="J2599" s="31" t="s">
        <v>10028</v>
      </c>
      <c r="K2599" s="31" t="s">
        <v>123</v>
      </c>
      <c r="L2599" s="31" t="s">
        <v>56</v>
      </c>
      <c r="M2599" s="31">
        <v>158</v>
      </c>
      <c r="N2599" s="31">
        <v>2015</v>
      </c>
      <c r="O2599" s="31">
        <v>76</v>
      </c>
      <c r="P2599" s="31"/>
      <c r="Q2599" s="31"/>
      <c r="R2599" s="33"/>
      <c r="S2599" s="34" t="str">
        <f>HYPERLINK("http://www.cnpol.ru/covers/16161.jpg","фото на сайте")</f>
        <v>фото на сайте</v>
      </c>
    </row>
    <row r="2600" spans="1:19" ht="50.1" customHeight="1">
      <c r="A2600" s="31"/>
      <c r="B2600" s="32" t="s">
        <v>10029</v>
      </c>
      <c r="C2600" s="31" t="s">
        <v>390</v>
      </c>
      <c r="D2600" s="31" t="s">
        <v>7550</v>
      </c>
      <c r="E2600" s="31" t="s">
        <v>10030</v>
      </c>
      <c r="F2600" s="31">
        <v>761</v>
      </c>
      <c r="G2600" s="31">
        <v>86</v>
      </c>
      <c r="H2600" s="31">
        <v>10</v>
      </c>
      <c r="I2600" s="31">
        <v>30</v>
      </c>
      <c r="J2600" s="31" t="s">
        <v>10031</v>
      </c>
      <c r="K2600" s="31" t="s">
        <v>123</v>
      </c>
      <c r="L2600" s="31" t="s">
        <v>56</v>
      </c>
      <c r="M2600" s="31">
        <v>160</v>
      </c>
      <c r="N2600" s="31">
        <v>2017</v>
      </c>
      <c r="O2600" s="31">
        <v>76</v>
      </c>
      <c r="P2600" s="31"/>
      <c r="Q2600" s="31"/>
      <c r="R2600" s="33"/>
      <c r="S2600" s="34" t="str">
        <f>HYPERLINK("http://www.cnpol.ru/covers/17739.jpg","фото на сайте")</f>
        <v>фото на сайте</v>
      </c>
    </row>
    <row r="2601" spans="1:19" ht="50.1" customHeight="1">
      <c r="A2601" s="31"/>
      <c r="B2601" s="32" t="s">
        <v>10032</v>
      </c>
      <c r="C2601" s="31" t="s">
        <v>302</v>
      </c>
      <c r="D2601" s="31" t="s">
        <v>9027</v>
      </c>
      <c r="E2601" s="31" t="s">
        <v>10033</v>
      </c>
      <c r="F2601" s="31" t="s">
        <v>31</v>
      </c>
      <c r="G2601" s="31">
        <v>917</v>
      </c>
      <c r="H2601" s="31">
        <v>10</v>
      </c>
      <c r="I2601" s="31">
        <v>16</v>
      </c>
      <c r="J2601" s="31" t="s">
        <v>10034</v>
      </c>
      <c r="K2601" s="31" t="s">
        <v>41</v>
      </c>
      <c r="L2601" s="31" t="s">
        <v>304</v>
      </c>
      <c r="M2601" s="31">
        <v>288</v>
      </c>
      <c r="N2601" s="31">
        <v>2018</v>
      </c>
      <c r="O2601" s="31">
        <v>396</v>
      </c>
      <c r="P2601" s="31"/>
      <c r="Q2601" s="31"/>
      <c r="R2601" s="33"/>
      <c r="S2601" s="34" t="str">
        <f>HYPERLINK("http://www.cnpol.ru/covers/18106.jpg","фото на сайте")</f>
        <v>фото на сайте</v>
      </c>
    </row>
    <row r="2602" spans="1:19" ht="50.1" customHeight="1">
      <c r="A2602" s="31"/>
      <c r="B2602" s="32" t="s">
        <v>10035</v>
      </c>
      <c r="C2602" s="31" t="s">
        <v>546</v>
      </c>
      <c r="D2602" s="31" t="s">
        <v>10036</v>
      </c>
      <c r="E2602" s="31" t="s">
        <v>10037</v>
      </c>
      <c r="F2602" s="31">
        <v>128</v>
      </c>
      <c r="G2602" s="31">
        <v>93</v>
      </c>
      <c r="H2602" s="31">
        <v>10</v>
      </c>
      <c r="I2602" s="31">
        <v>30</v>
      </c>
      <c r="J2602" s="31" t="s">
        <v>10038</v>
      </c>
      <c r="K2602" s="31" t="s">
        <v>123</v>
      </c>
      <c r="L2602" s="31" t="s">
        <v>56</v>
      </c>
      <c r="M2602" s="31">
        <v>158</v>
      </c>
      <c r="N2602" s="31">
        <v>2015</v>
      </c>
      <c r="O2602" s="31">
        <v>76</v>
      </c>
      <c r="P2602" s="31"/>
      <c r="Q2602" s="31"/>
      <c r="R2602" s="33"/>
      <c r="S2602" s="34" t="str">
        <f>HYPERLINK("http://www.cnpol.ru/covers/16132.jpg","фото на сайте")</f>
        <v>фото на сайте</v>
      </c>
    </row>
    <row r="2603" spans="1:19" ht="50.1" customHeight="1">
      <c r="A2603" s="31" t="s">
        <v>43</v>
      </c>
      <c r="B2603" s="32" t="s">
        <v>10039</v>
      </c>
      <c r="C2603" s="31" t="s">
        <v>390</v>
      </c>
      <c r="D2603" s="31" t="s">
        <v>4615</v>
      </c>
      <c r="E2603" s="31" t="s">
        <v>10040</v>
      </c>
      <c r="F2603" s="31">
        <v>1165</v>
      </c>
      <c r="G2603" s="31">
        <v>86</v>
      </c>
      <c r="H2603" s="31">
        <v>10</v>
      </c>
      <c r="I2603" s="31">
        <v>30</v>
      </c>
      <c r="J2603" s="31" t="s">
        <v>10041</v>
      </c>
      <c r="K2603" s="31" t="s">
        <v>123</v>
      </c>
      <c r="L2603" s="31" t="s">
        <v>56</v>
      </c>
      <c r="M2603" s="31">
        <v>159</v>
      </c>
      <c r="N2603" s="31">
        <v>2024</v>
      </c>
      <c r="O2603" s="31">
        <v>76</v>
      </c>
      <c r="P2603" s="31"/>
      <c r="Q2603" s="31"/>
      <c r="R2603" s="33" t="s">
        <v>10042</v>
      </c>
      <c r="S2603" s="34" t="str">
        <f>HYPERLINK("http://www.cnpol.ru/covers/20988.jpg","фото на сайте")</f>
        <v>фото на сайте</v>
      </c>
    </row>
    <row r="2604" spans="1:19" ht="50.1" customHeight="1">
      <c r="A2604" s="31"/>
      <c r="B2604" s="32" t="s">
        <v>10043</v>
      </c>
      <c r="C2604" s="31" t="s">
        <v>6922</v>
      </c>
      <c r="D2604" s="31" t="s">
        <v>10044</v>
      </c>
      <c r="E2604" s="31" t="s">
        <v>10045</v>
      </c>
      <c r="F2604" s="31" t="s">
        <v>31</v>
      </c>
      <c r="G2604" s="31">
        <v>389</v>
      </c>
      <c r="H2604" s="31">
        <v>10</v>
      </c>
      <c r="I2604" s="31">
        <v>32</v>
      </c>
      <c r="J2604" s="31" t="s">
        <v>10046</v>
      </c>
      <c r="K2604" s="31" t="s">
        <v>55</v>
      </c>
      <c r="L2604" s="31" t="s">
        <v>34</v>
      </c>
      <c r="M2604" s="31">
        <v>288</v>
      </c>
      <c r="N2604" s="31">
        <v>2020</v>
      </c>
      <c r="O2604" s="31">
        <v>220</v>
      </c>
      <c r="P2604" s="31"/>
      <c r="Q2604" s="31"/>
      <c r="R2604" s="33"/>
      <c r="S2604" s="34" t="str">
        <f>HYPERLINK("http://www.cnpol.ru/covers/19380.jpg","фото на сайте")</f>
        <v>фото на сайте</v>
      </c>
    </row>
    <row r="2605" spans="1:19" ht="50.1" customHeight="1">
      <c r="A2605" s="31"/>
      <c r="B2605" s="32" t="s">
        <v>10047</v>
      </c>
      <c r="C2605" s="31" t="s">
        <v>390</v>
      </c>
      <c r="D2605" s="31" t="s">
        <v>3610</v>
      </c>
      <c r="E2605" s="31" t="s">
        <v>10048</v>
      </c>
      <c r="F2605" s="31">
        <v>843</v>
      </c>
      <c r="G2605" s="31">
        <v>86</v>
      </c>
      <c r="H2605" s="31">
        <v>10</v>
      </c>
      <c r="I2605" s="31">
        <v>30</v>
      </c>
      <c r="J2605" s="31" t="s">
        <v>10049</v>
      </c>
      <c r="K2605" s="31" t="s">
        <v>123</v>
      </c>
      <c r="L2605" s="31" t="s">
        <v>56</v>
      </c>
      <c r="M2605" s="31">
        <v>160</v>
      </c>
      <c r="N2605" s="31">
        <v>2018</v>
      </c>
      <c r="O2605" s="31">
        <v>76</v>
      </c>
      <c r="P2605" s="31"/>
      <c r="Q2605" s="31"/>
      <c r="R2605" s="33"/>
      <c r="S2605" s="34" t="str">
        <f>HYPERLINK("http://www.cnpol.ru/covers/18342.jpg","фото на сайте")</f>
        <v>фото на сайте</v>
      </c>
    </row>
    <row r="2606" spans="1:19" ht="50.1" customHeight="1">
      <c r="A2606" s="31"/>
      <c r="B2606" s="32" t="s">
        <v>10050</v>
      </c>
      <c r="C2606" s="31" t="s">
        <v>390</v>
      </c>
      <c r="D2606" s="31" t="s">
        <v>2294</v>
      </c>
      <c r="E2606" s="31" t="s">
        <v>10051</v>
      </c>
      <c r="F2606" s="31">
        <v>460</v>
      </c>
      <c r="G2606" s="31">
        <v>86</v>
      </c>
      <c r="H2606" s="31">
        <v>10</v>
      </c>
      <c r="I2606" s="31">
        <v>30</v>
      </c>
      <c r="J2606" s="31" t="s">
        <v>10052</v>
      </c>
      <c r="K2606" s="31" t="s">
        <v>123</v>
      </c>
      <c r="L2606" s="31" t="s">
        <v>56</v>
      </c>
      <c r="M2606" s="31">
        <v>158</v>
      </c>
      <c r="N2606" s="31">
        <v>2014</v>
      </c>
      <c r="O2606" s="31">
        <v>74</v>
      </c>
      <c r="P2606" s="31"/>
      <c r="Q2606" s="31"/>
      <c r="R2606" s="33"/>
      <c r="S2606" s="34" t="str">
        <f>HYPERLINK("http://www.cnpol.ru/covers/15546.jpg","фото на сайте")</f>
        <v>фото на сайте</v>
      </c>
    </row>
    <row r="2607" spans="1:19" ht="50.1" customHeight="1">
      <c r="A2607" s="31"/>
      <c r="B2607" s="32" t="s">
        <v>10053</v>
      </c>
      <c r="C2607" s="31" t="s">
        <v>390</v>
      </c>
      <c r="D2607" s="31" t="s">
        <v>1187</v>
      </c>
      <c r="E2607" s="31" t="s">
        <v>10054</v>
      </c>
      <c r="F2607" s="31">
        <v>320</v>
      </c>
      <c r="G2607" s="31">
        <v>86</v>
      </c>
      <c r="H2607" s="31">
        <v>10</v>
      </c>
      <c r="I2607" s="31">
        <v>30</v>
      </c>
      <c r="J2607" s="31" t="s">
        <v>10055</v>
      </c>
      <c r="K2607" s="31" t="s">
        <v>123</v>
      </c>
      <c r="L2607" s="31" t="s">
        <v>56</v>
      </c>
      <c r="M2607" s="31">
        <v>158</v>
      </c>
      <c r="N2607" s="31">
        <v>2013</v>
      </c>
      <c r="O2607" s="31">
        <v>78</v>
      </c>
      <c r="P2607" s="31"/>
      <c r="Q2607" s="31"/>
      <c r="R2607" s="33"/>
      <c r="S2607" s="34" t="str">
        <f>HYPERLINK("http://www.cnpol.ru/covers/14312.jpg","фото на сайте")</f>
        <v>фото на сайте</v>
      </c>
    </row>
    <row r="2608" spans="1:19" ht="50.1" customHeight="1">
      <c r="A2608" s="31"/>
      <c r="B2608" s="32" t="s">
        <v>10056</v>
      </c>
      <c r="C2608" s="31" t="s">
        <v>10057</v>
      </c>
      <c r="D2608" s="31" t="s">
        <v>10058</v>
      </c>
      <c r="E2608" s="31" t="s">
        <v>10059</v>
      </c>
      <c r="F2608" s="31" t="s">
        <v>31</v>
      </c>
      <c r="G2608" s="31">
        <v>370</v>
      </c>
      <c r="H2608" s="31">
        <v>10</v>
      </c>
      <c r="I2608" s="31">
        <v>10</v>
      </c>
      <c r="J2608" s="31" t="s">
        <v>10060</v>
      </c>
      <c r="K2608" s="31" t="s">
        <v>33</v>
      </c>
      <c r="L2608" s="31" t="s">
        <v>34</v>
      </c>
      <c r="M2608" s="31">
        <v>543</v>
      </c>
      <c r="N2608" s="31">
        <v>2003</v>
      </c>
      <c r="O2608" s="31">
        <v>532</v>
      </c>
      <c r="P2608" s="31"/>
      <c r="Q2608" s="31"/>
      <c r="R2608" s="33"/>
      <c r="S2608" s="34" t="str">
        <f>HYPERLINK("http://www.cnpol.ru/covers/4460.jpg","фото на сайте")</f>
        <v>фото на сайте</v>
      </c>
    </row>
    <row r="2609" spans="1:19" ht="50.1" customHeight="1">
      <c r="A2609" s="31"/>
      <c r="B2609" s="32" t="s">
        <v>10061</v>
      </c>
      <c r="C2609" s="31" t="s">
        <v>385</v>
      </c>
      <c r="D2609" s="31" t="s">
        <v>386</v>
      </c>
      <c r="E2609" s="31" t="s">
        <v>10062</v>
      </c>
      <c r="F2609" s="31" t="s">
        <v>31</v>
      </c>
      <c r="G2609" s="31">
        <v>162</v>
      </c>
      <c r="H2609" s="31">
        <v>10</v>
      </c>
      <c r="I2609" s="31">
        <v>32</v>
      </c>
      <c r="J2609" s="31" t="s">
        <v>10063</v>
      </c>
      <c r="K2609" s="31" t="s">
        <v>55</v>
      </c>
      <c r="L2609" s="31" t="s">
        <v>56</v>
      </c>
      <c r="M2609" s="31">
        <v>256</v>
      </c>
      <c r="N2609" s="31">
        <v>2016</v>
      </c>
      <c r="O2609" s="31">
        <v>106</v>
      </c>
      <c r="P2609" s="31"/>
      <c r="Q2609" s="31"/>
      <c r="R2609" s="33"/>
      <c r="S2609" s="34" t="str">
        <f>HYPERLINK("http://www.cnpol.ru/covers/16614.jpg","фото на сайте")</f>
        <v>фото на сайте</v>
      </c>
    </row>
    <row r="2610" spans="1:19" ht="50.1" customHeight="1">
      <c r="A2610" s="31"/>
      <c r="B2610" s="32" t="s">
        <v>10064</v>
      </c>
      <c r="C2610" s="31" t="s">
        <v>385</v>
      </c>
      <c r="D2610" s="31" t="s">
        <v>386</v>
      </c>
      <c r="E2610" s="31" t="s">
        <v>10062</v>
      </c>
      <c r="F2610" s="31" t="s">
        <v>31</v>
      </c>
      <c r="G2610" s="31">
        <v>162</v>
      </c>
      <c r="H2610" s="31">
        <v>10</v>
      </c>
      <c r="I2610" s="31">
        <v>32</v>
      </c>
      <c r="J2610" s="31" t="s">
        <v>10065</v>
      </c>
      <c r="K2610" s="31" t="s">
        <v>55</v>
      </c>
      <c r="L2610" s="31" t="s">
        <v>56</v>
      </c>
      <c r="M2610" s="31">
        <v>256</v>
      </c>
      <c r="N2610" s="31">
        <v>2016</v>
      </c>
      <c r="O2610" s="31">
        <v>106</v>
      </c>
      <c r="P2610" s="31"/>
      <c r="Q2610" s="31"/>
      <c r="R2610" s="33"/>
      <c r="S2610" s="34" t="str">
        <f>HYPERLINK("http://www.cnpol.ru/covers/0163.jpg","фото на сайте")</f>
        <v>фото на сайте</v>
      </c>
    </row>
    <row r="2611" spans="1:19" ht="50.1" customHeight="1">
      <c r="A2611" s="31"/>
      <c r="B2611" s="32" t="s">
        <v>10066</v>
      </c>
      <c r="C2611" s="31" t="s">
        <v>390</v>
      </c>
      <c r="D2611" s="31" t="s">
        <v>2511</v>
      </c>
      <c r="E2611" s="31" t="s">
        <v>10067</v>
      </c>
      <c r="F2611" s="31">
        <v>966</v>
      </c>
      <c r="G2611" s="31">
        <v>86</v>
      </c>
      <c r="H2611" s="31">
        <v>10</v>
      </c>
      <c r="I2611" s="31">
        <v>30</v>
      </c>
      <c r="J2611" s="31" t="s">
        <v>10068</v>
      </c>
      <c r="K2611" s="31" t="s">
        <v>123</v>
      </c>
      <c r="L2611" s="31" t="s">
        <v>56</v>
      </c>
      <c r="M2611" s="31">
        <v>160</v>
      </c>
      <c r="N2611" s="31">
        <v>2020</v>
      </c>
      <c r="O2611" s="31">
        <v>76</v>
      </c>
      <c r="P2611" s="31"/>
      <c r="Q2611" s="31"/>
      <c r="R2611" s="33"/>
      <c r="S2611" s="34" t="str">
        <f>HYPERLINK("http://www.cnpol.ru/covers/19101.jpg","фото на сайте")</f>
        <v>фото на сайте</v>
      </c>
    </row>
    <row r="2612" spans="1:19" ht="50.1" customHeight="1">
      <c r="A2612" s="31"/>
      <c r="B2612" s="32" t="s">
        <v>10069</v>
      </c>
      <c r="C2612" s="31" t="s">
        <v>390</v>
      </c>
      <c r="D2612" s="31" t="s">
        <v>4048</v>
      </c>
      <c r="E2612" s="31" t="s">
        <v>10070</v>
      </c>
      <c r="F2612" s="31">
        <v>433</v>
      </c>
      <c r="G2612" s="31">
        <v>86</v>
      </c>
      <c r="H2612" s="31">
        <v>10</v>
      </c>
      <c r="I2612" s="31">
        <v>30</v>
      </c>
      <c r="J2612" s="31" t="s">
        <v>10071</v>
      </c>
      <c r="K2612" s="31" t="s">
        <v>123</v>
      </c>
      <c r="L2612" s="31" t="s">
        <v>56</v>
      </c>
      <c r="M2612" s="31">
        <v>158</v>
      </c>
      <c r="N2612" s="31">
        <v>2014</v>
      </c>
      <c r="O2612" s="31">
        <v>76</v>
      </c>
      <c r="P2612" s="31"/>
      <c r="Q2612" s="31"/>
      <c r="R2612" s="33"/>
      <c r="S2612" s="34" t="str">
        <f>HYPERLINK("http://www.cnpol.ru/covers/15365.jpg","фото на сайте")</f>
        <v>фото на сайте</v>
      </c>
    </row>
    <row r="2613" spans="1:19" ht="50.1" customHeight="1">
      <c r="A2613" s="31"/>
      <c r="B2613" s="32" t="s">
        <v>10072</v>
      </c>
      <c r="C2613" s="31" t="s">
        <v>546</v>
      </c>
      <c r="D2613" s="31" t="s">
        <v>653</v>
      </c>
      <c r="E2613" s="31" t="s">
        <v>10073</v>
      </c>
      <c r="F2613" s="31">
        <v>288</v>
      </c>
      <c r="G2613" s="31">
        <v>93</v>
      </c>
      <c r="H2613" s="31">
        <v>10</v>
      </c>
      <c r="I2613" s="31">
        <v>30</v>
      </c>
      <c r="J2613" s="31" t="s">
        <v>10074</v>
      </c>
      <c r="K2613" s="31" t="s">
        <v>123</v>
      </c>
      <c r="L2613" s="31" t="s">
        <v>56</v>
      </c>
      <c r="M2613" s="31">
        <v>160</v>
      </c>
      <c r="N2613" s="31">
        <v>2018</v>
      </c>
      <c r="O2613" s="31">
        <v>76</v>
      </c>
      <c r="P2613" s="31"/>
      <c r="Q2613" s="31"/>
      <c r="R2613" s="33"/>
      <c r="S2613" s="34" t="str">
        <f>HYPERLINK("http://www.cnpol.ru/covers/18415.jpg","фото на сайте")</f>
        <v>фото на сайте</v>
      </c>
    </row>
    <row r="2614" spans="1:19" ht="50.1" customHeight="1">
      <c r="A2614" s="31"/>
      <c r="B2614" s="32" t="s">
        <v>10075</v>
      </c>
      <c r="C2614" s="31" t="s">
        <v>390</v>
      </c>
      <c r="D2614" s="31" t="s">
        <v>1850</v>
      </c>
      <c r="E2614" s="31" t="s">
        <v>10076</v>
      </c>
      <c r="F2614" s="31">
        <v>657</v>
      </c>
      <c r="G2614" s="31">
        <v>86</v>
      </c>
      <c r="H2614" s="31">
        <v>10</v>
      </c>
      <c r="I2614" s="31">
        <v>30</v>
      </c>
      <c r="J2614" s="31" t="s">
        <v>10077</v>
      </c>
      <c r="K2614" s="31" t="s">
        <v>123</v>
      </c>
      <c r="L2614" s="31" t="s">
        <v>56</v>
      </c>
      <c r="M2614" s="31">
        <v>160</v>
      </c>
      <c r="N2614" s="31">
        <v>2016</v>
      </c>
      <c r="O2614" s="31">
        <v>76</v>
      </c>
      <c r="P2614" s="31"/>
      <c r="Q2614" s="31"/>
      <c r="R2614" s="33"/>
      <c r="S2614" s="34" t="str">
        <f>HYPERLINK("http://www.cnpol.ru/covers/17040.jpg","фото на сайте")</f>
        <v>фото на сайте</v>
      </c>
    </row>
    <row r="2615" spans="1:19" ht="50.1" customHeight="1">
      <c r="A2615" s="31"/>
      <c r="B2615" s="32" t="s">
        <v>10078</v>
      </c>
      <c r="C2615" s="31" t="s">
        <v>385</v>
      </c>
      <c r="D2615" s="31" t="s">
        <v>386</v>
      </c>
      <c r="E2615" s="31" t="s">
        <v>10079</v>
      </c>
      <c r="F2615" s="31" t="s">
        <v>31</v>
      </c>
      <c r="G2615" s="31">
        <v>162</v>
      </c>
      <c r="H2615" s="31">
        <v>10</v>
      </c>
      <c r="I2615" s="31">
        <v>32</v>
      </c>
      <c r="J2615" s="31" t="s">
        <v>10080</v>
      </c>
      <c r="K2615" s="31" t="s">
        <v>55</v>
      </c>
      <c r="L2615" s="31" t="s">
        <v>56</v>
      </c>
      <c r="M2615" s="31">
        <v>288</v>
      </c>
      <c r="N2615" s="31">
        <v>2016</v>
      </c>
      <c r="O2615" s="31">
        <v>116</v>
      </c>
      <c r="P2615" s="31"/>
      <c r="Q2615" s="31"/>
      <c r="R2615" s="33"/>
      <c r="S2615" s="34" t="str">
        <f>HYPERLINK("http://www.cnpol.ru/covers/0177.jpg","фото на сайте")</f>
        <v>фото на сайте</v>
      </c>
    </row>
    <row r="2616" spans="1:19" ht="50.1" customHeight="1">
      <c r="A2616" s="31"/>
      <c r="B2616" s="32" t="s">
        <v>10081</v>
      </c>
      <c r="C2616" s="31" t="s">
        <v>3877</v>
      </c>
      <c r="D2616" s="31" t="s">
        <v>3878</v>
      </c>
      <c r="E2616" s="31" t="s">
        <v>10082</v>
      </c>
      <c r="F2616" s="31" t="s">
        <v>31</v>
      </c>
      <c r="G2616" s="31">
        <v>486</v>
      </c>
      <c r="H2616" s="31">
        <v>10</v>
      </c>
      <c r="I2616" s="31">
        <v>12</v>
      </c>
      <c r="J2616" s="31" t="s">
        <v>10083</v>
      </c>
      <c r="K2616" s="31" t="s">
        <v>41</v>
      </c>
      <c r="L2616" s="31" t="s">
        <v>34</v>
      </c>
      <c r="M2616" s="31">
        <v>398</v>
      </c>
      <c r="N2616" s="31">
        <v>2008</v>
      </c>
      <c r="O2616" s="31">
        <v>424</v>
      </c>
      <c r="P2616" s="31"/>
      <c r="Q2616" s="31"/>
      <c r="R2616" s="33"/>
      <c r="S2616" s="34" t="str">
        <f>HYPERLINK("http://www.cnpol.ru/covers/8721.jpg","фото на сайте")</f>
        <v>фото на сайте</v>
      </c>
    </row>
    <row r="2617" spans="1:19" ht="50.1" customHeight="1">
      <c r="A2617" s="31"/>
      <c r="B2617" s="32" t="s">
        <v>10084</v>
      </c>
      <c r="C2617" s="31" t="s">
        <v>5756</v>
      </c>
      <c r="D2617" s="31" t="s">
        <v>5757</v>
      </c>
      <c r="E2617" s="31" t="s">
        <v>10085</v>
      </c>
      <c r="F2617" s="31" t="s">
        <v>31</v>
      </c>
      <c r="G2617" s="31">
        <v>275</v>
      </c>
      <c r="H2617" s="31">
        <v>10</v>
      </c>
      <c r="I2617" s="31">
        <v>12</v>
      </c>
      <c r="J2617" s="31" t="s">
        <v>10086</v>
      </c>
      <c r="K2617" s="31" t="s">
        <v>123</v>
      </c>
      <c r="L2617" s="31" t="s">
        <v>56</v>
      </c>
      <c r="M2617" s="31">
        <v>511</v>
      </c>
      <c r="N2617" s="31">
        <v>2020</v>
      </c>
      <c r="O2617" s="31">
        <v>234</v>
      </c>
      <c r="P2617" s="31"/>
      <c r="Q2617" s="31"/>
      <c r="R2617" s="33"/>
      <c r="S2617" s="34" t="str">
        <f>HYPERLINK("http://www.cnpol.ru/covers/19196.jpg","фото на сайте")</f>
        <v>фото на сайте</v>
      </c>
    </row>
    <row r="2618" spans="1:19" ht="50.1" customHeight="1">
      <c r="A2618" s="31"/>
      <c r="B2618" s="32" t="s">
        <v>10087</v>
      </c>
      <c r="C2618" s="31" t="s">
        <v>28</v>
      </c>
      <c r="D2618" s="31" t="s">
        <v>10088</v>
      </c>
      <c r="E2618" s="31" t="s">
        <v>10089</v>
      </c>
      <c r="F2618" s="31" t="s">
        <v>31</v>
      </c>
      <c r="G2618" s="31">
        <v>486</v>
      </c>
      <c r="H2618" s="31">
        <v>10</v>
      </c>
      <c r="I2618" s="31">
        <v>12</v>
      </c>
      <c r="J2618" s="31" t="s">
        <v>10090</v>
      </c>
      <c r="K2618" s="31" t="s">
        <v>33</v>
      </c>
      <c r="L2618" s="31" t="s">
        <v>34</v>
      </c>
      <c r="M2618" s="31">
        <v>352</v>
      </c>
      <c r="N2618" s="31">
        <v>2017</v>
      </c>
      <c r="O2618" s="31">
        <v>290</v>
      </c>
      <c r="P2618" s="31"/>
      <c r="Q2618" s="31"/>
      <c r="R2618" s="33"/>
      <c r="S2618" s="34" t="str">
        <f>HYPERLINK("http://www.cnpol.ru/covers/17775.jpg","фото на сайте")</f>
        <v>фото на сайте</v>
      </c>
    </row>
    <row r="2619" spans="1:19" ht="50.1" customHeight="1">
      <c r="A2619" s="31"/>
      <c r="B2619" s="32" t="s">
        <v>10091</v>
      </c>
      <c r="C2619" s="31" t="s">
        <v>418</v>
      </c>
      <c r="D2619" s="31" t="s">
        <v>2501</v>
      </c>
      <c r="E2619" s="31" t="s">
        <v>10092</v>
      </c>
      <c r="F2619" s="31">
        <v>57</v>
      </c>
      <c r="G2619" s="31">
        <v>153</v>
      </c>
      <c r="H2619" s="31">
        <v>10</v>
      </c>
      <c r="I2619" s="31">
        <v>24</v>
      </c>
      <c r="J2619" s="31" t="s">
        <v>10093</v>
      </c>
      <c r="K2619" s="31" t="s">
        <v>123</v>
      </c>
      <c r="L2619" s="31" t="s">
        <v>56</v>
      </c>
      <c r="M2619" s="31">
        <v>286</v>
      </c>
      <c r="N2619" s="31">
        <v>2014</v>
      </c>
      <c r="O2619" s="31">
        <v>138</v>
      </c>
      <c r="P2619" s="31"/>
      <c r="Q2619" s="31"/>
      <c r="R2619" s="33"/>
      <c r="S2619" s="34" t="str">
        <f>HYPERLINK("http://www.cnpol.ru/covers/15624.jpg","фото на сайте")</f>
        <v>фото на сайте</v>
      </c>
    </row>
    <row r="2620" spans="1:19" ht="50.1" customHeight="1">
      <c r="A2620" s="31"/>
      <c r="B2620" s="32" t="s">
        <v>10094</v>
      </c>
      <c r="C2620" s="31" t="s">
        <v>390</v>
      </c>
      <c r="D2620" s="31" t="s">
        <v>4536</v>
      </c>
      <c r="E2620" s="31" t="s">
        <v>10095</v>
      </c>
      <c r="F2620" s="31">
        <v>963</v>
      </c>
      <c r="G2620" s="31">
        <v>86</v>
      </c>
      <c r="H2620" s="31">
        <v>10</v>
      </c>
      <c r="I2620" s="31">
        <v>30</v>
      </c>
      <c r="J2620" s="31" t="s">
        <v>10096</v>
      </c>
      <c r="K2620" s="31" t="s">
        <v>123</v>
      </c>
      <c r="L2620" s="31" t="s">
        <v>56</v>
      </c>
      <c r="M2620" s="31">
        <v>160</v>
      </c>
      <c r="N2620" s="31">
        <v>2020</v>
      </c>
      <c r="O2620" s="31">
        <v>76</v>
      </c>
      <c r="P2620" s="31"/>
      <c r="Q2620" s="31"/>
      <c r="R2620" s="33"/>
      <c r="S2620" s="34" t="str">
        <f>HYPERLINK("http://www.cnpol.ru/covers/19058.jpg","фото на сайте")</f>
        <v>фото на сайте</v>
      </c>
    </row>
    <row r="2621" spans="1:19" ht="50.1" customHeight="1">
      <c r="A2621" s="31"/>
      <c r="B2621" s="32" t="s">
        <v>10097</v>
      </c>
      <c r="C2621" s="31" t="s">
        <v>390</v>
      </c>
      <c r="D2621" s="31" t="s">
        <v>961</v>
      </c>
      <c r="E2621" s="31" t="s">
        <v>10098</v>
      </c>
      <c r="F2621" s="31">
        <v>880</v>
      </c>
      <c r="G2621" s="31">
        <v>86</v>
      </c>
      <c r="H2621" s="31">
        <v>10</v>
      </c>
      <c r="I2621" s="31">
        <v>30</v>
      </c>
      <c r="J2621" s="31" t="s">
        <v>10099</v>
      </c>
      <c r="K2621" s="31" t="s">
        <v>123</v>
      </c>
      <c r="L2621" s="31" t="s">
        <v>56</v>
      </c>
      <c r="M2621" s="31">
        <v>160</v>
      </c>
      <c r="N2621" s="31">
        <v>2019</v>
      </c>
      <c r="O2621" s="31">
        <v>76</v>
      </c>
      <c r="P2621" s="31"/>
      <c r="Q2621" s="31"/>
      <c r="R2621" s="33"/>
      <c r="S2621" s="34" t="str">
        <f>HYPERLINK("http://www.cnpol.ru/covers/18577.jpg","фото на сайте")</f>
        <v>фото на сайте</v>
      </c>
    </row>
    <row r="2622" spans="1:19" ht="50.1" customHeight="1">
      <c r="A2622" s="31"/>
      <c r="B2622" s="32" t="s">
        <v>10100</v>
      </c>
      <c r="C2622" s="31" t="s">
        <v>546</v>
      </c>
      <c r="D2622" s="31" t="s">
        <v>765</v>
      </c>
      <c r="E2622" s="31" t="s">
        <v>10101</v>
      </c>
      <c r="F2622" s="31">
        <v>140</v>
      </c>
      <c r="G2622" s="31">
        <v>93</v>
      </c>
      <c r="H2622" s="31">
        <v>10</v>
      </c>
      <c r="I2622" s="31">
        <v>30</v>
      </c>
      <c r="J2622" s="31" t="s">
        <v>10102</v>
      </c>
      <c r="K2622" s="31" t="s">
        <v>123</v>
      </c>
      <c r="L2622" s="31" t="s">
        <v>56</v>
      </c>
      <c r="M2622" s="31">
        <v>158</v>
      </c>
      <c r="N2622" s="31">
        <v>2015</v>
      </c>
      <c r="O2622" s="31">
        <v>76</v>
      </c>
      <c r="P2622" s="31"/>
      <c r="Q2622" s="31"/>
      <c r="R2622" s="33"/>
      <c r="S2622" s="34" t="str">
        <f>HYPERLINK("http://www.cnpol.ru/covers/16293.jpg","фото на сайте")</f>
        <v>фото на сайте</v>
      </c>
    </row>
    <row r="2623" spans="1:19" ht="50.1" customHeight="1">
      <c r="A2623" s="31"/>
      <c r="B2623" s="32" t="s">
        <v>10103</v>
      </c>
      <c r="C2623" s="31" t="s">
        <v>418</v>
      </c>
      <c r="D2623" s="31" t="s">
        <v>3904</v>
      </c>
      <c r="E2623" s="31" t="s">
        <v>10104</v>
      </c>
      <c r="F2623" s="31">
        <v>37</v>
      </c>
      <c r="G2623" s="31">
        <v>153</v>
      </c>
      <c r="H2623" s="31">
        <v>10</v>
      </c>
      <c r="I2623" s="31">
        <v>30</v>
      </c>
      <c r="J2623" s="31" t="s">
        <v>10105</v>
      </c>
      <c r="K2623" s="31" t="s">
        <v>300</v>
      </c>
      <c r="L2623" s="31" t="s">
        <v>56</v>
      </c>
      <c r="M2623" s="31">
        <v>254</v>
      </c>
      <c r="N2623" s="31">
        <v>2014</v>
      </c>
      <c r="O2623" s="31">
        <v>120</v>
      </c>
      <c r="P2623" s="31"/>
      <c r="Q2623" s="31"/>
      <c r="R2623" s="33"/>
      <c r="S2623" s="34" t="str">
        <f>HYPERLINK("http://www.cnpol.ru/covers/14768.jpg","фото на сайте")</f>
        <v>фото на сайте</v>
      </c>
    </row>
    <row r="2624" spans="1:19" ht="50.1" customHeight="1">
      <c r="A2624" s="31"/>
      <c r="B2624" s="32" t="s">
        <v>10106</v>
      </c>
      <c r="C2624" s="31" t="s">
        <v>3422</v>
      </c>
      <c r="D2624" s="31" t="s">
        <v>4849</v>
      </c>
      <c r="E2624" s="31" t="s">
        <v>10107</v>
      </c>
      <c r="F2624" s="31" t="s">
        <v>31</v>
      </c>
      <c r="G2624" s="31">
        <v>154</v>
      </c>
      <c r="H2624" s="31">
        <v>10</v>
      </c>
      <c r="I2624" s="31">
        <v>20</v>
      </c>
      <c r="J2624" s="31" t="s">
        <v>10108</v>
      </c>
      <c r="K2624" s="31" t="s">
        <v>55</v>
      </c>
      <c r="L2624" s="31" t="s">
        <v>56</v>
      </c>
      <c r="M2624" s="31">
        <v>348</v>
      </c>
      <c r="N2624" s="31">
        <v>2008</v>
      </c>
      <c r="O2624" s="31">
        <v>144</v>
      </c>
      <c r="P2624" s="31"/>
      <c r="Q2624" s="31"/>
      <c r="R2624" s="33"/>
      <c r="S2624" s="34" t="str">
        <f>HYPERLINK("http://www.cnpol.ru/covers/10811.jpg","фото на сайте")</f>
        <v>фото на сайте</v>
      </c>
    </row>
    <row r="2625" spans="1:19" ht="50.1" customHeight="1">
      <c r="A2625" s="31"/>
      <c r="B2625" s="32" t="s">
        <v>10109</v>
      </c>
      <c r="C2625" s="31" t="s">
        <v>418</v>
      </c>
      <c r="D2625" s="31" t="s">
        <v>1465</v>
      </c>
      <c r="E2625" s="31" t="s">
        <v>10110</v>
      </c>
      <c r="F2625" s="31">
        <v>121</v>
      </c>
      <c r="G2625" s="31">
        <v>153</v>
      </c>
      <c r="H2625" s="31">
        <v>10</v>
      </c>
      <c r="I2625" s="31">
        <v>18</v>
      </c>
      <c r="J2625" s="31" t="s">
        <v>10111</v>
      </c>
      <c r="K2625" s="31" t="s">
        <v>123</v>
      </c>
      <c r="L2625" s="31" t="s">
        <v>56</v>
      </c>
      <c r="M2625" s="31">
        <v>255</v>
      </c>
      <c r="N2625" s="31">
        <v>2022</v>
      </c>
      <c r="O2625" s="31">
        <v>120</v>
      </c>
      <c r="P2625" s="31"/>
      <c r="Q2625" s="31"/>
      <c r="R2625" s="33"/>
      <c r="S2625" s="34" t="str">
        <f>HYPERLINK("http://www.cnpol.ru/covers/20368.jpg","фото на сайте")</f>
        <v>фото на сайте</v>
      </c>
    </row>
    <row r="2626" spans="1:19" ht="50.1" customHeight="1">
      <c r="A2626" s="31"/>
      <c r="B2626" s="32" t="s">
        <v>10112</v>
      </c>
      <c r="C2626" s="31" t="s">
        <v>390</v>
      </c>
      <c r="D2626" s="31" t="s">
        <v>4657</v>
      </c>
      <c r="E2626" s="31" t="s">
        <v>10113</v>
      </c>
      <c r="F2626" s="31">
        <v>566</v>
      </c>
      <c r="G2626" s="31">
        <v>86</v>
      </c>
      <c r="H2626" s="31">
        <v>10</v>
      </c>
      <c r="I2626" s="31">
        <v>30</v>
      </c>
      <c r="J2626" s="31" t="s">
        <v>10114</v>
      </c>
      <c r="K2626" s="31" t="s">
        <v>123</v>
      </c>
      <c r="L2626" s="31" t="s">
        <v>56</v>
      </c>
      <c r="M2626" s="31">
        <v>158</v>
      </c>
      <c r="N2626" s="31">
        <v>2015</v>
      </c>
      <c r="O2626" s="31">
        <v>76</v>
      </c>
      <c r="P2626" s="31"/>
      <c r="Q2626" s="31"/>
      <c r="R2626" s="33"/>
      <c r="S2626" s="34" t="str">
        <f>HYPERLINK("http://www.cnpol.ru/covers/16356.jpg","фото на сайте")</f>
        <v>фото на сайте</v>
      </c>
    </row>
    <row r="2627" spans="1:19" ht="50.1" customHeight="1">
      <c r="A2627" s="31"/>
      <c r="B2627" s="32" t="s">
        <v>10115</v>
      </c>
      <c r="C2627" s="31" t="s">
        <v>413</v>
      </c>
      <c r="D2627" s="31" t="s">
        <v>2359</v>
      </c>
      <c r="E2627" s="31" t="s">
        <v>10116</v>
      </c>
      <c r="F2627" s="31">
        <v>163</v>
      </c>
      <c r="G2627" s="31">
        <v>117</v>
      </c>
      <c r="H2627" s="31">
        <v>10</v>
      </c>
      <c r="I2627" s="31">
        <v>30</v>
      </c>
      <c r="J2627" s="31" t="s">
        <v>10117</v>
      </c>
      <c r="K2627" s="31" t="s">
        <v>123</v>
      </c>
      <c r="L2627" s="31" t="s">
        <v>56</v>
      </c>
      <c r="M2627" s="31">
        <v>192</v>
      </c>
      <c r="N2627" s="31">
        <v>2019</v>
      </c>
      <c r="O2627" s="31">
        <v>90</v>
      </c>
      <c r="P2627" s="31"/>
      <c r="Q2627" s="31"/>
      <c r="R2627" s="33"/>
      <c r="S2627" s="34" t="str">
        <f>HYPERLINK("http://www.cnpol.ru/covers/18586.jpg","фото на сайте")</f>
        <v>фото на сайте</v>
      </c>
    </row>
    <row r="2628" spans="1:19" ht="50.1" customHeight="1">
      <c r="A2628" s="31"/>
      <c r="B2628" s="32" t="s">
        <v>10118</v>
      </c>
      <c r="C2628" s="31" t="s">
        <v>413</v>
      </c>
      <c r="D2628" s="31" t="s">
        <v>1115</v>
      </c>
      <c r="E2628" s="31" t="s">
        <v>10119</v>
      </c>
      <c r="F2628" s="31">
        <v>147</v>
      </c>
      <c r="G2628" s="31">
        <v>117</v>
      </c>
      <c r="H2628" s="31">
        <v>10</v>
      </c>
      <c r="I2628" s="31">
        <v>36</v>
      </c>
      <c r="J2628" s="31" t="s">
        <v>10120</v>
      </c>
      <c r="K2628" s="31" t="s">
        <v>123</v>
      </c>
      <c r="L2628" s="31" t="s">
        <v>56</v>
      </c>
      <c r="M2628" s="31">
        <v>192</v>
      </c>
      <c r="N2628" s="31">
        <v>2017</v>
      </c>
      <c r="O2628" s="31">
        <v>90</v>
      </c>
      <c r="P2628" s="31"/>
      <c r="Q2628" s="31"/>
      <c r="R2628" s="33"/>
      <c r="S2628" s="34" t="str">
        <f>HYPERLINK("http://www.cnpol.ru/covers/17694.jpg","фото на сайте")</f>
        <v>фото на сайте</v>
      </c>
    </row>
    <row r="2629" spans="1:19" ht="50.1" customHeight="1">
      <c r="A2629" s="31"/>
      <c r="B2629" s="32" t="s">
        <v>10121</v>
      </c>
      <c r="C2629" s="31" t="s">
        <v>390</v>
      </c>
      <c r="D2629" s="31" t="s">
        <v>2674</v>
      </c>
      <c r="E2629" s="31" t="s">
        <v>10122</v>
      </c>
      <c r="F2629" s="31">
        <v>845</v>
      </c>
      <c r="G2629" s="31">
        <v>86</v>
      </c>
      <c r="H2629" s="31">
        <v>10</v>
      </c>
      <c r="I2629" s="31">
        <v>30</v>
      </c>
      <c r="J2629" s="31" t="s">
        <v>10123</v>
      </c>
      <c r="K2629" s="31" t="s">
        <v>123</v>
      </c>
      <c r="L2629" s="31" t="s">
        <v>56</v>
      </c>
      <c r="M2629" s="31">
        <v>160</v>
      </c>
      <c r="N2629" s="31">
        <v>2018</v>
      </c>
      <c r="O2629" s="31">
        <v>76</v>
      </c>
      <c r="P2629" s="31"/>
      <c r="Q2629" s="31"/>
      <c r="R2629" s="33"/>
      <c r="S2629" s="34" t="str">
        <f>HYPERLINK("http://www.cnpol.ru/covers/18358.jpg","фото на сайте")</f>
        <v>фото на сайте</v>
      </c>
    </row>
    <row r="2630" spans="1:19" ht="50.1" customHeight="1">
      <c r="A2630" s="31"/>
      <c r="B2630" s="32" t="s">
        <v>10124</v>
      </c>
      <c r="C2630" s="31" t="s">
        <v>520</v>
      </c>
      <c r="D2630" s="31" t="s">
        <v>1690</v>
      </c>
      <c r="E2630" s="31" t="s">
        <v>10125</v>
      </c>
      <c r="F2630" s="31">
        <v>39</v>
      </c>
      <c r="G2630" s="31">
        <v>117</v>
      </c>
      <c r="H2630" s="31">
        <v>10</v>
      </c>
      <c r="I2630" s="31">
        <v>36</v>
      </c>
      <c r="J2630" s="31" t="s">
        <v>10126</v>
      </c>
      <c r="K2630" s="31" t="s">
        <v>123</v>
      </c>
      <c r="L2630" s="31" t="s">
        <v>56</v>
      </c>
      <c r="M2630" s="31">
        <v>192</v>
      </c>
      <c r="N2630" s="31">
        <v>2016</v>
      </c>
      <c r="O2630" s="31">
        <v>90</v>
      </c>
      <c r="P2630" s="31"/>
      <c r="Q2630" s="31"/>
      <c r="R2630" s="33"/>
      <c r="S2630" s="34" t="str">
        <f>HYPERLINK("http://www.cnpol.ru/covers/17173.jpg","фото на сайте")</f>
        <v>фото на сайте</v>
      </c>
    </row>
    <row r="2631" spans="1:19" ht="50.1" customHeight="1">
      <c r="A2631" s="31"/>
      <c r="B2631" s="32" t="s">
        <v>10127</v>
      </c>
      <c r="C2631" s="31" t="s">
        <v>390</v>
      </c>
      <c r="D2631" s="31" t="s">
        <v>3691</v>
      </c>
      <c r="E2631" s="31" t="s">
        <v>10128</v>
      </c>
      <c r="F2631" s="31">
        <v>901</v>
      </c>
      <c r="G2631" s="31">
        <v>86</v>
      </c>
      <c r="H2631" s="31">
        <v>10</v>
      </c>
      <c r="I2631" s="31">
        <v>30</v>
      </c>
      <c r="J2631" s="31" t="s">
        <v>10129</v>
      </c>
      <c r="K2631" s="31" t="s">
        <v>123</v>
      </c>
      <c r="L2631" s="31" t="s">
        <v>56</v>
      </c>
      <c r="M2631" s="31">
        <v>160</v>
      </c>
      <c r="N2631" s="31">
        <v>2019</v>
      </c>
      <c r="O2631" s="31">
        <v>78</v>
      </c>
      <c r="P2631" s="31"/>
      <c r="Q2631" s="31"/>
      <c r="R2631" s="33"/>
      <c r="S2631" s="34" t="str">
        <f>HYPERLINK("http://www.cnpol.ru/covers/18712.jpg","фото на сайте")</f>
        <v>фото на сайте</v>
      </c>
    </row>
    <row r="2632" spans="1:19" ht="50.1" customHeight="1">
      <c r="A2632" s="31"/>
      <c r="B2632" s="32" t="s">
        <v>10130</v>
      </c>
      <c r="C2632" s="31" t="s">
        <v>546</v>
      </c>
      <c r="D2632" s="31" t="s">
        <v>989</v>
      </c>
      <c r="E2632" s="31" t="s">
        <v>10131</v>
      </c>
      <c r="F2632" s="31">
        <v>356</v>
      </c>
      <c r="G2632" s="31">
        <v>93</v>
      </c>
      <c r="H2632" s="31">
        <v>10</v>
      </c>
      <c r="I2632" s="31">
        <v>30</v>
      </c>
      <c r="J2632" s="31" t="s">
        <v>10132</v>
      </c>
      <c r="K2632" s="31" t="s">
        <v>123</v>
      </c>
      <c r="L2632" s="31" t="s">
        <v>56</v>
      </c>
      <c r="M2632" s="31">
        <v>160</v>
      </c>
      <c r="N2632" s="31">
        <v>2020</v>
      </c>
      <c r="O2632" s="31">
        <v>76</v>
      </c>
      <c r="P2632" s="31"/>
      <c r="Q2632" s="31"/>
      <c r="R2632" s="33"/>
      <c r="S2632" s="34" t="str">
        <f>HYPERLINK("http://www.cnpol.ru/covers/19293.jpg","фото на сайте")</f>
        <v>фото на сайте</v>
      </c>
    </row>
    <row r="2633" spans="1:19" ht="50.1" customHeight="1">
      <c r="A2633" s="31"/>
      <c r="B2633" s="32" t="s">
        <v>10133</v>
      </c>
      <c r="C2633" s="31" t="s">
        <v>7881</v>
      </c>
      <c r="D2633" s="31" t="s">
        <v>7882</v>
      </c>
      <c r="E2633" s="31" t="s">
        <v>10134</v>
      </c>
      <c r="F2633" s="31" t="s">
        <v>31</v>
      </c>
      <c r="G2633" s="31">
        <v>88</v>
      </c>
      <c r="H2633" s="31">
        <v>10</v>
      </c>
      <c r="I2633" s="31">
        <v>30</v>
      </c>
      <c r="J2633" s="31" t="s">
        <v>10135</v>
      </c>
      <c r="K2633" s="31" t="s">
        <v>55</v>
      </c>
      <c r="L2633" s="31" t="s">
        <v>56</v>
      </c>
      <c r="M2633" s="31">
        <v>190</v>
      </c>
      <c r="N2633" s="31">
        <v>2007</v>
      </c>
      <c r="O2633" s="31">
        <v>80</v>
      </c>
      <c r="P2633" s="31"/>
      <c r="Q2633" s="31"/>
      <c r="R2633" s="33"/>
      <c r="S2633" s="34" t="str">
        <f>HYPERLINK("http://www.cnpol.ru/covers/7363.jpg","фото на сайте")</f>
        <v>фото на сайте</v>
      </c>
    </row>
    <row r="2634" spans="1:19" ht="50.1" customHeight="1">
      <c r="A2634" s="31" t="s">
        <v>43</v>
      </c>
      <c r="B2634" s="32" t="s">
        <v>10136</v>
      </c>
      <c r="C2634" s="31" t="s">
        <v>37</v>
      </c>
      <c r="D2634" s="31" t="s">
        <v>10137</v>
      </c>
      <c r="E2634" s="31" t="s">
        <v>10138</v>
      </c>
      <c r="F2634" s="31" t="s">
        <v>31</v>
      </c>
      <c r="G2634" s="31">
        <v>539</v>
      </c>
      <c r="H2634" s="31">
        <v>10</v>
      </c>
      <c r="I2634" s="31">
        <v>12</v>
      </c>
      <c r="J2634" s="31" t="s">
        <v>10139</v>
      </c>
      <c r="K2634" s="31" t="s">
        <v>33</v>
      </c>
      <c r="L2634" s="31" t="s">
        <v>34</v>
      </c>
      <c r="M2634" s="31">
        <v>351</v>
      </c>
      <c r="N2634" s="31">
        <v>2024</v>
      </c>
      <c r="O2634" s="31">
        <v>292</v>
      </c>
      <c r="P2634" s="31"/>
      <c r="Q2634" s="31"/>
      <c r="R2634" s="33" t="s">
        <v>10140</v>
      </c>
      <c r="S2634" s="34" t="str">
        <f>HYPERLINK("http://www.cnpol.ru/covers/21162.jpg","фото на сайте")</f>
        <v>фото на сайте</v>
      </c>
    </row>
    <row r="2635" spans="1:19" ht="50.1" customHeight="1">
      <c r="A2635" s="31"/>
      <c r="B2635" s="32" t="s">
        <v>10141</v>
      </c>
      <c r="C2635" s="31" t="s">
        <v>546</v>
      </c>
      <c r="D2635" s="31" t="s">
        <v>1292</v>
      </c>
      <c r="E2635" s="31" t="s">
        <v>10142</v>
      </c>
      <c r="F2635" s="31">
        <v>194</v>
      </c>
      <c r="G2635" s="31">
        <v>93</v>
      </c>
      <c r="H2635" s="31">
        <v>10</v>
      </c>
      <c r="I2635" s="31">
        <v>30</v>
      </c>
      <c r="J2635" s="31" t="s">
        <v>10143</v>
      </c>
      <c r="K2635" s="31" t="s">
        <v>123</v>
      </c>
      <c r="L2635" s="31" t="s">
        <v>56</v>
      </c>
      <c r="M2635" s="31">
        <v>160</v>
      </c>
      <c r="N2635" s="31">
        <v>2016</v>
      </c>
      <c r="O2635" s="31">
        <v>76</v>
      </c>
      <c r="P2635" s="31"/>
      <c r="Q2635" s="31"/>
      <c r="R2635" s="33"/>
      <c r="S2635" s="34" t="str">
        <f>HYPERLINK("http://www.cnpol.ru/covers/17118.jpg","фото на сайте")</f>
        <v>фото на сайте</v>
      </c>
    </row>
    <row r="2636" spans="1:19" ht="50.1" customHeight="1">
      <c r="A2636" s="31"/>
      <c r="B2636" s="32" t="s">
        <v>10144</v>
      </c>
      <c r="C2636" s="31" t="s">
        <v>390</v>
      </c>
      <c r="D2636" s="31" t="s">
        <v>694</v>
      </c>
      <c r="E2636" s="31" t="s">
        <v>10145</v>
      </c>
      <c r="F2636" s="31">
        <v>522</v>
      </c>
      <c r="G2636" s="31">
        <v>86</v>
      </c>
      <c r="H2636" s="31">
        <v>10</v>
      </c>
      <c r="I2636" s="31">
        <v>30</v>
      </c>
      <c r="J2636" s="31" t="s">
        <v>10146</v>
      </c>
      <c r="K2636" s="31" t="s">
        <v>123</v>
      </c>
      <c r="L2636" s="31" t="s">
        <v>56</v>
      </c>
      <c r="M2636" s="31">
        <v>158</v>
      </c>
      <c r="N2636" s="31">
        <v>2015</v>
      </c>
      <c r="O2636" s="31">
        <v>76</v>
      </c>
      <c r="P2636" s="31"/>
      <c r="Q2636" s="31"/>
      <c r="R2636" s="33"/>
      <c r="S2636" s="34" t="str">
        <f>HYPERLINK("http://www.cnpol.ru/covers/16048.jpg","фото на сайте")</f>
        <v>фото на сайте</v>
      </c>
    </row>
    <row r="2637" spans="1:19" ht="50.1" customHeight="1">
      <c r="A2637" s="31"/>
      <c r="B2637" s="32" t="s">
        <v>10147</v>
      </c>
      <c r="C2637" s="31" t="s">
        <v>390</v>
      </c>
      <c r="D2637" s="31" t="s">
        <v>2285</v>
      </c>
      <c r="E2637" s="31" t="s">
        <v>10148</v>
      </c>
      <c r="F2637" s="31">
        <v>619</v>
      </c>
      <c r="G2637" s="31">
        <v>86</v>
      </c>
      <c r="H2637" s="31">
        <v>10</v>
      </c>
      <c r="I2637" s="31">
        <v>30</v>
      </c>
      <c r="J2637" s="31" t="s">
        <v>10149</v>
      </c>
      <c r="K2637" s="31" t="s">
        <v>123</v>
      </c>
      <c r="L2637" s="31" t="s">
        <v>56</v>
      </c>
      <c r="M2637" s="31">
        <v>160</v>
      </c>
      <c r="N2637" s="31">
        <v>2016</v>
      </c>
      <c r="O2637" s="31">
        <v>76</v>
      </c>
      <c r="P2637" s="31"/>
      <c r="Q2637" s="31"/>
      <c r="R2637" s="33"/>
      <c r="S2637" s="34" t="str">
        <f>HYPERLINK("http://www.cnpol.ru/covers/16754.jpg","фото на сайте")</f>
        <v>фото на сайте</v>
      </c>
    </row>
    <row r="2638" spans="1:19" ht="50.1" customHeight="1">
      <c r="A2638" s="31"/>
      <c r="B2638" s="32" t="s">
        <v>10150</v>
      </c>
      <c r="C2638" s="31" t="s">
        <v>390</v>
      </c>
      <c r="D2638" s="31" t="s">
        <v>2355</v>
      </c>
      <c r="E2638" s="31" t="s">
        <v>10151</v>
      </c>
      <c r="F2638" s="31">
        <v>491</v>
      </c>
      <c r="G2638" s="31">
        <v>86</v>
      </c>
      <c r="H2638" s="31">
        <v>10</v>
      </c>
      <c r="I2638" s="31">
        <v>30</v>
      </c>
      <c r="J2638" s="31" t="s">
        <v>10152</v>
      </c>
      <c r="K2638" s="31" t="s">
        <v>123</v>
      </c>
      <c r="L2638" s="31" t="s">
        <v>56</v>
      </c>
      <c r="M2638" s="31">
        <v>158</v>
      </c>
      <c r="N2638" s="31">
        <v>2015</v>
      </c>
      <c r="O2638" s="31">
        <v>74</v>
      </c>
      <c r="P2638" s="31"/>
      <c r="Q2638" s="31"/>
      <c r="R2638" s="33"/>
      <c r="S2638" s="34" t="str">
        <f>HYPERLINK("http://www.cnpol.ru/covers/15805.jpg","фото на сайте")</f>
        <v>фото на сайте</v>
      </c>
    </row>
    <row r="2639" spans="1:19" ht="50.1" customHeight="1">
      <c r="A2639" s="31"/>
      <c r="B2639" s="32" t="s">
        <v>10153</v>
      </c>
      <c r="C2639" s="31" t="s">
        <v>390</v>
      </c>
      <c r="D2639" s="31" t="s">
        <v>6150</v>
      </c>
      <c r="E2639" s="31" t="s">
        <v>10154</v>
      </c>
      <c r="F2639" s="31">
        <v>977</v>
      </c>
      <c r="G2639" s="31">
        <v>86</v>
      </c>
      <c r="H2639" s="31">
        <v>10</v>
      </c>
      <c r="I2639" s="31">
        <v>30</v>
      </c>
      <c r="J2639" s="31" t="s">
        <v>10155</v>
      </c>
      <c r="K2639" s="31" t="s">
        <v>123</v>
      </c>
      <c r="L2639" s="31" t="s">
        <v>56</v>
      </c>
      <c r="M2639" s="31">
        <v>160</v>
      </c>
      <c r="N2639" s="31">
        <v>2020</v>
      </c>
      <c r="O2639" s="31">
        <v>76</v>
      </c>
      <c r="P2639" s="31"/>
      <c r="Q2639" s="31"/>
      <c r="R2639" s="33"/>
      <c r="S2639" s="34" t="str">
        <f>HYPERLINK("http://www.cnpol.ru/covers/19153.jpg","фото на сайте")</f>
        <v>фото на сайте</v>
      </c>
    </row>
    <row r="2640" spans="1:19" ht="50.1" customHeight="1">
      <c r="A2640" s="31" t="s">
        <v>43</v>
      </c>
      <c r="B2640" s="32" t="s">
        <v>10156</v>
      </c>
      <c r="C2640" s="31" t="s">
        <v>546</v>
      </c>
      <c r="D2640" s="31" t="s">
        <v>2674</v>
      </c>
      <c r="E2640" s="31" t="s">
        <v>10157</v>
      </c>
      <c r="F2640" s="31">
        <v>443</v>
      </c>
      <c r="G2640" s="31">
        <v>93</v>
      </c>
      <c r="H2640" s="31">
        <v>10</v>
      </c>
      <c r="I2640" s="31">
        <v>30</v>
      </c>
      <c r="J2640" s="31" t="s">
        <v>10158</v>
      </c>
      <c r="K2640" s="31" t="s">
        <v>123</v>
      </c>
      <c r="L2640" s="31" t="s">
        <v>56</v>
      </c>
      <c r="M2640" s="31">
        <v>159</v>
      </c>
      <c r="N2640" s="31">
        <v>2024</v>
      </c>
      <c r="O2640" s="31">
        <v>76</v>
      </c>
      <c r="P2640" s="31"/>
      <c r="Q2640" s="31"/>
      <c r="R2640" s="33" t="s">
        <v>10159</v>
      </c>
      <c r="S2640" s="34" t="str">
        <f>HYPERLINK("http://www.cnpol.ru/covers/21061.jpg","фото на сайте")</f>
        <v>фото на сайте</v>
      </c>
    </row>
    <row r="2641" spans="1:19" ht="50.1" customHeight="1">
      <c r="A2641" s="31"/>
      <c r="B2641" s="32" t="s">
        <v>10160</v>
      </c>
      <c r="C2641" s="31" t="s">
        <v>546</v>
      </c>
      <c r="D2641" s="31" t="s">
        <v>547</v>
      </c>
      <c r="E2641" s="31" t="s">
        <v>10161</v>
      </c>
      <c r="F2641" s="31">
        <v>323</v>
      </c>
      <c r="G2641" s="31">
        <v>93</v>
      </c>
      <c r="H2641" s="31">
        <v>10</v>
      </c>
      <c r="I2641" s="31">
        <v>30</v>
      </c>
      <c r="J2641" s="31" t="s">
        <v>10162</v>
      </c>
      <c r="K2641" s="31" t="s">
        <v>123</v>
      </c>
      <c r="L2641" s="31" t="s">
        <v>56</v>
      </c>
      <c r="M2641" s="31">
        <v>160</v>
      </c>
      <c r="N2641" s="31">
        <v>2019</v>
      </c>
      <c r="O2641" s="31">
        <v>76</v>
      </c>
      <c r="P2641" s="31"/>
      <c r="Q2641" s="31"/>
      <c r="R2641" s="33"/>
      <c r="S2641" s="34" t="str">
        <f>HYPERLINK("http://www.cnpol.ru/covers/18864.jpg","фото на сайте")</f>
        <v>фото на сайте</v>
      </c>
    </row>
    <row r="2642" spans="1:19" ht="50.1" customHeight="1">
      <c r="A2642" s="31"/>
      <c r="B2642" s="32" t="s">
        <v>10163</v>
      </c>
      <c r="C2642" s="31" t="s">
        <v>390</v>
      </c>
      <c r="D2642" s="31" t="s">
        <v>2137</v>
      </c>
      <c r="E2642" s="31" t="s">
        <v>10164</v>
      </c>
      <c r="F2642" s="31">
        <v>722</v>
      </c>
      <c r="G2642" s="31">
        <v>86</v>
      </c>
      <c r="H2642" s="31">
        <v>10</v>
      </c>
      <c r="I2642" s="31">
        <v>30</v>
      </c>
      <c r="J2642" s="31" t="s">
        <v>10165</v>
      </c>
      <c r="K2642" s="31" t="s">
        <v>123</v>
      </c>
      <c r="L2642" s="31" t="s">
        <v>56</v>
      </c>
      <c r="M2642" s="31">
        <v>160</v>
      </c>
      <c r="N2642" s="31">
        <v>2017</v>
      </c>
      <c r="O2642" s="31">
        <v>76</v>
      </c>
      <c r="P2642" s="31"/>
      <c r="Q2642" s="31"/>
      <c r="R2642" s="33"/>
      <c r="S2642" s="34" t="str">
        <f>HYPERLINK("http://www.cnpol.ru/covers/17519.jpg","фото на сайте")</f>
        <v>фото на сайте</v>
      </c>
    </row>
    <row r="2643" spans="1:19" ht="50.1" customHeight="1">
      <c r="A2643" s="31" t="s">
        <v>35</v>
      </c>
      <c r="B2643" s="32" t="s">
        <v>10166</v>
      </c>
      <c r="C2643" s="31" t="s">
        <v>45</v>
      </c>
      <c r="D2643" s="31" t="s">
        <v>450</v>
      </c>
      <c r="E2643" s="31" t="s">
        <v>10167</v>
      </c>
      <c r="F2643" s="31" t="s">
        <v>31</v>
      </c>
      <c r="G2643" s="35">
        <v>1149</v>
      </c>
      <c r="H2643" s="31">
        <v>10</v>
      </c>
      <c r="I2643" s="31">
        <v>5</v>
      </c>
      <c r="J2643" s="31" t="s">
        <v>10168</v>
      </c>
      <c r="K2643" s="31" t="s">
        <v>33</v>
      </c>
      <c r="L2643" s="31" t="s">
        <v>34</v>
      </c>
      <c r="M2643" s="31">
        <v>462</v>
      </c>
      <c r="N2643" s="31">
        <v>2025</v>
      </c>
      <c r="O2643" s="31">
        <v>456</v>
      </c>
      <c r="P2643" s="31"/>
      <c r="Q2643" s="31"/>
      <c r="R2643" s="33" t="s">
        <v>9140</v>
      </c>
      <c r="S2643" s="34" t="str">
        <f>HYPERLINK("http://www.cnpol.ru/covers/21706.jpg","фото на сайте")</f>
        <v>фото на сайте</v>
      </c>
    </row>
    <row r="2644" spans="1:19" ht="50.1" customHeight="1">
      <c r="A2644" s="31"/>
      <c r="B2644" s="32" t="s">
        <v>10169</v>
      </c>
      <c r="C2644" s="31" t="s">
        <v>3767</v>
      </c>
      <c r="D2644" s="31" t="s">
        <v>3768</v>
      </c>
      <c r="E2644" s="31" t="s">
        <v>10170</v>
      </c>
      <c r="F2644" s="31" t="s">
        <v>31</v>
      </c>
      <c r="G2644" s="35">
        <v>1611</v>
      </c>
      <c r="H2644" s="31">
        <v>10</v>
      </c>
      <c r="I2644" s="31">
        <v>3</v>
      </c>
      <c r="J2644" s="31" t="s">
        <v>10171</v>
      </c>
      <c r="K2644" s="31" t="s">
        <v>147</v>
      </c>
      <c r="L2644" s="31" t="s">
        <v>34</v>
      </c>
      <c r="M2644" s="31">
        <v>832</v>
      </c>
      <c r="N2644" s="31">
        <v>2020</v>
      </c>
      <c r="O2644" s="31">
        <v>1126</v>
      </c>
      <c r="P2644" s="31"/>
      <c r="Q2644" s="31"/>
      <c r="R2644" s="33"/>
      <c r="S2644" s="34" t="str">
        <f>HYPERLINK("http://www.cnpol.ru/covers/19165.jpg","фото на сайте")</f>
        <v>фото на сайте</v>
      </c>
    </row>
    <row r="2645" spans="1:19" ht="50.1" customHeight="1">
      <c r="A2645" s="31"/>
      <c r="B2645" s="32" t="s">
        <v>10172</v>
      </c>
      <c r="C2645" s="31" t="s">
        <v>45</v>
      </c>
      <c r="D2645" s="31" t="s">
        <v>4418</v>
      </c>
      <c r="E2645" s="31" t="s">
        <v>10173</v>
      </c>
      <c r="F2645" s="31" t="s">
        <v>31</v>
      </c>
      <c r="G2645" s="35">
        <v>3958</v>
      </c>
      <c r="H2645" s="31">
        <v>10</v>
      </c>
      <c r="I2645" s="31">
        <v>4</v>
      </c>
      <c r="J2645" s="31" t="s">
        <v>10174</v>
      </c>
      <c r="K2645" s="31" t="s">
        <v>468</v>
      </c>
      <c r="L2645" s="31" t="s">
        <v>34</v>
      </c>
      <c r="M2645" s="31">
        <v>232</v>
      </c>
      <c r="N2645" s="31">
        <v>2023</v>
      </c>
      <c r="O2645" s="31">
        <v>1550</v>
      </c>
      <c r="P2645" s="31"/>
      <c r="Q2645" s="31"/>
      <c r="R2645" s="33" t="s">
        <v>10175</v>
      </c>
      <c r="S2645" s="34" t="str">
        <f>HYPERLINK("http://www.cnpol.ru/covers/20933.jpg","фото на сайте")</f>
        <v>фото на сайте</v>
      </c>
    </row>
    <row r="2646" spans="1:19" ht="50.1" customHeight="1">
      <c r="A2646" s="31"/>
      <c r="B2646" s="32" t="s">
        <v>10176</v>
      </c>
      <c r="C2646" s="31" t="s">
        <v>45</v>
      </c>
      <c r="D2646" s="31" t="s">
        <v>10177</v>
      </c>
      <c r="E2646" s="31" t="s">
        <v>10178</v>
      </c>
      <c r="F2646" s="31" t="s">
        <v>31</v>
      </c>
      <c r="G2646" s="31">
        <v>630</v>
      </c>
      <c r="H2646" s="31">
        <v>10</v>
      </c>
      <c r="I2646" s="31">
        <v>10</v>
      </c>
      <c r="J2646" s="31" t="s">
        <v>10179</v>
      </c>
      <c r="K2646" s="31" t="s">
        <v>33</v>
      </c>
      <c r="L2646" s="31" t="s">
        <v>34</v>
      </c>
      <c r="M2646" s="31">
        <v>319</v>
      </c>
      <c r="N2646" s="31">
        <v>2022</v>
      </c>
      <c r="O2646" s="31">
        <v>320</v>
      </c>
      <c r="P2646" s="31"/>
      <c r="Q2646" s="31"/>
      <c r="R2646" s="33"/>
      <c r="S2646" s="34" t="str">
        <f>HYPERLINK("http://www.cnpol.ru/covers/20117.jpg","фото на сайте")</f>
        <v>фото на сайте</v>
      </c>
    </row>
    <row r="2647" spans="1:19" ht="50.1" customHeight="1">
      <c r="A2647" s="31"/>
      <c r="B2647" s="32" t="s">
        <v>10180</v>
      </c>
      <c r="C2647" s="31" t="s">
        <v>546</v>
      </c>
      <c r="D2647" s="31" t="s">
        <v>6002</v>
      </c>
      <c r="E2647" s="31" t="s">
        <v>10181</v>
      </c>
      <c r="F2647" s="31">
        <v>361</v>
      </c>
      <c r="G2647" s="31">
        <v>93</v>
      </c>
      <c r="H2647" s="31">
        <v>10</v>
      </c>
      <c r="I2647" s="31">
        <v>30</v>
      </c>
      <c r="J2647" s="31" t="s">
        <v>10182</v>
      </c>
      <c r="K2647" s="31" t="s">
        <v>123</v>
      </c>
      <c r="L2647" s="31" t="s">
        <v>56</v>
      </c>
      <c r="M2647" s="31">
        <v>160</v>
      </c>
      <c r="N2647" s="31">
        <v>2020</v>
      </c>
      <c r="O2647" s="31">
        <v>76</v>
      </c>
      <c r="P2647" s="31"/>
      <c r="Q2647" s="31"/>
      <c r="R2647" s="33"/>
      <c r="S2647" s="34" t="str">
        <f>HYPERLINK("http://www.cnpol.ru/covers/19383.jpg","фото на сайте")</f>
        <v>фото на сайте</v>
      </c>
    </row>
    <row r="2648" spans="1:19" ht="50.1" customHeight="1">
      <c r="A2648" s="31"/>
      <c r="B2648" s="32" t="s">
        <v>10183</v>
      </c>
      <c r="C2648" s="31" t="s">
        <v>385</v>
      </c>
      <c r="D2648" s="31" t="s">
        <v>386</v>
      </c>
      <c r="E2648" s="31" t="s">
        <v>10184</v>
      </c>
      <c r="F2648" s="31" t="s">
        <v>31</v>
      </c>
      <c r="G2648" s="31">
        <v>162</v>
      </c>
      <c r="H2648" s="31">
        <v>10</v>
      </c>
      <c r="I2648" s="31">
        <v>32</v>
      </c>
      <c r="J2648" s="31" t="s">
        <v>10185</v>
      </c>
      <c r="K2648" s="31" t="s">
        <v>55</v>
      </c>
      <c r="L2648" s="31" t="s">
        <v>56</v>
      </c>
      <c r="M2648" s="31">
        <v>256</v>
      </c>
      <c r="N2648" s="31">
        <v>2016</v>
      </c>
      <c r="O2648" s="31">
        <v>108</v>
      </c>
      <c r="P2648" s="31"/>
      <c r="Q2648" s="31"/>
      <c r="R2648" s="33"/>
      <c r="S2648" s="34" t="str">
        <f>HYPERLINK("http://www.cnpol.ru/covers/0157.jpg","фото на сайте")</f>
        <v>фото на сайте</v>
      </c>
    </row>
    <row r="2649" spans="1:19" ht="50.1" customHeight="1">
      <c r="A2649" s="31" t="s">
        <v>43</v>
      </c>
      <c r="B2649" s="32" t="s">
        <v>10186</v>
      </c>
      <c r="C2649" s="31" t="s">
        <v>688</v>
      </c>
      <c r="D2649" s="31" t="s">
        <v>10187</v>
      </c>
      <c r="E2649" s="31" t="s">
        <v>10188</v>
      </c>
      <c r="F2649" s="31" t="s">
        <v>31</v>
      </c>
      <c r="G2649" s="31">
        <v>893</v>
      </c>
      <c r="H2649" s="31">
        <v>10</v>
      </c>
      <c r="I2649" s="31">
        <v>12</v>
      </c>
      <c r="J2649" s="31" t="s">
        <v>10189</v>
      </c>
      <c r="K2649" s="31" t="s">
        <v>33</v>
      </c>
      <c r="L2649" s="31" t="s">
        <v>34</v>
      </c>
      <c r="M2649" s="31">
        <v>319</v>
      </c>
      <c r="N2649" s="31">
        <v>2026</v>
      </c>
      <c r="O2649" s="31" t="s">
        <v>220</v>
      </c>
      <c r="P2649" s="31"/>
      <c r="Q2649" s="31"/>
      <c r="R2649" s="33" t="s">
        <v>10190</v>
      </c>
      <c r="S2649" s="34" t="str">
        <f>HYPERLINK("http://www.cnpol.ru/covers/21883.jpg","фото на сайте")</f>
        <v>фото на сайте</v>
      </c>
    </row>
    <row r="2650" spans="1:19" ht="50.1" customHeight="1">
      <c r="A2650" s="31"/>
      <c r="B2650" s="32" t="s">
        <v>10191</v>
      </c>
      <c r="C2650" s="31" t="s">
        <v>7881</v>
      </c>
      <c r="D2650" s="31" t="s">
        <v>10192</v>
      </c>
      <c r="E2650" s="31" t="s">
        <v>10193</v>
      </c>
      <c r="F2650" s="31" t="s">
        <v>31</v>
      </c>
      <c r="G2650" s="31">
        <v>88</v>
      </c>
      <c r="H2650" s="31">
        <v>10</v>
      </c>
      <c r="I2650" s="31">
        <v>30</v>
      </c>
      <c r="J2650" s="31" t="s">
        <v>10194</v>
      </c>
      <c r="K2650" s="31" t="s">
        <v>55</v>
      </c>
      <c r="L2650" s="31" t="s">
        <v>56</v>
      </c>
      <c r="M2650" s="31">
        <v>191</v>
      </c>
      <c r="N2650" s="31">
        <v>2008</v>
      </c>
      <c r="O2650" s="31">
        <v>86</v>
      </c>
      <c r="P2650" s="31"/>
      <c r="Q2650" s="31"/>
      <c r="R2650" s="33"/>
      <c r="S2650" s="34" t="str">
        <f>HYPERLINK("http://www.cnpol.ru/covers/7147.jpg","фото на сайте")</f>
        <v>фото на сайте</v>
      </c>
    </row>
    <row r="2651" spans="1:19" ht="50.1" customHeight="1">
      <c r="A2651" s="31"/>
      <c r="B2651" s="32" t="s">
        <v>10195</v>
      </c>
      <c r="C2651" s="31" t="s">
        <v>1594</v>
      </c>
      <c r="D2651" s="31" t="s">
        <v>3018</v>
      </c>
      <c r="E2651" s="31" t="s">
        <v>10196</v>
      </c>
      <c r="F2651" s="31" t="s">
        <v>31</v>
      </c>
      <c r="G2651" s="31">
        <v>169</v>
      </c>
      <c r="H2651" s="31">
        <v>10</v>
      </c>
      <c r="I2651" s="31">
        <v>40</v>
      </c>
      <c r="J2651" s="31" t="s">
        <v>10197</v>
      </c>
      <c r="K2651" s="31" t="s">
        <v>55</v>
      </c>
      <c r="L2651" s="31" t="s">
        <v>56</v>
      </c>
      <c r="M2651" s="31">
        <v>256</v>
      </c>
      <c r="N2651" s="31">
        <v>2019</v>
      </c>
      <c r="O2651" s="31">
        <v>110</v>
      </c>
      <c r="P2651" s="31"/>
      <c r="Q2651" s="31"/>
      <c r="R2651" s="33"/>
      <c r="S2651" s="34" t="str">
        <f>HYPERLINK("http://www.cnpol.ru/covers/18764.jpg","фото на сайте")</f>
        <v>фото на сайте</v>
      </c>
    </row>
    <row r="2652" spans="1:19" ht="50.1" customHeight="1">
      <c r="A2652" s="31"/>
      <c r="B2652" s="32" t="s">
        <v>10198</v>
      </c>
      <c r="C2652" s="31" t="s">
        <v>390</v>
      </c>
      <c r="D2652" s="31" t="s">
        <v>1850</v>
      </c>
      <c r="E2652" s="31" t="s">
        <v>10199</v>
      </c>
      <c r="F2652" s="31">
        <v>935</v>
      </c>
      <c r="G2652" s="31">
        <v>86</v>
      </c>
      <c r="H2652" s="31">
        <v>10</v>
      </c>
      <c r="I2652" s="31">
        <v>30</v>
      </c>
      <c r="J2652" s="31" t="s">
        <v>10200</v>
      </c>
      <c r="K2652" s="31" t="s">
        <v>123</v>
      </c>
      <c r="L2652" s="31" t="s">
        <v>56</v>
      </c>
      <c r="M2652" s="31">
        <v>160</v>
      </c>
      <c r="N2652" s="31">
        <v>2019</v>
      </c>
      <c r="O2652" s="31">
        <v>78</v>
      </c>
      <c r="P2652" s="31"/>
      <c r="Q2652" s="31"/>
      <c r="R2652" s="33"/>
      <c r="S2652" s="34" t="str">
        <f>HYPERLINK("http://www.cnpol.ru/covers/18908.jpg","фото на сайте")</f>
        <v>фото на сайте</v>
      </c>
    </row>
    <row r="2653" spans="1:19" ht="50.1" customHeight="1">
      <c r="A2653" s="31"/>
      <c r="B2653" s="32" t="s">
        <v>10201</v>
      </c>
      <c r="C2653" s="31" t="s">
        <v>546</v>
      </c>
      <c r="D2653" s="31" t="s">
        <v>1461</v>
      </c>
      <c r="E2653" s="31" t="s">
        <v>10202</v>
      </c>
      <c r="F2653" s="31">
        <v>383</v>
      </c>
      <c r="G2653" s="31">
        <v>93</v>
      </c>
      <c r="H2653" s="31">
        <v>10</v>
      </c>
      <c r="I2653" s="31">
        <v>30</v>
      </c>
      <c r="J2653" s="31" t="s">
        <v>10203</v>
      </c>
      <c r="K2653" s="31" t="s">
        <v>123</v>
      </c>
      <c r="L2653" s="31" t="s">
        <v>56</v>
      </c>
      <c r="M2653" s="31">
        <v>160</v>
      </c>
      <c r="N2653" s="31">
        <v>2021</v>
      </c>
      <c r="O2653" s="31">
        <v>76</v>
      </c>
      <c r="P2653" s="31"/>
      <c r="Q2653" s="31"/>
      <c r="R2653" s="33"/>
      <c r="S2653" s="34" t="str">
        <f>HYPERLINK("http://www.cnpol.ru/covers/19818.jpg","фото на сайте")</f>
        <v>фото на сайте</v>
      </c>
    </row>
    <row r="2654" spans="1:19" ht="50.1" customHeight="1">
      <c r="A2654" s="31"/>
      <c r="B2654" s="32" t="s">
        <v>10204</v>
      </c>
      <c r="C2654" s="31" t="s">
        <v>546</v>
      </c>
      <c r="D2654" s="31" t="s">
        <v>1115</v>
      </c>
      <c r="E2654" s="31" t="s">
        <v>10205</v>
      </c>
      <c r="F2654" s="31">
        <v>407</v>
      </c>
      <c r="G2654" s="31">
        <v>93</v>
      </c>
      <c r="H2654" s="31">
        <v>10</v>
      </c>
      <c r="I2654" s="31">
        <v>30</v>
      </c>
      <c r="J2654" s="31" t="s">
        <v>10206</v>
      </c>
      <c r="K2654" s="31" t="s">
        <v>123</v>
      </c>
      <c r="L2654" s="31" t="s">
        <v>56</v>
      </c>
      <c r="M2654" s="31">
        <v>159</v>
      </c>
      <c r="N2654" s="31">
        <v>2022</v>
      </c>
      <c r="O2654" s="31">
        <v>76</v>
      </c>
      <c r="P2654" s="31"/>
      <c r="Q2654" s="31"/>
      <c r="R2654" s="33"/>
      <c r="S2654" s="34" t="str">
        <f>HYPERLINK("http://www.cnpol.ru/covers/20313.jpg","фото на сайте")</f>
        <v>фото на сайте</v>
      </c>
    </row>
    <row r="2655" spans="1:19" ht="50.1" customHeight="1">
      <c r="A2655" s="31"/>
      <c r="B2655" s="32" t="s">
        <v>10207</v>
      </c>
      <c r="C2655" s="31" t="s">
        <v>390</v>
      </c>
      <c r="D2655" s="31" t="s">
        <v>1435</v>
      </c>
      <c r="E2655" s="31" t="s">
        <v>10208</v>
      </c>
      <c r="F2655" s="31">
        <v>698</v>
      </c>
      <c r="G2655" s="31">
        <v>86</v>
      </c>
      <c r="H2655" s="31">
        <v>10</v>
      </c>
      <c r="I2655" s="31">
        <v>30</v>
      </c>
      <c r="J2655" s="31" t="s">
        <v>10209</v>
      </c>
      <c r="K2655" s="31" t="s">
        <v>123</v>
      </c>
      <c r="L2655" s="31" t="s">
        <v>56</v>
      </c>
      <c r="M2655" s="31">
        <v>160</v>
      </c>
      <c r="N2655" s="31">
        <v>2017</v>
      </c>
      <c r="O2655" s="31">
        <v>76</v>
      </c>
      <c r="P2655" s="31"/>
      <c r="Q2655" s="31"/>
      <c r="R2655" s="33"/>
      <c r="S2655" s="34" t="str">
        <f>HYPERLINK("http://www.cnpol.ru/covers/17350.jpg","фото на сайте")</f>
        <v>фото на сайте</v>
      </c>
    </row>
    <row r="2656" spans="1:19" ht="50.1" customHeight="1">
      <c r="A2656" s="31" t="s">
        <v>43</v>
      </c>
      <c r="B2656" s="32" t="s">
        <v>10210</v>
      </c>
      <c r="C2656" s="31" t="s">
        <v>45</v>
      </c>
      <c r="D2656" s="31" t="s">
        <v>5151</v>
      </c>
      <c r="E2656" s="31" t="s">
        <v>10211</v>
      </c>
      <c r="F2656" s="31" t="s">
        <v>31</v>
      </c>
      <c r="G2656" s="35">
        <v>1332</v>
      </c>
      <c r="H2656" s="31">
        <v>10</v>
      </c>
      <c r="I2656" s="31">
        <v>5</v>
      </c>
      <c r="J2656" s="31" t="s">
        <v>10212</v>
      </c>
      <c r="K2656" s="31" t="s">
        <v>33</v>
      </c>
      <c r="L2656" s="31" t="s">
        <v>34</v>
      </c>
      <c r="M2656" s="31">
        <v>575</v>
      </c>
      <c r="N2656" s="31">
        <v>2025</v>
      </c>
      <c r="O2656" s="31">
        <v>588</v>
      </c>
      <c r="P2656" s="31"/>
      <c r="Q2656" s="31"/>
      <c r="R2656" s="33" t="s">
        <v>10213</v>
      </c>
      <c r="S2656" s="34" t="str">
        <f>HYPERLINK("http://www.cnpol.ru/covers/21520.jpg","фото на сайте")</f>
        <v>фото на сайте</v>
      </c>
    </row>
    <row r="2657" spans="1:19" ht="50.1" customHeight="1">
      <c r="A2657" s="31"/>
      <c r="B2657" s="32" t="s">
        <v>10214</v>
      </c>
      <c r="C2657" s="31" t="s">
        <v>390</v>
      </c>
      <c r="D2657" s="31" t="s">
        <v>4657</v>
      </c>
      <c r="E2657" s="31" t="s">
        <v>10215</v>
      </c>
      <c r="F2657" s="31">
        <v>1162</v>
      </c>
      <c r="G2657" s="31">
        <v>86</v>
      </c>
      <c r="H2657" s="31">
        <v>10</v>
      </c>
      <c r="I2657" s="31">
        <v>30</v>
      </c>
      <c r="J2657" s="31" t="s">
        <v>10216</v>
      </c>
      <c r="K2657" s="31" t="s">
        <v>123</v>
      </c>
      <c r="L2657" s="31" t="s">
        <v>56</v>
      </c>
      <c r="M2657" s="31">
        <v>159</v>
      </c>
      <c r="N2657" s="31">
        <v>2024</v>
      </c>
      <c r="O2657" s="31">
        <v>76</v>
      </c>
      <c r="P2657" s="31"/>
      <c r="Q2657" s="31"/>
      <c r="R2657" s="33" t="s">
        <v>10217</v>
      </c>
      <c r="S2657" s="34" t="str">
        <f>HYPERLINK("http://www.cnpol.ru/covers/20954.jpg","фото на сайте")</f>
        <v>фото на сайте</v>
      </c>
    </row>
    <row r="2658" spans="1:19" ht="50.1" customHeight="1">
      <c r="A2658" s="31"/>
      <c r="B2658" s="32" t="s">
        <v>10218</v>
      </c>
      <c r="C2658" s="31" t="s">
        <v>2420</v>
      </c>
      <c r="D2658" s="31" t="s">
        <v>10219</v>
      </c>
      <c r="E2658" s="31" t="s">
        <v>10220</v>
      </c>
      <c r="F2658" s="31" t="s">
        <v>31</v>
      </c>
      <c r="G2658" s="31">
        <v>88</v>
      </c>
      <c r="H2658" s="31">
        <v>10</v>
      </c>
      <c r="I2658" s="31">
        <v>30</v>
      </c>
      <c r="J2658" s="31" t="s">
        <v>10221</v>
      </c>
      <c r="K2658" s="31" t="s">
        <v>123</v>
      </c>
      <c r="L2658" s="31" t="s">
        <v>56</v>
      </c>
      <c r="M2658" s="31">
        <v>175</v>
      </c>
      <c r="N2658" s="31">
        <v>2007</v>
      </c>
      <c r="O2658" s="31">
        <v>88</v>
      </c>
      <c r="P2658" s="31"/>
      <c r="Q2658" s="31"/>
      <c r="R2658" s="33"/>
      <c r="S2658" s="34" t="str">
        <f>HYPERLINK("http://www.cnpol.ru/covers/7254.jpg","фото на сайте")</f>
        <v>фото на сайте</v>
      </c>
    </row>
    <row r="2659" spans="1:19" ht="50.1" customHeight="1">
      <c r="A2659" s="31"/>
      <c r="B2659" s="32" t="s">
        <v>10222</v>
      </c>
      <c r="C2659" s="31" t="s">
        <v>390</v>
      </c>
      <c r="D2659" s="31" t="s">
        <v>2106</v>
      </c>
      <c r="E2659" s="31" t="s">
        <v>10223</v>
      </c>
      <c r="F2659" s="31">
        <v>726</v>
      </c>
      <c r="G2659" s="31">
        <v>86</v>
      </c>
      <c r="H2659" s="31">
        <v>10</v>
      </c>
      <c r="I2659" s="31">
        <v>30</v>
      </c>
      <c r="J2659" s="31" t="s">
        <v>10224</v>
      </c>
      <c r="K2659" s="31" t="s">
        <v>123</v>
      </c>
      <c r="L2659" s="31" t="s">
        <v>56</v>
      </c>
      <c r="M2659" s="31">
        <v>160</v>
      </c>
      <c r="N2659" s="31">
        <v>2017</v>
      </c>
      <c r="O2659" s="31">
        <v>76</v>
      </c>
      <c r="P2659" s="31"/>
      <c r="Q2659" s="31"/>
      <c r="R2659" s="33"/>
      <c r="S2659" s="34" t="str">
        <f>HYPERLINK("http://www.cnpol.ru/covers/17542.jpg","фото на сайте")</f>
        <v>фото на сайте</v>
      </c>
    </row>
    <row r="2660" spans="1:19" ht="50.1" customHeight="1">
      <c r="A2660" s="31"/>
      <c r="B2660" s="32" t="s">
        <v>10225</v>
      </c>
      <c r="C2660" s="31" t="s">
        <v>418</v>
      </c>
      <c r="D2660" s="31" t="s">
        <v>5706</v>
      </c>
      <c r="E2660" s="31" t="s">
        <v>10226</v>
      </c>
      <c r="F2660" s="31">
        <v>111</v>
      </c>
      <c r="G2660" s="31">
        <v>153</v>
      </c>
      <c r="H2660" s="31">
        <v>10</v>
      </c>
      <c r="I2660" s="31">
        <v>30</v>
      </c>
      <c r="J2660" s="31" t="s">
        <v>10227</v>
      </c>
      <c r="K2660" s="31" t="s">
        <v>123</v>
      </c>
      <c r="L2660" s="31" t="s">
        <v>56</v>
      </c>
      <c r="M2660" s="31">
        <v>256</v>
      </c>
      <c r="N2660" s="31">
        <v>2020</v>
      </c>
      <c r="O2660" s="31">
        <v>118</v>
      </c>
      <c r="P2660" s="31"/>
      <c r="Q2660" s="31"/>
      <c r="R2660" s="33"/>
      <c r="S2660" s="34" t="str">
        <f>HYPERLINK("http://www.cnpol.ru/covers/19341.jpg","фото на сайте")</f>
        <v>фото на сайте</v>
      </c>
    </row>
    <row r="2661" spans="1:19" ht="50.1" customHeight="1">
      <c r="A2661" s="31"/>
      <c r="B2661" s="32" t="s">
        <v>10228</v>
      </c>
      <c r="C2661" s="31" t="s">
        <v>390</v>
      </c>
      <c r="D2661" s="31" t="s">
        <v>2137</v>
      </c>
      <c r="E2661" s="31" t="s">
        <v>10229</v>
      </c>
      <c r="F2661" s="31">
        <v>523</v>
      </c>
      <c r="G2661" s="31">
        <v>86</v>
      </c>
      <c r="H2661" s="31">
        <v>10</v>
      </c>
      <c r="I2661" s="31">
        <v>30</v>
      </c>
      <c r="J2661" s="31" t="s">
        <v>10230</v>
      </c>
      <c r="K2661" s="31" t="s">
        <v>123</v>
      </c>
      <c r="L2661" s="31" t="s">
        <v>56</v>
      </c>
      <c r="M2661" s="31">
        <v>158</v>
      </c>
      <c r="N2661" s="31">
        <v>2015</v>
      </c>
      <c r="O2661" s="31">
        <v>76</v>
      </c>
      <c r="P2661" s="31"/>
      <c r="Q2661" s="31"/>
      <c r="R2661" s="33"/>
      <c r="S2661" s="34" t="str">
        <f>HYPERLINK("http://www.cnpol.ru/covers/16049.jpg","фото на сайте")</f>
        <v>фото на сайте</v>
      </c>
    </row>
    <row r="2662" spans="1:19" ht="50.1" customHeight="1">
      <c r="A2662" s="31"/>
      <c r="B2662" s="32" t="s">
        <v>10231</v>
      </c>
      <c r="C2662" s="31" t="s">
        <v>390</v>
      </c>
      <c r="D2662" s="31" t="s">
        <v>989</v>
      </c>
      <c r="E2662" s="31" t="s">
        <v>10232</v>
      </c>
      <c r="F2662" s="31">
        <v>927</v>
      </c>
      <c r="G2662" s="31">
        <v>86</v>
      </c>
      <c r="H2662" s="31">
        <v>10</v>
      </c>
      <c r="I2662" s="31">
        <v>30</v>
      </c>
      <c r="J2662" s="31" t="s">
        <v>10233</v>
      </c>
      <c r="K2662" s="31" t="s">
        <v>123</v>
      </c>
      <c r="L2662" s="31" t="s">
        <v>56</v>
      </c>
      <c r="M2662" s="31">
        <v>160</v>
      </c>
      <c r="N2662" s="31">
        <v>2019</v>
      </c>
      <c r="O2662" s="31">
        <v>76</v>
      </c>
      <c r="P2662" s="31"/>
      <c r="Q2662" s="31"/>
      <c r="R2662" s="33"/>
      <c r="S2662" s="34" t="str">
        <f>HYPERLINK("http://www.cnpol.ru/covers/18869.jpg","фото на сайте")</f>
        <v>фото на сайте</v>
      </c>
    </row>
    <row r="2663" spans="1:19" ht="50.1" customHeight="1">
      <c r="A2663" s="31"/>
      <c r="B2663" s="32" t="s">
        <v>10234</v>
      </c>
      <c r="C2663" s="31" t="s">
        <v>390</v>
      </c>
      <c r="D2663" s="31" t="s">
        <v>414</v>
      </c>
      <c r="E2663" s="31" t="s">
        <v>10235</v>
      </c>
      <c r="F2663" s="31">
        <v>1007</v>
      </c>
      <c r="G2663" s="31">
        <v>86</v>
      </c>
      <c r="H2663" s="31">
        <v>10</v>
      </c>
      <c r="I2663" s="31">
        <v>30</v>
      </c>
      <c r="J2663" s="31" t="s">
        <v>10236</v>
      </c>
      <c r="K2663" s="31" t="s">
        <v>123</v>
      </c>
      <c r="L2663" s="31" t="s">
        <v>56</v>
      </c>
      <c r="M2663" s="31">
        <v>160</v>
      </c>
      <c r="N2663" s="31">
        <v>2020</v>
      </c>
      <c r="O2663" s="31">
        <v>76</v>
      </c>
      <c r="P2663" s="31"/>
      <c r="Q2663" s="31"/>
      <c r="R2663" s="33"/>
      <c r="S2663" s="34" t="str">
        <f>HYPERLINK("http://www.cnpol.ru/covers/19423.jpg","фото на сайте")</f>
        <v>фото на сайте</v>
      </c>
    </row>
    <row r="2664" spans="1:19" ht="50.1" customHeight="1">
      <c r="A2664" s="31"/>
      <c r="B2664" s="32" t="s">
        <v>10237</v>
      </c>
      <c r="C2664" s="31" t="s">
        <v>581</v>
      </c>
      <c r="D2664" s="31" t="s">
        <v>577</v>
      </c>
      <c r="E2664" s="31" t="s">
        <v>10238</v>
      </c>
      <c r="F2664" s="31" t="s">
        <v>31</v>
      </c>
      <c r="G2664" s="31">
        <v>185</v>
      </c>
      <c r="H2664" s="31">
        <v>10</v>
      </c>
      <c r="I2664" s="31">
        <v>24</v>
      </c>
      <c r="J2664" s="31" t="s">
        <v>10239</v>
      </c>
      <c r="K2664" s="31" t="s">
        <v>123</v>
      </c>
      <c r="L2664" s="31" t="s">
        <v>56</v>
      </c>
      <c r="M2664" s="31">
        <v>251</v>
      </c>
      <c r="N2664" s="31">
        <v>2014</v>
      </c>
      <c r="O2664" s="31">
        <v>120</v>
      </c>
      <c r="P2664" s="31"/>
      <c r="Q2664" s="31"/>
      <c r="R2664" s="33"/>
      <c r="S2664" s="34" t="str">
        <f>HYPERLINK("http://www.cnpol.ru/covers/14934.jpg","фото на сайте")</f>
        <v>фото на сайте</v>
      </c>
    </row>
    <row r="2665" spans="1:19" ht="50.1" customHeight="1">
      <c r="A2665" s="31"/>
      <c r="B2665" s="32" t="s">
        <v>10240</v>
      </c>
      <c r="C2665" s="31" t="s">
        <v>37</v>
      </c>
      <c r="D2665" s="31" t="s">
        <v>10241</v>
      </c>
      <c r="E2665" s="31" t="s">
        <v>10242</v>
      </c>
      <c r="F2665" s="31" t="s">
        <v>31</v>
      </c>
      <c r="G2665" s="31">
        <v>961</v>
      </c>
      <c r="H2665" s="31">
        <v>10</v>
      </c>
      <c r="I2665" s="31">
        <v>10</v>
      </c>
      <c r="J2665" s="31" t="s">
        <v>10243</v>
      </c>
      <c r="K2665" s="31" t="s">
        <v>33</v>
      </c>
      <c r="L2665" s="31" t="s">
        <v>34</v>
      </c>
      <c r="M2665" s="31">
        <v>351</v>
      </c>
      <c r="N2665" s="31">
        <v>2022</v>
      </c>
      <c r="O2665" s="31">
        <v>355</v>
      </c>
      <c r="P2665" s="31"/>
      <c r="Q2665" s="31"/>
      <c r="R2665" s="33" t="s">
        <v>10244</v>
      </c>
      <c r="S2665" s="34" t="str">
        <f>HYPERLINK("http://www.cnpol.ru/covers/20446.jpg","фото на сайте")</f>
        <v>фото на сайте</v>
      </c>
    </row>
    <row r="2666" spans="1:19" ht="50.1" customHeight="1">
      <c r="A2666" s="31"/>
      <c r="B2666" s="32" t="s">
        <v>10245</v>
      </c>
      <c r="C2666" s="31" t="s">
        <v>390</v>
      </c>
      <c r="D2666" s="31" t="s">
        <v>2416</v>
      </c>
      <c r="E2666" s="31" t="s">
        <v>10246</v>
      </c>
      <c r="F2666" s="31">
        <v>547</v>
      </c>
      <c r="G2666" s="31">
        <v>86</v>
      </c>
      <c r="H2666" s="31">
        <v>10</v>
      </c>
      <c r="I2666" s="31">
        <v>30</v>
      </c>
      <c r="J2666" s="31" t="s">
        <v>10247</v>
      </c>
      <c r="K2666" s="31" t="s">
        <v>123</v>
      </c>
      <c r="L2666" s="31" t="s">
        <v>56</v>
      </c>
      <c r="M2666" s="31">
        <v>158</v>
      </c>
      <c r="N2666" s="31">
        <v>2015</v>
      </c>
      <c r="O2666" s="31">
        <v>76</v>
      </c>
      <c r="P2666" s="31"/>
      <c r="Q2666" s="31"/>
      <c r="R2666" s="33"/>
      <c r="S2666" s="34" t="str">
        <f>HYPERLINK("http://www.cnpol.ru/covers/16214.jpg","фото на сайте")</f>
        <v>фото на сайте</v>
      </c>
    </row>
    <row r="2667" spans="1:19" ht="50.1" customHeight="1">
      <c r="A2667" s="31"/>
      <c r="B2667" s="32" t="s">
        <v>10248</v>
      </c>
      <c r="C2667" s="31" t="s">
        <v>953</v>
      </c>
      <c r="D2667" s="31" t="s">
        <v>4244</v>
      </c>
      <c r="E2667" s="31" t="s">
        <v>10249</v>
      </c>
      <c r="F2667" s="31" t="s">
        <v>31</v>
      </c>
      <c r="G2667" s="31">
        <v>154</v>
      </c>
      <c r="H2667" s="31">
        <v>10</v>
      </c>
      <c r="I2667" s="31">
        <v>24</v>
      </c>
      <c r="J2667" s="31" t="s">
        <v>10250</v>
      </c>
      <c r="K2667" s="31" t="s">
        <v>55</v>
      </c>
      <c r="L2667" s="31" t="s">
        <v>56</v>
      </c>
      <c r="M2667" s="31">
        <v>350</v>
      </c>
      <c r="N2667" s="31">
        <v>2008</v>
      </c>
      <c r="O2667" s="31">
        <v>146</v>
      </c>
      <c r="P2667" s="31"/>
      <c r="Q2667" s="31"/>
      <c r="R2667" s="33"/>
      <c r="S2667" s="34" t="str">
        <f>HYPERLINK("http://www.cnpol.ru/covers/7689.jpg","фото на сайте")</f>
        <v>фото на сайте</v>
      </c>
    </row>
    <row r="2668" spans="1:19" ht="50.1" customHeight="1">
      <c r="A2668" s="31"/>
      <c r="B2668" s="32" t="s">
        <v>10251</v>
      </c>
      <c r="C2668" s="31" t="s">
        <v>390</v>
      </c>
      <c r="D2668" s="31" t="s">
        <v>1652</v>
      </c>
      <c r="E2668" s="31" t="s">
        <v>10252</v>
      </c>
      <c r="F2668" s="31">
        <v>919</v>
      </c>
      <c r="G2668" s="31">
        <v>86</v>
      </c>
      <c r="H2668" s="31">
        <v>10</v>
      </c>
      <c r="I2668" s="31">
        <v>30</v>
      </c>
      <c r="J2668" s="31" t="s">
        <v>10253</v>
      </c>
      <c r="K2668" s="31" t="s">
        <v>123</v>
      </c>
      <c r="L2668" s="31" t="s">
        <v>56</v>
      </c>
      <c r="M2668" s="31">
        <v>160</v>
      </c>
      <c r="N2668" s="31">
        <v>2019</v>
      </c>
      <c r="O2668" s="31">
        <v>76</v>
      </c>
      <c r="P2668" s="31"/>
      <c r="Q2668" s="31"/>
      <c r="R2668" s="33"/>
      <c r="S2668" s="34" t="str">
        <f>HYPERLINK("http://www.cnpol.ru/covers/18826.jpg","фото на сайте")</f>
        <v>фото на сайте</v>
      </c>
    </row>
    <row r="2669" spans="1:19" ht="50.1" customHeight="1">
      <c r="A2669" s="31" t="s">
        <v>43</v>
      </c>
      <c r="B2669" s="32" t="s">
        <v>10254</v>
      </c>
      <c r="C2669" s="31" t="s">
        <v>1516</v>
      </c>
      <c r="D2669" s="31" t="s">
        <v>1758</v>
      </c>
      <c r="E2669" s="31" t="s">
        <v>10255</v>
      </c>
      <c r="F2669" s="31">
        <v>46</v>
      </c>
      <c r="G2669" s="31">
        <v>106</v>
      </c>
      <c r="H2669" s="31">
        <v>10</v>
      </c>
      <c r="I2669" s="31">
        <v>30</v>
      </c>
      <c r="J2669" s="31" t="s">
        <v>10256</v>
      </c>
      <c r="K2669" s="31" t="s">
        <v>123</v>
      </c>
      <c r="L2669" s="31" t="s">
        <v>56</v>
      </c>
      <c r="M2669" s="31">
        <v>159</v>
      </c>
      <c r="N2669" s="31">
        <v>2024</v>
      </c>
      <c r="O2669" s="31">
        <v>76</v>
      </c>
      <c r="P2669" s="31"/>
      <c r="Q2669" s="31"/>
      <c r="R2669" s="33" t="s">
        <v>10257</v>
      </c>
      <c r="S2669" s="34" t="str">
        <f>HYPERLINK("http://www.cnpol.ru/covers/21205.jpg","фото на сайте")</f>
        <v>фото на сайте</v>
      </c>
    </row>
    <row r="2670" spans="1:19" ht="50.1" customHeight="1">
      <c r="A2670" s="31"/>
      <c r="B2670" s="32" t="s">
        <v>10258</v>
      </c>
      <c r="C2670" s="31" t="s">
        <v>413</v>
      </c>
      <c r="D2670" s="31" t="s">
        <v>10259</v>
      </c>
      <c r="E2670" s="31" t="s">
        <v>10260</v>
      </c>
      <c r="F2670" s="31">
        <v>132</v>
      </c>
      <c r="G2670" s="31">
        <v>117</v>
      </c>
      <c r="H2670" s="31">
        <v>10</v>
      </c>
      <c r="I2670" s="31">
        <v>36</v>
      </c>
      <c r="J2670" s="31" t="s">
        <v>10261</v>
      </c>
      <c r="K2670" s="31" t="s">
        <v>123</v>
      </c>
      <c r="L2670" s="31" t="s">
        <v>56</v>
      </c>
      <c r="M2670" s="31">
        <v>192</v>
      </c>
      <c r="N2670" s="31">
        <v>2016</v>
      </c>
      <c r="O2670" s="31">
        <v>90</v>
      </c>
      <c r="P2670" s="31"/>
      <c r="Q2670" s="31"/>
      <c r="R2670" s="33"/>
      <c r="S2670" s="34" t="str">
        <f>HYPERLINK("http://www.cnpol.ru/covers/17144.jpg","фото на сайте")</f>
        <v>фото на сайте</v>
      </c>
    </row>
    <row r="2671" spans="1:19" ht="50.1" customHeight="1">
      <c r="A2671" s="31"/>
      <c r="B2671" s="32" t="s">
        <v>10262</v>
      </c>
      <c r="C2671" s="31" t="s">
        <v>390</v>
      </c>
      <c r="D2671" s="31" t="s">
        <v>1435</v>
      </c>
      <c r="E2671" s="31" t="s">
        <v>10263</v>
      </c>
      <c r="F2671" s="31">
        <v>1057</v>
      </c>
      <c r="G2671" s="31">
        <v>86</v>
      </c>
      <c r="H2671" s="31">
        <v>10</v>
      </c>
      <c r="I2671" s="31">
        <v>30</v>
      </c>
      <c r="J2671" s="31" t="s">
        <v>10264</v>
      </c>
      <c r="K2671" s="31" t="s">
        <v>123</v>
      </c>
      <c r="L2671" s="31" t="s">
        <v>56</v>
      </c>
      <c r="M2671" s="31">
        <v>159</v>
      </c>
      <c r="N2671" s="31">
        <v>2021</v>
      </c>
      <c r="O2671" s="31">
        <v>76</v>
      </c>
      <c r="P2671" s="31"/>
      <c r="Q2671" s="31"/>
      <c r="R2671" s="33"/>
      <c r="S2671" s="34" t="str">
        <f>HYPERLINK("http://www.cnpol.ru/covers/19881.jpg","фото на сайте")</f>
        <v>фото на сайте</v>
      </c>
    </row>
    <row r="2672" spans="1:19" ht="50.1" customHeight="1">
      <c r="A2672" s="31"/>
      <c r="B2672" s="32" t="s">
        <v>10265</v>
      </c>
      <c r="C2672" s="31" t="s">
        <v>390</v>
      </c>
      <c r="D2672" s="31" t="s">
        <v>2177</v>
      </c>
      <c r="E2672" s="31" t="s">
        <v>10266</v>
      </c>
      <c r="F2672" s="31">
        <v>862</v>
      </c>
      <c r="G2672" s="31">
        <v>86</v>
      </c>
      <c r="H2672" s="31">
        <v>10</v>
      </c>
      <c r="I2672" s="31">
        <v>30</v>
      </c>
      <c r="J2672" s="31" t="s">
        <v>10267</v>
      </c>
      <c r="K2672" s="31" t="s">
        <v>123</v>
      </c>
      <c r="L2672" s="31" t="s">
        <v>56</v>
      </c>
      <c r="M2672" s="31">
        <v>160</v>
      </c>
      <c r="N2672" s="31">
        <v>2019</v>
      </c>
      <c r="O2672" s="31">
        <v>76</v>
      </c>
      <c r="P2672" s="31"/>
      <c r="Q2672" s="31"/>
      <c r="R2672" s="33"/>
      <c r="S2672" s="34" t="str">
        <f>HYPERLINK("http://www.cnpol.ru/covers/18461.jpg","фото на сайте")</f>
        <v>фото на сайте</v>
      </c>
    </row>
    <row r="2673" spans="1:19" ht="50.1" customHeight="1">
      <c r="A2673" s="31"/>
      <c r="B2673" s="32" t="s">
        <v>10268</v>
      </c>
      <c r="C2673" s="31" t="s">
        <v>390</v>
      </c>
      <c r="D2673" s="31" t="s">
        <v>1805</v>
      </c>
      <c r="E2673" s="31" t="s">
        <v>10269</v>
      </c>
      <c r="F2673" s="31">
        <v>348</v>
      </c>
      <c r="G2673" s="31">
        <v>86</v>
      </c>
      <c r="H2673" s="31">
        <v>10</v>
      </c>
      <c r="I2673" s="31">
        <v>30</v>
      </c>
      <c r="J2673" s="31" t="s">
        <v>10270</v>
      </c>
      <c r="K2673" s="31" t="s">
        <v>123</v>
      </c>
      <c r="L2673" s="31" t="s">
        <v>56</v>
      </c>
      <c r="M2673" s="31">
        <v>158</v>
      </c>
      <c r="N2673" s="31">
        <v>2013</v>
      </c>
      <c r="O2673" s="31">
        <v>76</v>
      </c>
      <c r="P2673" s="31"/>
      <c r="Q2673" s="31"/>
      <c r="R2673" s="33"/>
      <c r="S2673" s="34" t="str">
        <f>HYPERLINK("http://www.cnpol.ru/covers/14566.jpg","фото на сайте")</f>
        <v>фото на сайте</v>
      </c>
    </row>
    <row r="2674" spans="1:19" ht="50.1" customHeight="1">
      <c r="A2674" s="31" t="s">
        <v>43</v>
      </c>
      <c r="B2674" s="32" t="s">
        <v>10271</v>
      </c>
      <c r="C2674" s="31" t="s">
        <v>37</v>
      </c>
      <c r="D2674" s="31" t="s">
        <v>10272</v>
      </c>
      <c r="E2674" s="31" t="s">
        <v>10273</v>
      </c>
      <c r="F2674" s="31" t="s">
        <v>31</v>
      </c>
      <c r="G2674" s="35">
        <v>1893</v>
      </c>
      <c r="H2674" s="31">
        <v>10</v>
      </c>
      <c r="I2674" s="31">
        <v>4</v>
      </c>
      <c r="J2674" s="31" t="s">
        <v>10274</v>
      </c>
      <c r="K2674" s="31" t="s">
        <v>41</v>
      </c>
      <c r="L2674" s="31" t="s">
        <v>34</v>
      </c>
      <c r="M2674" s="31">
        <v>835</v>
      </c>
      <c r="N2674" s="31" t="s">
        <v>431</v>
      </c>
      <c r="O2674" s="31" t="s">
        <v>220</v>
      </c>
      <c r="P2674" s="31"/>
      <c r="Q2674" s="31"/>
      <c r="R2674" s="33" t="s">
        <v>10275</v>
      </c>
      <c r="S2674" s="34" t="str">
        <f>HYPERLINK("http://www.cnpol.ru/covers/21387.jpg","фото на сайте")</f>
        <v>фото на сайте</v>
      </c>
    </row>
    <row r="2675" spans="1:19" ht="50.1" customHeight="1">
      <c r="A2675" s="31"/>
      <c r="B2675" s="32" t="s">
        <v>10276</v>
      </c>
      <c r="C2675" s="31" t="s">
        <v>546</v>
      </c>
      <c r="D2675" s="31" t="s">
        <v>1656</v>
      </c>
      <c r="E2675" s="31" t="s">
        <v>10277</v>
      </c>
      <c r="F2675" s="31">
        <v>186</v>
      </c>
      <c r="G2675" s="31">
        <v>93</v>
      </c>
      <c r="H2675" s="31">
        <v>10</v>
      </c>
      <c r="I2675" s="31">
        <v>30</v>
      </c>
      <c r="J2675" s="31" t="s">
        <v>10278</v>
      </c>
      <c r="K2675" s="31" t="s">
        <v>123</v>
      </c>
      <c r="L2675" s="31" t="s">
        <v>56</v>
      </c>
      <c r="M2675" s="31">
        <v>160</v>
      </c>
      <c r="N2675" s="31">
        <v>2016</v>
      </c>
      <c r="O2675" s="31">
        <v>76</v>
      </c>
      <c r="P2675" s="31"/>
      <c r="Q2675" s="31"/>
      <c r="R2675" s="33"/>
      <c r="S2675" s="34" t="str">
        <f>HYPERLINK("http://www.cnpol.ru/covers/16998.jpg","фото на сайте")</f>
        <v>фото на сайте</v>
      </c>
    </row>
    <row r="2676" spans="1:19" ht="50.1" customHeight="1">
      <c r="A2676" s="31"/>
      <c r="B2676" s="32" t="s">
        <v>10279</v>
      </c>
      <c r="C2676" s="31" t="s">
        <v>400</v>
      </c>
      <c r="D2676" s="31" t="s">
        <v>3260</v>
      </c>
      <c r="E2676" s="31" t="s">
        <v>10280</v>
      </c>
      <c r="F2676" s="31" t="s">
        <v>31</v>
      </c>
      <c r="G2676" s="31">
        <v>503</v>
      </c>
      <c r="H2676" s="31">
        <v>10</v>
      </c>
      <c r="I2676" s="31">
        <v>10</v>
      </c>
      <c r="J2676" s="31" t="s">
        <v>10281</v>
      </c>
      <c r="K2676" s="31" t="s">
        <v>33</v>
      </c>
      <c r="L2676" s="31" t="s">
        <v>34</v>
      </c>
      <c r="M2676" s="31">
        <v>448</v>
      </c>
      <c r="N2676" s="31">
        <v>2017</v>
      </c>
      <c r="O2676" s="31">
        <v>348</v>
      </c>
      <c r="P2676" s="31"/>
      <c r="Q2676" s="31"/>
      <c r="R2676" s="33"/>
      <c r="S2676" s="34" t="str">
        <f>HYPERLINK("http://www.cnpol.ru/covers/17759.jpg","фото на сайте")</f>
        <v>фото на сайте</v>
      </c>
    </row>
    <row r="2677" spans="1:19" ht="50.1" customHeight="1">
      <c r="A2677" s="31"/>
      <c r="B2677" s="32" t="s">
        <v>10282</v>
      </c>
      <c r="C2677" s="31" t="s">
        <v>10283</v>
      </c>
      <c r="D2677" s="31" t="s">
        <v>10284</v>
      </c>
      <c r="E2677" s="31" t="s">
        <v>10285</v>
      </c>
      <c r="F2677" s="31" t="s">
        <v>31</v>
      </c>
      <c r="G2677" s="31">
        <v>272</v>
      </c>
      <c r="H2677" s="31">
        <v>10</v>
      </c>
      <c r="I2677" s="31">
        <v>12</v>
      </c>
      <c r="J2677" s="31" t="s">
        <v>10286</v>
      </c>
      <c r="K2677" s="31" t="s">
        <v>33</v>
      </c>
      <c r="L2677" s="31" t="s">
        <v>34</v>
      </c>
      <c r="M2677" s="31">
        <v>445</v>
      </c>
      <c r="N2677" s="31">
        <v>2002</v>
      </c>
      <c r="O2677" s="31">
        <v>358</v>
      </c>
      <c r="P2677" s="31"/>
      <c r="Q2677" s="31"/>
      <c r="R2677" s="33"/>
      <c r="S2677" s="34" t="str">
        <f>HYPERLINK("http://www.cnpol.ru/covers/3078.jpg","фото на сайте")</f>
        <v>фото на сайте</v>
      </c>
    </row>
    <row r="2678" spans="1:19" ht="50.1" customHeight="1">
      <c r="A2678" s="31"/>
      <c r="B2678" s="32" t="s">
        <v>10287</v>
      </c>
      <c r="C2678" s="31" t="s">
        <v>563</v>
      </c>
      <c r="D2678" s="31" t="s">
        <v>564</v>
      </c>
      <c r="E2678" s="31" t="s">
        <v>10288</v>
      </c>
      <c r="F2678" s="31" t="s">
        <v>31</v>
      </c>
      <c r="G2678" s="31">
        <v>194</v>
      </c>
      <c r="H2678" s="31">
        <v>10</v>
      </c>
      <c r="I2678" s="31">
        <v>40</v>
      </c>
      <c r="J2678" s="31" t="s">
        <v>10289</v>
      </c>
      <c r="K2678" s="31" t="s">
        <v>130</v>
      </c>
      <c r="L2678" s="31" t="s">
        <v>56</v>
      </c>
      <c r="M2678" s="31">
        <v>159</v>
      </c>
      <c r="N2678" s="31">
        <v>2005</v>
      </c>
      <c r="O2678" s="31">
        <v>100</v>
      </c>
      <c r="P2678" s="31"/>
      <c r="Q2678" s="31"/>
      <c r="R2678" s="33"/>
      <c r="S2678" s="34" t="str">
        <f>HYPERLINK("http://www.cnpol.ru/covers/5579.jpg","фото на сайте")</f>
        <v>фото на сайте</v>
      </c>
    </row>
    <row r="2679" spans="1:19" ht="50.1" customHeight="1">
      <c r="A2679" s="31"/>
      <c r="B2679" s="32" t="s">
        <v>10290</v>
      </c>
      <c r="C2679" s="31" t="s">
        <v>1781</v>
      </c>
      <c r="D2679" s="31" t="s">
        <v>10291</v>
      </c>
      <c r="E2679" s="31" t="s">
        <v>10292</v>
      </c>
      <c r="F2679" s="31" t="s">
        <v>31</v>
      </c>
      <c r="G2679" s="31">
        <v>539</v>
      </c>
      <c r="H2679" s="31">
        <v>10</v>
      </c>
      <c r="I2679" s="31">
        <v>12</v>
      </c>
      <c r="J2679" s="31" t="s">
        <v>10293</v>
      </c>
      <c r="K2679" s="31" t="s">
        <v>33</v>
      </c>
      <c r="L2679" s="31" t="s">
        <v>34</v>
      </c>
      <c r="M2679" s="31">
        <v>416</v>
      </c>
      <c r="N2679" s="31">
        <v>2016</v>
      </c>
      <c r="O2679" s="31">
        <v>328</v>
      </c>
      <c r="P2679" s="31"/>
      <c r="Q2679" s="31"/>
      <c r="R2679" s="33"/>
      <c r="S2679" s="34" t="str">
        <f>HYPERLINK("http://www.cnpol.ru/covers/16943.jpg","фото на сайте")</f>
        <v>фото на сайте</v>
      </c>
    </row>
    <row r="2680" spans="1:19" ht="50.1" customHeight="1">
      <c r="A2680" s="31"/>
      <c r="B2680" s="32" t="s">
        <v>10294</v>
      </c>
      <c r="C2680" s="31" t="s">
        <v>10295</v>
      </c>
      <c r="D2680" s="31" t="s">
        <v>10296</v>
      </c>
      <c r="E2680" s="31" t="s">
        <v>10297</v>
      </c>
      <c r="F2680" s="31" t="s">
        <v>31</v>
      </c>
      <c r="G2680" s="31">
        <v>280</v>
      </c>
      <c r="H2680" s="31">
        <v>10</v>
      </c>
      <c r="I2680" s="31">
        <v>8</v>
      </c>
      <c r="J2680" s="31" t="s">
        <v>10298</v>
      </c>
      <c r="K2680" s="31" t="s">
        <v>130</v>
      </c>
      <c r="L2680" s="31" t="s">
        <v>56</v>
      </c>
      <c r="M2680" s="31">
        <v>318</v>
      </c>
      <c r="N2680" s="31">
        <v>2024</v>
      </c>
      <c r="O2680" s="31">
        <v>186</v>
      </c>
      <c r="P2680" s="31"/>
      <c r="Q2680" s="31"/>
      <c r="R2680" s="33" t="s">
        <v>10299</v>
      </c>
      <c r="S2680" s="34" t="str">
        <f>HYPERLINK("http://www.cnpol.ru/covers/20975.jpg","фото на сайте")</f>
        <v>фото на сайте</v>
      </c>
    </row>
    <row r="2681" spans="1:19" ht="50.1" customHeight="1">
      <c r="A2681" s="31"/>
      <c r="B2681" s="32" t="s">
        <v>10300</v>
      </c>
      <c r="C2681" s="31" t="s">
        <v>546</v>
      </c>
      <c r="D2681" s="31" t="s">
        <v>6972</v>
      </c>
      <c r="E2681" s="31" t="s">
        <v>10301</v>
      </c>
      <c r="F2681" s="31">
        <v>418</v>
      </c>
      <c r="G2681" s="31">
        <v>93</v>
      </c>
      <c r="H2681" s="31">
        <v>10</v>
      </c>
      <c r="I2681" s="31">
        <v>30</v>
      </c>
      <c r="J2681" s="31" t="s">
        <v>10302</v>
      </c>
      <c r="K2681" s="31" t="s">
        <v>123</v>
      </c>
      <c r="L2681" s="31" t="s">
        <v>56</v>
      </c>
      <c r="M2681" s="31">
        <v>159</v>
      </c>
      <c r="N2681" s="31">
        <v>2022</v>
      </c>
      <c r="O2681" s="31">
        <v>76</v>
      </c>
      <c r="P2681" s="31"/>
      <c r="Q2681" s="31"/>
      <c r="R2681" s="33" t="s">
        <v>10303</v>
      </c>
      <c r="S2681" s="34" t="str">
        <f>HYPERLINK("http://www.cnpol.ru/covers/20479.jpg","фото на сайте")</f>
        <v>фото на сайте</v>
      </c>
    </row>
    <row r="2682" spans="1:19" ht="50.1" customHeight="1">
      <c r="A2682" s="31"/>
      <c r="B2682" s="32" t="s">
        <v>10304</v>
      </c>
      <c r="C2682" s="31" t="s">
        <v>546</v>
      </c>
      <c r="D2682" s="31" t="s">
        <v>1758</v>
      </c>
      <c r="E2682" s="31" t="s">
        <v>10305</v>
      </c>
      <c r="F2682" s="31">
        <v>328</v>
      </c>
      <c r="G2682" s="31">
        <v>93</v>
      </c>
      <c r="H2682" s="31">
        <v>10</v>
      </c>
      <c r="I2682" s="31">
        <v>30</v>
      </c>
      <c r="J2682" s="31" t="s">
        <v>10306</v>
      </c>
      <c r="K2682" s="31" t="s">
        <v>123</v>
      </c>
      <c r="L2682" s="31" t="s">
        <v>56</v>
      </c>
      <c r="M2682" s="31">
        <v>160</v>
      </c>
      <c r="N2682" s="31">
        <v>2019</v>
      </c>
      <c r="O2682" s="31">
        <v>76</v>
      </c>
      <c r="P2682" s="31"/>
      <c r="Q2682" s="31"/>
      <c r="R2682" s="33"/>
      <c r="S2682" s="34" t="str">
        <f>HYPERLINK("http://www.cnpol.ru/covers/18910.jpg","фото на сайте")</f>
        <v>фото на сайте</v>
      </c>
    </row>
    <row r="2683" spans="1:19" ht="50.1" customHeight="1">
      <c r="A2683" s="31"/>
      <c r="B2683" s="32" t="s">
        <v>10307</v>
      </c>
      <c r="C2683" s="31" t="s">
        <v>390</v>
      </c>
      <c r="D2683" s="31" t="s">
        <v>9704</v>
      </c>
      <c r="E2683" s="31" t="s">
        <v>10308</v>
      </c>
      <c r="F2683" s="31">
        <v>476</v>
      </c>
      <c r="G2683" s="31">
        <v>86</v>
      </c>
      <c r="H2683" s="31">
        <v>10</v>
      </c>
      <c r="I2683" s="31">
        <v>30</v>
      </c>
      <c r="J2683" s="31" t="s">
        <v>10309</v>
      </c>
      <c r="K2683" s="31" t="s">
        <v>123</v>
      </c>
      <c r="L2683" s="31" t="s">
        <v>56</v>
      </c>
      <c r="M2683" s="31">
        <v>158</v>
      </c>
      <c r="N2683" s="31">
        <v>2014</v>
      </c>
      <c r="O2683" s="31">
        <v>76</v>
      </c>
      <c r="P2683" s="31"/>
      <c r="Q2683" s="31"/>
      <c r="R2683" s="33"/>
      <c r="S2683" s="34" t="str">
        <f>HYPERLINK("http://www.cnpol.ru/covers/15678.jpg","фото на сайте")</f>
        <v>фото на сайте</v>
      </c>
    </row>
    <row r="2684" spans="1:19" ht="50.1" customHeight="1">
      <c r="A2684" s="31"/>
      <c r="B2684" s="32" t="s">
        <v>10310</v>
      </c>
      <c r="C2684" s="31" t="s">
        <v>546</v>
      </c>
      <c r="D2684" s="31" t="s">
        <v>653</v>
      </c>
      <c r="E2684" s="31" t="s">
        <v>10311</v>
      </c>
      <c r="F2684" s="31">
        <v>352</v>
      </c>
      <c r="G2684" s="31">
        <v>93</v>
      </c>
      <c r="H2684" s="31">
        <v>10</v>
      </c>
      <c r="I2684" s="31">
        <v>30</v>
      </c>
      <c r="J2684" s="31" t="s">
        <v>10312</v>
      </c>
      <c r="K2684" s="31" t="s">
        <v>123</v>
      </c>
      <c r="L2684" s="31" t="s">
        <v>56</v>
      </c>
      <c r="M2684" s="31">
        <v>160</v>
      </c>
      <c r="N2684" s="31">
        <v>2020</v>
      </c>
      <c r="O2684" s="31">
        <v>76</v>
      </c>
      <c r="P2684" s="31"/>
      <c r="Q2684" s="31"/>
      <c r="R2684" s="33"/>
      <c r="S2684" s="34" t="str">
        <f>HYPERLINK("http://www.cnpol.ru/covers/19195.jpg","фото на сайте")</f>
        <v>фото на сайте</v>
      </c>
    </row>
    <row r="2685" spans="1:19" ht="50.1" customHeight="1">
      <c r="A2685" s="31"/>
      <c r="B2685" s="32" t="s">
        <v>10313</v>
      </c>
      <c r="C2685" s="31" t="s">
        <v>2420</v>
      </c>
      <c r="D2685" s="31" t="s">
        <v>10314</v>
      </c>
      <c r="E2685" s="31" t="s">
        <v>10315</v>
      </c>
      <c r="F2685" s="31" t="s">
        <v>31</v>
      </c>
      <c r="G2685" s="31">
        <v>88</v>
      </c>
      <c r="H2685" s="31">
        <v>10</v>
      </c>
      <c r="I2685" s="31">
        <v>30</v>
      </c>
      <c r="J2685" s="31" t="s">
        <v>10316</v>
      </c>
      <c r="K2685" s="31" t="s">
        <v>123</v>
      </c>
      <c r="L2685" s="31" t="s">
        <v>56</v>
      </c>
      <c r="M2685" s="31">
        <v>191</v>
      </c>
      <c r="N2685" s="31">
        <v>2005</v>
      </c>
      <c r="O2685" s="31">
        <v>90</v>
      </c>
      <c r="P2685" s="31"/>
      <c r="Q2685" s="31"/>
      <c r="R2685" s="33"/>
      <c r="S2685" s="34" t="str">
        <f>HYPERLINK("http://www.cnpol.ru/covers/5695.jpg","фото на сайте")</f>
        <v>фото на сайте</v>
      </c>
    </row>
    <row r="2686" spans="1:19" ht="50.1" customHeight="1">
      <c r="A2686" s="31"/>
      <c r="B2686" s="32" t="s">
        <v>10317</v>
      </c>
      <c r="C2686" s="31" t="s">
        <v>520</v>
      </c>
      <c r="D2686" s="31" t="s">
        <v>10318</v>
      </c>
      <c r="E2686" s="31" t="s">
        <v>10319</v>
      </c>
      <c r="F2686" s="31">
        <v>91</v>
      </c>
      <c r="G2686" s="31">
        <v>117</v>
      </c>
      <c r="H2686" s="31">
        <v>10</v>
      </c>
      <c r="I2686" s="31">
        <v>20</v>
      </c>
      <c r="J2686" s="31" t="s">
        <v>10320</v>
      </c>
      <c r="K2686" s="31" t="s">
        <v>123</v>
      </c>
      <c r="L2686" s="31" t="s">
        <v>56</v>
      </c>
      <c r="M2686" s="31">
        <v>191</v>
      </c>
      <c r="N2686" s="31">
        <v>2022</v>
      </c>
      <c r="O2686" s="31">
        <v>90</v>
      </c>
      <c r="P2686" s="31"/>
      <c r="Q2686" s="31"/>
      <c r="R2686" s="33" t="s">
        <v>10321</v>
      </c>
      <c r="S2686" s="34" t="str">
        <f>HYPERLINK("http://www.cnpol.ru/covers/20421.jpg","фото на сайте")</f>
        <v>фото на сайте</v>
      </c>
    </row>
    <row r="2687" spans="1:19" ht="50.1" customHeight="1">
      <c r="A2687" s="31"/>
      <c r="B2687" s="32" t="s">
        <v>10322</v>
      </c>
      <c r="C2687" s="31" t="s">
        <v>390</v>
      </c>
      <c r="D2687" s="31" t="s">
        <v>2674</v>
      </c>
      <c r="E2687" s="31" t="s">
        <v>10323</v>
      </c>
      <c r="F2687" s="31">
        <v>1005</v>
      </c>
      <c r="G2687" s="31">
        <v>86</v>
      </c>
      <c r="H2687" s="31">
        <v>10</v>
      </c>
      <c r="I2687" s="31">
        <v>30</v>
      </c>
      <c r="J2687" s="31" t="s">
        <v>10324</v>
      </c>
      <c r="K2687" s="31" t="s">
        <v>123</v>
      </c>
      <c r="L2687" s="31" t="s">
        <v>56</v>
      </c>
      <c r="M2687" s="31">
        <v>160</v>
      </c>
      <c r="N2687" s="31">
        <v>2020</v>
      </c>
      <c r="O2687" s="31">
        <v>76</v>
      </c>
      <c r="P2687" s="31"/>
      <c r="Q2687" s="31"/>
      <c r="R2687" s="33"/>
      <c r="S2687" s="34" t="str">
        <f>HYPERLINK("http://www.cnpol.ru/covers/19419.jpg","фото на сайте")</f>
        <v>фото на сайте</v>
      </c>
    </row>
    <row r="2688" spans="1:19" ht="50.1" customHeight="1">
      <c r="A2688" s="31"/>
      <c r="B2688" s="32" t="s">
        <v>10325</v>
      </c>
      <c r="C2688" s="31" t="s">
        <v>546</v>
      </c>
      <c r="D2688" s="31" t="s">
        <v>8877</v>
      </c>
      <c r="E2688" s="31" t="s">
        <v>10326</v>
      </c>
      <c r="F2688" s="31">
        <v>134</v>
      </c>
      <c r="G2688" s="31">
        <v>93</v>
      </c>
      <c r="H2688" s="31">
        <v>10</v>
      </c>
      <c r="I2688" s="31">
        <v>30</v>
      </c>
      <c r="J2688" s="31" t="s">
        <v>10327</v>
      </c>
      <c r="K2688" s="31" t="s">
        <v>123</v>
      </c>
      <c r="L2688" s="31" t="s">
        <v>56</v>
      </c>
      <c r="M2688" s="31">
        <v>158</v>
      </c>
      <c r="N2688" s="31">
        <v>2015</v>
      </c>
      <c r="O2688" s="31">
        <v>76</v>
      </c>
      <c r="P2688" s="31"/>
      <c r="Q2688" s="31"/>
      <c r="R2688" s="33"/>
      <c r="S2688" s="34" t="str">
        <f>HYPERLINK("http://www.cnpol.ru/covers/16215.jpg","фото на сайте")</f>
        <v>фото на сайте</v>
      </c>
    </row>
    <row r="2689" spans="1:19" ht="50.1" customHeight="1">
      <c r="A2689" s="31"/>
      <c r="B2689" s="32" t="s">
        <v>10328</v>
      </c>
      <c r="C2689" s="31" t="s">
        <v>390</v>
      </c>
      <c r="D2689" s="31" t="s">
        <v>1801</v>
      </c>
      <c r="E2689" s="31" t="s">
        <v>10329</v>
      </c>
      <c r="F2689" s="31">
        <v>1022</v>
      </c>
      <c r="G2689" s="31">
        <v>86</v>
      </c>
      <c r="H2689" s="31">
        <v>10</v>
      </c>
      <c r="I2689" s="31">
        <v>30</v>
      </c>
      <c r="J2689" s="31" t="s">
        <v>10330</v>
      </c>
      <c r="K2689" s="31" t="s">
        <v>123</v>
      </c>
      <c r="L2689" s="31" t="s">
        <v>56</v>
      </c>
      <c r="M2689" s="31">
        <v>160</v>
      </c>
      <c r="N2689" s="31">
        <v>2021</v>
      </c>
      <c r="O2689" s="31">
        <v>76</v>
      </c>
      <c r="P2689" s="31"/>
      <c r="Q2689" s="31"/>
      <c r="R2689" s="33"/>
      <c r="S2689" s="34" t="str">
        <f>HYPERLINK("http://www.cnpol.ru/covers/19557.jpg","фото на сайте")</f>
        <v>фото на сайте</v>
      </c>
    </row>
    <row r="2690" spans="1:19" ht="50.1" customHeight="1">
      <c r="A2690" s="31"/>
      <c r="B2690" s="32" t="s">
        <v>10331</v>
      </c>
      <c r="C2690" s="31" t="s">
        <v>520</v>
      </c>
      <c r="D2690" s="31" t="s">
        <v>8286</v>
      </c>
      <c r="E2690" s="31" t="s">
        <v>10332</v>
      </c>
      <c r="F2690" s="31">
        <v>55</v>
      </c>
      <c r="G2690" s="31">
        <v>117</v>
      </c>
      <c r="H2690" s="31">
        <v>10</v>
      </c>
      <c r="I2690" s="31">
        <v>30</v>
      </c>
      <c r="J2690" s="31" t="s">
        <v>10333</v>
      </c>
      <c r="K2690" s="31" t="s">
        <v>123</v>
      </c>
      <c r="L2690" s="31" t="s">
        <v>56</v>
      </c>
      <c r="M2690" s="31">
        <v>192</v>
      </c>
      <c r="N2690" s="31">
        <v>2018</v>
      </c>
      <c r="O2690" s="31">
        <v>90</v>
      </c>
      <c r="P2690" s="31"/>
      <c r="Q2690" s="31"/>
      <c r="R2690" s="33"/>
      <c r="S2690" s="34" t="str">
        <f>HYPERLINK("http://www.cnpol.ru/covers/18018.jpg","фото на сайте")</f>
        <v>фото на сайте</v>
      </c>
    </row>
    <row r="2691" spans="1:19" ht="50.1" customHeight="1">
      <c r="A2691" s="31"/>
      <c r="B2691" s="32" t="s">
        <v>10334</v>
      </c>
      <c r="C2691" s="31" t="s">
        <v>390</v>
      </c>
      <c r="D2691" s="31" t="s">
        <v>3116</v>
      </c>
      <c r="E2691" s="31" t="s">
        <v>10335</v>
      </c>
      <c r="F2691" s="31">
        <v>965</v>
      </c>
      <c r="G2691" s="31">
        <v>86</v>
      </c>
      <c r="H2691" s="31">
        <v>10</v>
      </c>
      <c r="I2691" s="31">
        <v>30</v>
      </c>
      <c r="J2691" s="31" t="s">
        <v>10336</v>
      </c>
      <c r="K2691" s="31" t="s">
        <v>123</v>
      </c>
      <c r="L2691" s="31" t="s">
        <v>56</v>
      </c>
      <c r="M2691" s="31">
        <v>160</v>
      </c>
      <c r="N2691" s="31">
        <v>2020</v>
      </c>
      <c r="O2691" s="31">
        <v>76</v>
      </c>
      <c r="P2691" s="31"/>
      <c r="Q2691" s="31"/>
      <c r="R2691" s="33"/>
      <c r="S2691" s="34" t="str">
        <f>HYPERLINK("http://www.cnpol.ru/covers/19089.jpg","фото на сайте")</f>
        <v>фото на сайте</v>
      </c>
    </row>
    <row r="2692" spans="1:19" ht="50.1" customHeight="1">
      <c r="A2692" s="31"/>
      <c r="B2692" s="32" t="s">
        <v>10337</v>
      </c>
      <c r="C2692" s="31" t="s">
        <v>390</v>
      </c>
      <c r="D2692" s="31" t="s">
        <v>1805</v>
      </c>
      <c r="E2692" s="31" t="s">
        <v>10338</v>
      </c>
      <c r="F2692" s="31">
        <v>550</v>
      </c>
      <c r="G2692" s="31">
        <v>86</v>
      </c>
      <c r="H2692" s="31">
        <v>10</v>
      </c>
      <c r="I2692" s="31">
        <v>30</v>
      </c>
      <c r="J2692" s="31" t="s">
        <v>10339</v>
      </c>
      <c r="K2692" s="31" t="s">
        <v>123</v>
      </c>
      <c r="L2692" s="31" t="s">
        <v>56</v>
      </c>
      <c r="M2692" s="31">
        <v>158</v>
      </c>
      <c r="N2692" s="31">
        <v>2015</v>
      </c>
      <c r="O2692" s="31">
        <v>76</v>
      </c>
      <c r="P2692" s="31"/>
      <c r="Q2692" s="31"/>
      <c r="R2692" s="33"/>
      <c r="S2692" s="34" t="str">
        <f>HYPERLINK("http://www.cnpol.ru/covers/16224.jpg","фото на сайте")</f>
        <v>фото на сайте</v>
      </c>
    </row>
    <row r="2693" spans="1:19" ht="50.1" customHeight="1">
      <c r="A2693" s="31"/>
      <c r="B2693" s="32" t="s">
        <v>10340</v>
      </c>
      <c r="C2693" s="31" t="s">
        <v>390</v>
      </c>
      <c r="D2693" s="31" t="s">
        <v>1520</v>
      </c>
      <c r="E2693" s="31" t="s">
        <v>10341</v>
      </c>
      <c r="F2693" s="31">
        <v>665</v>
      </c>
      <c r="G2693" s="31">
        <v>86</v>
      </c>
      <c r="H2693" s="31">
        <v>10</v>
      </c>
      <c r="I2693" s="31">
        <v>30</v>
      </c>
      <c r="J2693" s="31" t="s">
        <v>10342</v>
      </c>
      <c r="K2693" s="31" t="s">
        <v>123</v>
      </c>
      <c r="L2693" s="31" t="s">
        <v>56</v>
      </c>
      <c r="M2693" s="31">
        <v>160</v>
      </c>
      <c r="N2693" s="31">
        <v>2016</v>
      </c>
      <c r="O2693" s="31">
        <v>76</v>
      </c>
      <c r="P2693" s="31"/>
      <c r="Q2693" s="31"/>
      <c r="R2693" s="33"/>
      <c r="S2693" s="34" t="str">
        <f>HYPERLINK("http://www.cnpol.ru/covers/17115.jpg","фото на сайте")</f>
        <v>фото на сайте</v>
      </c>
    </row>
    <row r="2694" spans="1:19" ht="50.1" customHeight="1">
      <c r="A2694" s="31"/>
      <c r="B2694" s="32" t="s">
        <v>10343</v>
      </c>
      <c r="C2694" s="31" t="s">
        <v>520</v>
      </c>
      <c r="D2694" s="31" t="s">
        <v>3749</v>
      </c>
      <c r="E2694" s="31" t="s">
        <v>10344</v>
      </c>
      <c r="F2694" s="31">
        <v>26</v>
      </c>
      <c r="G2694" s="31">
        <v>117</v>
      </c>
      <c r="H2694" s="31">
        <v>10</v>
      </c>
      <c r="I2694" s="31">
        <v>30</v>
      </c>
      <c r="J2694" s="31" t="s">
        <v>10345</v>
      </c>
      <c r="K2694" s="31" t="s">
        <v>123</v>
      </c>
      <c r="L2694" s="31" t="s">
        <v>56</v>
      </c>
      <c r="M2694" s="31">
        <v>190</v>
      </c>
      <c r="N2694" s="31">
        <v>2016</v>
      </c>
      <c r="O2694" s="31">
        <v>90</v>
      </c>
      <c r="P2694" s="31"/>
      <c r="Q2694" s="31"/>
      <c r="R2694" s="33"/>
      <c r="S2694" s="34" t="str">
        <f>HYPERLINK("http://www.cnpol.ru/covers/16724.jpg","фото на сайте")</f>
        <v>фото на сайте</v>
      </c>
    </row>
    <row r="2695" spans="1:19" ht="50.1" customHeight="1">
      <c r="A2695" s="31"/>
      <c r="B2695" s="32" t="s">
        <v>10346</v>
      </c>
      <c r="C2695" s="31" t="s">
        <v>576</v>
      </c>
      <c r="D2695" s="31" t="s">
        <v>577</v>
      </c>
      <c r="E2695" s="31" t="s">
        <v>10347</v>
      </c>
      <c r="F2695" s="31" t="s">
        <v>31</v>
      </c>
      <c r="G2695" s="31">
        <v>226</v>
      </c>
      <c r="H2695" s="31">
        <v>10</v>
      </c>
      <c r="I2695" s="31">
        <v>20</v>
      </c>
      <c r="J2695" s="31" t="s">
        <v>10348</v>
      </c>
      <c r="K2695" s="31" t="s">
        <v>123</v>
      </c>
      <c r="L2695" s="31" t="s">
        <v>56</v>
      </c>
      <c r="M2695" s="31">
        <v>288</v>
      </c>
      <c r="N2695" s="31">
        <v>2017</v>
      </c>
      <c r="O2695" s="31">
        <v>134</v>
      </c>
      <c r="P2695" s="31"/>
      <c r="Q2695" s="31"/>
      <c r="R2695" s="33"/>
      <c r="S2695" s="34" t="str">
        <f>HYPERLINK("http://www.cnpol.ru/covers/17661.jpg","фото на сайте")</f>
        <v>фото на сайте</v>
      </c>
    </row>
    <row r="2696" spans="1:19" ht="50.1" customHeight="1">
      <c r="A2696" s="31"/>
      <c r="B2696" s="32" t="s">
        <v>10349</v>
      </c>
      <c r="C2696" s="31" t="s">
        <v>380</v>
      </c>
      <c r="D2696" s="31" t="s">
        <v>10350</v>
      </c>
      <c r="E2696" s="31" t="s">
        <v>10351</v>
      </c>
      <c r="F2696" s="31">
        <v>1</v>
      </c>
      <c r="G2696" s="35">
        <v>1528</v>
      </c>
      <c r="H2696" s="31">
        <v>10</v>
      </c>
      <c r="I2696" s="31">
        <v>8</v>
      </c>
      <c r="J2696" s="31" t="s">
        <v>10352</v>
      </c>
      <c r="K2696" s="31" t="s">
        <v>41</v>
      </c>
      <c r="L2696" s="31" t="s">
        <v>304</v>
      </c>
      <c r="M2696" s="31">
        <v>768</v>
      </c>
      <c r="N2696" s="31">
        <v>2023</v>
      </c>
      <c r="O2696" s="31">
        <v>810</v>
      </c>
      <c r="P2696" s="31"/>
      <c r="Q2696" s="31"/>
      <c r="R2696" s="33" t="s">
        <v>10353</v>
      </c>
      <c r="S2696" s="34" t="str">
        <f>HYPERLINK("http://www.cnpol.ru/covers/20524.jpg","фото на сайте")</f>
        <v>фото на сайте</v>
      </c>
    </row>
    <row r="2697" spans="1:19" ht="50.1" customHeight="1">
      <c r="A2697" s="31"/>
      <c r="B2697" s="32" t="s">
        <v>10354</v>
      </c>
      <c r="C2697" s="31" t="s">
        <v>380</v>
      </c>
      <c r="D2697" s="31" t="s">
        <v>10350</v>
      </c>
      <c r="E2697" s="31" t="s">
        <v>10355</v>
      </c>
      <c r="F2697" s="31">
        <v>2</v>
      </c>
      <c r="G2697" s="35">
        <v>1528</v>
      </c>
      <c r="H2697" s="31">
        <v>10</v>
      </c>
      <c r="I2697" s="31">
        <v>6</v>
      </c>
      <c r="J2697" s="31" t="s">
        <v>10356</v>
      </c>
      <c r="K2697" s="31" t="s">
        <v>41</v>
      </c>
      <c r="L2697" s="31" t="s">
        <v>304</v>
      </c>
      <c r="M2697" s="31">
        <v>831</v>
      </c>
      <c r="N2697" s="31">
        <v>2023</v>
      </c>
      <c r="O2697" s="31">
        <v>820</v>
      </c>
      <c r="P2697" s="31"/>
      <c r="Q2697" s="31"/>
      <c r="R2697" s="33" t="s">
        <v>10357</v>
      </c>
      <c r="S2697" s="34" t="str">
        <f>HYPERLINK("http://www.cnpol.ru/covers/20552.jpg","фото на сайте")</f>
        <v>фото на сайте</v>
      </c>
    </row>
    <row r="2698" spans="1:19" ht="50.1" customHeight="1">
      <c r="A2698" s="31"/>
      <c r="B2698" s="32" t="s">
        <v>10358</v>
      </c>
      <c r="C2698" s="31" t="s">
        <v>380</v>
      </c>
      <c r="D2698" s="31" t="s">
        <v>10350</v>
      </c>
      <c r="E2698" s="31" t="s">
        <v>10359</v>
      </c>
      <c r="F2698" s="31">
        <v>3</v>
      </c>
      <c r="G2698" s="35">
        <v>1650</v>
      </c>
      <c r="H2698" s="31">
        <v>10</v>
      </c>
      <c r="I2698" s="31">
        <v>6</v>
      </c>
      <c r="J2698" s="31" t="s">
        <v>10360</v>
      </c>
      <c r="K2698" s="31" t="s">
        <v>41</v>
      </c>
      <c r="L2698" s="31" t="s">
        <v>304</v>
      </c>
      <c r="M2698" s="31">
        <v>943</v>
      </c>
      <c r="N2698" s="31">
        <v>2023</v>
      </c>
      <c r="O2698" s="31">
        <v>900</v>
      </c>
      <c r="P2698" s="31"/>
      <c r="Q2698" s="31"/>
      <c r="R2698" s="33" t="s">
        <v>10361</v>
      </c>
      <c r="S2698" s="34" t="str">
        <f>HYPERLINK("http://www.cnpol.ru/covers/20616.jpg","фото на сайте")</f>
        <v>фото на сайте</v>
      </c>
    </row>
    <row r="2699" spans="1:19" ht="50.1" customHeight="1">
      <c r="A2699" s="31" t="s">
        <v>43</v>
      </c>
      <c r="B2699" s="32" t="s">
        <v>10362</v>
      </c>
      <c r="C2699" s="31" t="s">
        <v>37</v>
      </c>
      <c r="D2699" s="31" t="s">
        <v>6865</v>
      </c>
      <c r="E2699" s="31" t="s">
        <v>10363</v>
      </c>
      <c r="F2699" s="31" t="s">
        <v>31</v>
      </c>
      <c r="G2699" s="31">
        <v>911</v>
      </c>
      <c r="H2699" s="31">
        <v>10</v>
      </c>
      <c r="I2699" s="31">
        <v>5</v>
      </c>
      <c r="J2699" s="31" t="s">
        <v>10364</v>
      </c>
      <c r="K2699" s="31" t="s">
        <v>33</v>
      </c>
      <c r="L2699" s="31" t="s">
        <v>34</v>
      </c>
      <c r="M2699" s="31">
        <v>313</v>
      </c>
      <c r="N2699" s="31">
        <v>2025</v>
      </c>
      <c r="O2699" s="31" t="s">
        <v>220</v>
      </c>
      <c r="P2699" s="31"/>
      <c r="Q2699" s="31"/>
      <c r="R2699" s="33" t="s">
        <v>10365</v>
      </c>
      <c r="S2699" s="34" t="str">
        <f>HYPERLINK("http://www.cnpol.ru/covers/21800.jpg","фото на сайте")</f>
        <v>фото на сайте</v>
      </c>
    </row>
    <row r="2700" spans="1:19" ht="50.1" customHeight="1">
      <c r="A2700" s="31"/>
      <c r="B2700" s="32" t="s">
        <v>10366</v>
      </c>
      <c r="C2700" s="31" t="s">
        <v>390</v>
      </c>
      <c r="D2700" s="31" t="s">
        <v>1564</v>
      </c>
      <c r="E2700" s="31" t="s">
        <v>10367</v>
      </c>
      <c r="F2700" s="31">
        <v>492</v>
      </c>
      <c r="G2700" s="31">
        <v>86</v>
      </c>
      <c r="H2700" s="31">
        <v>10</v>
      </c>
      <c r="I2700" s="31">
        <v>30</v>
      </c>
      <c r="J2700" s="31" t="s">
        <v>10368</v>
      </c>
      <c r="K2700" s="31" t="s">
        <v>123</v>
      </c>
      <c r="L2700" s="31" t="s">
        <v>56</v>
      </c>
      <c r="M2700" s="31">
        <v>158</v>
      </c>
      <c r="N2700" s="31">
        <v>2015</v>
      </c>
      <c r="O2700" s="31">
        <v>76</v>
      </c>
      <c r="P2700" s="31"/>
      <c r="Q2700" s="31"/>
      <c r="R2700" s="33"/>
      <c r="S2700" s="34" t="str">
        <f>HYPERLINK("http://www.cnpol.ru/covers/15826.jpg","фото на сайте")</f>
        <v>фото на сайте</v>
      </c>
    </row>
    <row r="2701" spans="1:19" ht="50.1" customHeight="1">
      <c r="A2701" s="31"/>
      <c r="B2701" s="32" t="s">
        <v>10369</v>
      </c>
      <c r="C2701" s="31" t="s">
        <v>390</v>
      </c>
      <c r="D2701" s="31" t="s">
        <v>1705</v>
      </c>
      <c r="E2701" s="31" t="s">
        <v>10370</v>
      </c>
      <c r="F2701" s="31">
        <v>1083</v>
      </c>
      <c r="G2701" s="31">
        <v>86</v>
      </c>
      <c r="H2701" s="31">
        <v>10</v>
      </c>
      <c r="I2701" s="31">
        <v>30</v>
      </c>
      <c r="J2701" s="31" t="s">
        <v>10371</v>
      </c>
      <c r="K2701" s="31" t="s">
        <v>123</v>
      </c>
      <c r="L2701" s="31" t="s">
        <v>56</v>
      </c>
      <c r="M2701" s="31">
        <v>159</v>
      </c>
      <c r="N2701" s="31">
        <v>2022</v>
      </c>
      <c r="O2701" s="31">
        <v>76</v>
      </c>
      <c r="P2701" s="31"/>
      <c r="Q2701" s="31"/>
      <c r="R2701" s="33"/>
      <c r="S2701" s="34" t="str">
        <f>HYPERLINK("http://www.cnpol.ru/covers/20119.jpg","фото на сайте")</f>
        <v>фото на сайте</v>
      </c>
    </row>
    <row r="2702" spans="1:19" ht="50.1" customHeight="1">
      <c r="A2702" s="31"/>
      <c r="B2702" s="32" t="s">
        <v>10372</v>
      </c>
      <c r="C2702" s="31" t="s">
        <v>400</v>
      </c>
      <c r="D2702" s="31" t="s">
        <v>10373</v>
      </c>
      <c r="E2702" s="31" t="s">
        <v>10374</v>
      </c>
      <c r="F2702" s="31" t="s">
        <v>31</v>
      </c>
      <c r="G2702" s="31">
        <v>503</v>
      </c>
      <c r="H2702" s="31">
        <v>10</v>
      </c>
      <c r="I2702" s="31">
        <v>14</v>
      </c>
      <c r="J2702" s="31" t="s">
        <v>10375</v>
      </c>
      <c r="K2702" s="31" t="s">
        <v>33</v>
      </c>
      <c r="L2702" s="31" t="s">
        <v>34</v>
      </c>
      <c r="M2702" s="31">
        <v>288</v>
      </c>
      <c r="N2702" s="31">
        <v>2017</v>
      </c>
      <c r="O2702" s="31">
        <v>252</v>
      </c>
      <c r="P2702" s="31"/>
      <c r="Q2702" s="31"/>
      <c r="R2702" s="33"/>
      <c r="S2702" s="34" t="str">
        <f>HYPERLINK("http://www.cnpol.ru/covers/17879.jpg","фото на сайте")</f>
        <v>фото на сайте</v>
      </c>
    </row>
    <row r="2703" spans="1:19" ht="50.1" customHeight="1">
      <c r="A2703" s="31"/>
      <c r="B2703" s="32" t="s">
        <v>10376</v>
      </c>
      <c r="C2703" s="31" t="s">
        <v>390</v>
      </c>
      <c r="D2703" s="31" t="s">
        <v>2511</v>
      </c>
      <c r="E2703" s="31" t="s">
        <v>10377</v>
      </c>
      <c r="F2703" s="31">
        <v>630</v>
      </c>
      <c r="G2703" s="31">
        <v>86</v>
      </c>
      <c r="H2703" s="31">
        <v>10</v>
      </c>
      <c r="I2703" s="31">
        <v>30</v>
      </c>
      <c r="J2703" s="31" t="s">
        <v>10378</v>
      </c>
      <c r="K2703" s="31" t="s">
        <v>123</v>
      </c>
      <c r="L2703" s="31" t="s">
        <v>56</v>
      </c>
      <c r="M2703" s="31">
        <v>160</v>
      </c>
      <c r="N2703" s="31">
        <v>2016</v>
      </c>
      <c r="O2703" s="31">
        <v>76</v>
      </c>
      <c r="P2703" s="31"/>
      <c r="Q2703" s="31"/>
      <c r="R2703" s="33"/>
      <c r="S2703" s="34" t="str">
        <f>HYPERLINK("http://www.cnpol.ru/covers/16859.jpg","фото на сайте")</f>
        <v>фото на сайте</v>
      </c>
    </row>
    <row r="2704" spans="1:19" ht="50.1" customHeight="1">
      <c r="A2704" s="31"/>
      <c r="B2704" s="32" t="s">
        <v>10379</v>
      </c>
      <c r="C2704" s="31" t="s">
        <v>380</v>
      </c>
      <c r="D2704" s="31" t="s">
        <v>10380</v>
      </c>
      <c r="E2704" s="31" t="s">
        <v>10381</v>
      </c>
      <c r="F2704" s="31" t="s">
        <v>31</v>
      </c>
      <c r="G2704" s="31">
        <v>988</v>
      </c>
      <c r="H2704" s="31">
        <v>10</v>
      </c>
      <c r="I2704" s="31">
        <v>8</v>
      </c>
      <c r="J2704" s="31" t="s">
        <v>10382</v>
      </c>
      <c r="K2704" s="31" t="s">
        <v>41</v>
      </c>
      <c r="L2704" s="31" t="s">
        <v>304</v>
      </c>
      <c r="M2704" s="31">
        <v>448</v>
      </c>
      <c r="N2704" s="31">
        <v>2017</v>
      </c>
      <c r="O2704" s="31">
        <v>556</v>
      </c>
      <c r="P2704" s="31"/>
      <c r="Q2704" s="31"/>
      <c r="R2704" s="33"/>
      <c r="S2704" s="34" t="str">
        <f>HYPERLINK("http://www.cnpol.ru/covers/17780.jpg","фото на сайте")</f>
        <v>фото на сайте</v>
      </c>
    </row>
    <row r="2705" spans="1:19" ht="50.1" customHeight="1">
      <c r="A2705" s="31"/>
      <c r="B2705" s="32" t="s">
        <v>10383</v>
      </c>
      <c r="C2705" s="31" t="s">
        <v>546</v>
      </c>
      <c r="D2705" s="31" t="s">
        <v>4632</v>
      </c>
      <c r="E2705" s="31" t="s">
        <v>10384</v>
      </c>
      <c r="F2705" s="31">
        <v>289</v>
      </c>
      <c r="G2705" s="31">
        <v>93</v>
      </c>
      <c r="H2705" s="31">
        <v>10</v>
      </c>
      <c r="I2705" s="31">
        <v>30</v>
      </c>
      <c r="J2705" s="31" t="s">
        <v>10385</v>
      </c>
      <c r="K2705" s="31" t="s">
        <v>194</v>
      </c>
      <c r="L2705" s="31" t="s">
        <v>56</v>
      </c>
      <c r="M2705" s="31">
        <v>160</v>
      </c>
      <c r="N2705" s="31">
        <v>2018</v>
      </c>
      <c r="O2705" s="31">
        <v>76</v>
      </c>
      <c r="P2705" s="31"/>
      <c r="Q2705" s="31"/>
      <c r="R2705" s="33"/>
      <c r="S2705" s="34" t="str">
        <f>HYPERLINK("http://www.cnpol.ru/covers/18429.jpg","фото на сайте")</f>
        <v>фото на сайте</v>
      </c>
    </row>
    <row r="2706" spans="1:19" ht="50.1" customHeight="1">
      <c r="A2706" s="31"/>
      <c r="B2706" s="32" t="s">
        <v>10386</v>
      </c>
      <c r="C2706" s="31" t="s">
        <v>630</v>
      </c>
      <c r="D2706" s="31" t="s">
        <v>9852</v>
      </c>
      <c r="E2706" s="31" t="s">
        <v>10387</v>
      </c>
      <c r="F2706" s="31" t="s">
        <v>31</v>
      </c>
      <c r="G2706" s="31">
        <v>96</v>
      </c>
      <c r="H2706" s="31">
        <v>10</v>
      </c>
      <c r="I2706" s="31">
        <v>20</v>
      </c>
      <c r="J2706" s="31" t="s">
        <v>10388</v>
      </c>
      <c r="K2706" s="31" t="s">
        <v>130</v>
      </c>
      <c r="L2706" s="31" t="s">
        <v>56</v>
      </c>
      <c r="M2706" s="31">
        <v>239</v>
      </c>
      <c r="N2706" s="31">
        <v>2007</v>
      </c>
      <c r="O2706" s="31">
        <v>144</v>
      </c>
      <c r="P2706" s="31"/>
      <c r="Q2706" s="31"/>
      <c r="R2706" s="33"/>
      <c r="S2706" s="34" t="str">
        <f>HYPERLINK("http://www.cnpol.ru/covers/7171.jpg","фото на сайте")</f>
        <v>фото на сайте</v>
      </c>
    </row>
    <row r="2707" spans="1:19" ht="50.1" customHeight="1">
      <c r="A2707" s="31" t="s">
        <v>43</v>
      </c>
      <c r="B2707" s="32" t="s">
        <v>10389</v>
      </c>
      <c r="C2707" s="31" t="s">
        <v>37</v>
      </c>
      <c r="D2707" s="31" t="s">
        <v>6022</v>
      </c>
      <c r="E2707" s="31" t="s">
        <v>10390</v>
      </c>
      <c r="F2707" s="31" t="s">
        <v>31</v>
      </c>
      <c r="G2707" s="31">
        <v>936</v>
      </c>
      <c r="H2707" s="31">
        <v>10</v>
      </c>
      <c r="I2707" s="31">
        <v>5</v>
      </c>
      <c r="J2707" s="31" t="s">
        <v>10391</v>
      </c>
      <c r="K2707" s="31" t="s">
        <v>33</v>
      </c>
      <c r="L2707" s="31" t="s">
        <v>34</v>
      </c>
      <c r="M2707" s="31">
        <v>333</v>
      </c>
      <c r="N2707" s="31">
        <v>2025</v>
      </c>
      <c r="O2707" s="31" t="s">
        <v>220</v>
      </c>
      <c r="P2707" s="31"/>
      <c r="Q2707" s="31"/>
      <c r="R2707" s="33" t="s">
        <v>10392</v>
      </c>
      <c r="S2707" s="34" t="str">
        <f>HYPERLINK("http://www.cnpol.ru/covers/21795.jpg","фото на сайте")</f>
        <v>фото на сайте</v>
      </c>
    </row>
    <row r="2708" spans="1:19" ht="50.1" customHeight="1">
      <c r="A2708" s="31"/>
      <c r="B2708" s="32" t="s">
        <v>10393</v>
      </c>
      <c r="C2708" s="31" t="s">
        <v>37</v>
      </c>
      <c r="D2708" s="31" t="s">
        <v>2040</v>
      </c>
      <c r="E2708" s="31" t="s">
        <v>10394</v>
      </c>
      <c r="F2708" s="31" t="s">
        <v>31</v>
      </c>
      <c r="G2708" s="31">
        <v>539</v>
      </c>
      <c r="H2708" s="31">
        <v>10</v>
      </c>
      <c r="I2708" s="31">
        <v>14</v>
      </c>
      <c r="J2708" s="31" t="s">
        <v>10395</v>
      </c>
      <c r="K2708" s="31" t="s">
        <v>33</v>
      </c>
      <c r="L2708" s="31" t="s">
        <v>34</v>
      </c>
      <c r="M2708" s="31">
        <v>319</v>
      </c>
      <c r="N2708" s="31">
        <v>2023</v>
      </c>
      <c r="O2708" s="31">
        <v>274</v>
      </c>
      <c r="P2708" s="31"/>
      <c r="Q2708" s="31"/>
      <c r="R2708" s="33" t="s">
        <v>10396</v>
      </c>
      <c r="S2708" s="34" t="str">
        <f>HYPERLINK("http://www.cnpol.ru/covers/20931.jpg","фото на сайте")</f>
        <v>фото на сайте</v>
      </c>
    </row>
    <row r="2709" spans="1:19" ht="50.1" customHeight="1">
      <c r="A2709" s="31" t="s">
        <v>35</v>
      </c>
      <c r="B2709" s="32" t="s">
        <v>10397</v>
      </c>
      <c r="C2709" s="31" t="s">
        <v>143</v>
      </c>
      <c r="D2709" s="31" t="s">
        <v>10398</v>
      </c>
      <c r="E2709" s="31" t="s">
        <v>10399</v>
      </c>
      <c r="F2709" s="31" t="s">
        <v>31</v>
      </c>
      <c r="G2709" s="35">
        <v>1168</v>
      </c>
      <c r="H2709" s="31">
        <v>10</v>
      </c>
      <c r="I2709" s="31">
        <v>5</v>
      </c>
      <c r="J2709" s="31" t="s">
        <v>10400</v>
      </c>
      <c r="K2709" s="31" t="s">
        <v>33</v>
      </c>
      <c r="L2709" s="31" t="s">
        <v>34</v>
      </c>
      <c r="M2709" s="31">
        <v>479</v>
      </c>
      <c r="N2709" s="31">
        <v>2025</v>
      </c>
      <c r="O2709" s="31">
        <v>378</v>
      </c>
      <c r="P2709" s="31"/>
      <c r="Q2709" s="31"/>
      <c r="R2709" s="33" t="s">
        <v>10401</v>
      </c>
      <c r="S2709" s="34" t="str">
        <f>HYPERLINK("http://www.cnpol.ru/covers/21473.jpg","фото на сайте")</f>
        <v>фото на сайте</v>
      </c>
    </row>
    <row r="2710" spans="1:19" ht="50.1" customHeight="1">
      <c r="A2710" s="31"/>
      <c r="B2710" s="32" t="s">
        <v>10402</v>
      </c>
      <c r="C2710" s="31" t="s">
        <v>390</v>
      </c>
      <c r="D2710" s="31" t="s">
        <v>1474</v>
      </c>
      <c r="E2710" s="31" t="s">
        <v>10403</v>
      </c>
      <c r="F2710" s="31">
        <v>369</v>
      </c>
      <c r="G2710" s="31">
        <v>86</v>
      </c>
      <c r="H2710" s="31">
        <v>10</v>
      </c>
      <c r="I2710" s="31">
        <v>30</v>
      </c>
      <c r="J2710" s="31" t="s">
        <v>10404</v>
      </c>
      <c r="K2710" s="31" t="s">
        <v>123</v>
      </c>
      <c r="L2710" s="31" t="s">
        <v>56</v>
      </c>
      <c r="M2710" s="31">
        <v>158</v>
      </c>
      <c r="N2710" s="31">
        <v>2014</v>
      </c>
      <c r="O2710" s="31">
        <v>76</v>
      </c>
      <c r="P2710" s="31"/>
      <c r="Q2710" s="31"/>
      <c r="R2710" s="33"/>
      <c r="S2710" s="34" t="str">
        <f>HYPERLINK("http://www.cnpol.ru/covers/14733.jpg","фото на сайте")</f>
        <v>фото на сайте</v>
      </c>
    </row>
    <row r="2711" spans="1:19" ht="50.1" customHeight="1">
      <c r="A2711" s="31"/>
      <c r="B2711" s="32" t="s">
        <v>10405</v>
      </c>
      <c r="C2711" s="31" t="s">
        <v>9843</v>
      </c>
      <c r="D2711" s="31" t="s">
        <v>10406</v>
      </c>
      <c r="E2711" s="31" t="s">
        <v>10407</v>
      </c>
      <c r="F2711" s="31" t="s">
        <v>31</v>
      </c>
      <c r="G2711" s="31">
        <v>218</v>
      </c>
      <c r="H2711" s="31">
        <v>10</v>
      </c>
      <c r="I2711" s="31">
        <v>28</v>
      </c>
      <c r="J2711" s="31" t="s">
        <v>10408</v>
      </c>
      <c r="K2711" s="31" t="s">
        <v>123</v>
      </c>
      <c r="L2711" s="31" t="s">
        <v>56</v>
      </c>
      <c r="M2711" s="31">
        <v>315</v>
      </c>
      <c r="N2711" s="31">
        <v>2012</v>
      </c>
      <c r="O2711" s="31">
        <v>150</v>
      </c>
      <c r="P2711" s="31"/>
      <c r="Q2711" s="31"/>
      <c r="R2711" s="33"/>
      <c r="S2711" s="34" t="str">
        <f>HYPERLINK("http://www.cnpol.ru/covers/13809.jpg","фото на сайте")</f>
        <v>фото на сайте</v>
      </c>
    </row>
    <row r="2712" spans="1:19" ht="50.1" customHeight="1">
      <c r="A2712" s="31"/>
      <c r="B2712" s="32" t="s">
        <v>10409</v>
      </c>
      <c r="C2712" s="31" t="s">
        <v>4205</v>
      </c>
      <c r="D2712" s="31" t="s">
        <v>10410</v>
      </c>
      <c r="E2712" s="31" t="s">
        <v>10411</v>
      </c>
      <c r="F2712" s="31" t="s">
        <v>31</v>
      </c>
      <c r="G2712" s="31">
        <v>893</v>
      </c>
      <c r="H2712" s="31">
        <v>10</v>
      </c>
      <c r="I2712" s="31">
        <v>12</v>
      </c>
      <c r="J2712" s="31" t="s">
        <v>10412</v>
      </c>
      <c r="K2712" s="31" t="s">
        <v>33</v>
      </c>
      <c r="L2712" s="31" t="s">
        <v>34</v>
      </c>
      <c r="M2712" s="31">
        <v>336</v>
      </c>
      <c r="N2712" s="31">
        <v>2022</v>
      </c>
      <c r="O2712" s="31">
        <v>278</v>
      </c>
      <c r="P2712" s="31"/>
      <c r="Q2712" s="31"/>
      <c r="R2712" s="33"/>
      <c r="S2712" s="34" t="str">
        <f>HYPERLINK("http://www.cnpol.ru/covers/20241.jpg","фото на сайте")</f>
        <v>фото на сайте</v>
      </c>
    </row>
    <row r="2713" spans="1:19" ht="50.1" customHeight="1">
      <c r="A2713" s="31"/>
      <c r="B2713" s="32" t="s">
        <v>10413</v>
      </c>
      <c r="C2713" s="31" t="s">
        <v>546</v>
      </c>
      <c r="D2713" s="31" t="s">
        <v>8716</v>
      </c>
      <c r="E2713" s="31" t="s">
        <v>10414</v>
      </c>
      <c r="F2713" s="31">
        <v>228</v>
      </c>
      <c r="G2713" s="31">
        <v>93</v>
      </c>
      <c r="H2713" s="31">
        <v>10</v>
      </c>
      <c r="I2713" s="31">
        <v>30</v>
      </c>
      <c r="J2713" s="31" t="s">
        <v>10415</v>
      </c>
      <c r="K2713" s="31" t="s">
        <v>123</v>
      </c>
      <c r="L2713" s="31" t="s">
        <v>56</v>
      </c>
      <c r="M2713" s="31">
        <v>160</v>
      </c>
      <c r="N2713" s="31">
        <v>2017</v>
      </c>
      <c r="O2713" s="31">
        <v>76</v>
      </c>
      <c r="P2713" s="31"/>
      <c r="Q2713" s="31"/>
      <c r="R2713" s="33"/>
      <c r="S2713" s="34" t="str">
        <f>HYPERLINK("http://www.cnpol.ru/covers/17588.jpg","фото на сайте")</f>
        <v>фото на сайте</v>
      </c>
    </row>
    <row r="2714" spans="1:19" ht="50.1" customHeight="1">
      <c r="A2714" s="31"/>
      <c r="B2714" s="32" t="s">
        <v>10416</v>
      </c>
      <c r="C2714" s="31" t="s">
        <v>418</v>
      </c>
      <c r="D2714" s="31" t="s">
        <v>3894</v>
      </c>
      <c r="E2714" s="31" t="s">
        <v>10417</v>
      </c>
      <c r="F2714" s="31">
        <v>64</v>
      </c>
      <c r="G2714" s="31">
        <v>153</v>
      </c>
      <c r="H2714" s="31">
        <v>10</v>
      </c>
      <c r="I2714" s="31">
        <v>32</v>
      </c>
      <c r="J2714" s="31" t="s">
        <v>10418</v>
      </c>
      <c r="K2714" s="31" t="s">
        <v>123</v>
      </c>
      <c r="L2714" s="31" t="s">
        <v>56</v>
      </c>
      <c r="M2714" s="31">
        <v>254</v>
      </c>
      <c r="N2714" s="31">
        <v>2015</v>
      </c>
      <c r="O2714" s="31">
        <v>114</v>
      </c>
      <c r="P2714" s="31"/>
      <c r="Q2714" s="31"/>
      <c r="R2714" s="33"/>
      <c r="S2714" s="34" t="str">
        <f>HYPERLINK("http://www.cnpol.ru/covers/15857.jpg","фото на сайте")</f>
        <v>фото на сайте</v>
      </c>
    </row>
    <row r="2715" spans="1:19" ht="50.1" customHeight="1">
      <c r="A2715" s="31"/>
      <c r="B2715" s="32" t="s">
        <v>10419</v>
      </c>
      <c r="C2715" s="31" t="s">
        <v>1594</v>
      </c>
      <c r="D2715" s="31" t="s">
        <v>10420</v>
      </c>
      <c r="E2715" s="31" t="s">
        <v>10421</v>
      </c>
      <c r="F2715" s="31" t="s">
        <v>31</v>
      </c>
      <c r="G2715" s="31">
        <v>169</v>
      </c>
      <c r="H2715" s="31">
        <v>10</v>
      </c>
      <c r="I2715" s="31">
        <v>10</v>
      </c>
      <c r="J2715" s="31" t="s">
        <v>10422</v>
      </c>
      <c r="K2715" s="31" t="s">
        <v>55</v>
      </c>
      <c r="L2715" s="31" t="s">
        <v>56</v>
      </c>
      <c r="M2715" s="31">
        <v>255</v>
      </c>
      <c r="N2715" s="31">
        <v>2022</v>
      </c>
      <c r="O2715" s="31">
        <v>110</v>
      </c>
      <c r="P2715" s="31"/>
      <c r="Q2715" s="31"/>
      <c r="R2715" s="33"/>
      <c r="S2715" s="34" t="str">
        <f>HYPERLINK("http://www.cnpol.ru/covers/20341.jpg","фото на сайте")</f>
        <v>фото на сайте</v>
      </c>
    </row>
    <row r="2716" spans="1:19" ht="50.1" customHeight="1">
      <c r="A2716" s="31"/>
      <c r="B2716" s="32" t="s">
        <v>10423</v>
      </c>
      <c r="C2716" s="31" t="s">
        <v>546</v>
      </c>
      <c r="D2716" s="31" t="s">
        <v>1628</v>
      </c>
      <c r="E2716" s="31" t="s">
        <v>10424</v>
      </c>
      <c r="F2716" s="31">
        <v>336</v>
      </c>
      <c r="G2716" s="31">
        <v>93</v>
      </c>
      <c r="H2716" s="31">
        <v>10</v>
      </c>
      <c r="I2716" s="31">
        <v>30</v>
      </c>
      <c r="J2716" s="31" t="s">
        <v>10425</v>
      </c>
      <c r="K2716" s="31" t="s">
        <v>123</v>
      </c>
      <c r="L2716" s="31" t="s">
        <v>56</v>
      </c>
      <c r="M2716" s="31">
        <v>160</v>
      </c>
      <c r="N2716" s="31">
        <v>2019</v>
      </c>
      <c r="O2716" s="31">
        <v>76</v>
      </c>
      <c r="P2716" s="31"/>
      <c r="Q2716" s="31"/>
      <c r="R2716" s="33"/>
      <c r="S2716" s="34" t="str">
        <f>HYPERLINK("http://www.cnpol.ru/covers/18995.jpg","фото на сайте")</f>
        <v>фото на сайте</v>
      </c>
    </row>
    <row r="2717" spans="1:19" ht="50.1" customHeight="1">
      <c r="A2717" s="31"/>
      <c r="B2717" s="32" t="s">
        <v>10426</v>
      </c>
      <c r="C2717" s="31" t="s">
        <v>385</v>
      </c>
      <c r="D2717" s="31" t="s">
        <v>386</v>
      </c>
      <c r="E2717" s="31" t="s">
        <v>10427</v>
      </c>
      <c r="F2717" s="31" t="s">
        <v>31</v>
      </c>
      <c r="G2717" s="31">
        <v>162</v>
      </c>
      <c r="H2717" s="31">
        <v>10</v>
      </c>
      <c r="I2717" s="31">
        <v>32</v>
      </c>
      <c r="J2717" s="31" t="s">
        <v>10428</v>
      </c>
      <c r="K2717" s="31" t="s">
        <v>55</v>
      </c>
      <c r="L2717" s="31" t="s">
        <v>56</v>
      </c>
      <c r="M2717" s="31">
        <v>256</v>
      </c>
      <c r="N2717" s="31">
        <v>2016</v>
      </c>
      <c r="O2717" s="31">
        <v>108</v>
      </c>
      <c r="P2717" s="31"/>
      <c r="Q2717" s="31"/>
      <c r="R2717" s="33"/>
      <c r="S2717" s="34" t="str">
        <f>HYPERLINK("http://www.cnpol.ru/covers/0152.jpg","фото на сайте")</f>
        <v>фото на сайте</v>
      </c>
    </row>
    <row r="2718" spans="1:19" ht="50.1" customHeight="1">
      <c r="A2718" s="31"/>
      <c r="B2718" s="32" t="s">
        <v>10429</v>
      </c>
      <c r="C2718" s="31" t="s">
        <v>1685</v>
      </c>
      <c r="D2718" s="31" t="s">
        <v>1686</v>
      </c>
      <c r="E2718" s="31" t="s">
        <v>10430</v>
      </c>
      <c r="F2718" s="31" t="s">
        <v>31</v>
      </c>
      <c r="G2718" s="31">
        <v>209</v>
      </c>
      <c r="H2718" s="31">
        <v>10</v>
      </c>
      <c r="I2718" s="31">
        <v>20</v>
      </c>
      <c r="J2718" s="31" t="s">
        <v>10431</v>
      </c>
      <c r="K2718" s="31" t="s">
        <v>123</v>
      </c>
      <c r="L2718" s="31" t="s">
        <v>56</v>
      </c>
      <c r="M2718" s="31">
        <v>352</v>
      </c>
      <c r="N2718" s="31">
        <v>2014</v>
      </c>
      <c r="O2718" s="31">
        <v>164</v>
      </c>
      <c r="P2718" s="31"/>
      <c r="Q2718" s="31"/>
      <c r="R2718" s="33"/>
      <c r="S2718" s="34" t="str">
        <f>HYPERLINK("http://www.cnpol.ru/covers/15551.jpg","фото на сайте")</f>
        <v>фото на сайте</v>
      </c>
    </row>
    <row r="2719" spans="1:19" ht="50.1" customHeight="1">
      <c r="A2719" s="31"/>
      <c r="B2719" s="32" t="s">
        <v>10432</v>
      </c>
      <c r="C2719" s="31" t="s">
        <v>1685</v>
      </c>
      <c r="D2719" s="31" t="s">
        <v>1686</v>
      </c>
      <c r="E2719" s="31" t="s">
        <v>10430</v>
      </c>
      <c r="F2719" s="31" t="s">
        <v>31</v>
      </c>
      <c r="G2719" s="31">
        <v>209</v>
      </c>
      <c r="H2719" s="31">
        <v>10</v>
      </c>
      <c r="I2719" s="31">
        <v>20</v>
      </c>
      <c r="J2719" s="31" t="s">
        <v>10433</v>
      </c>
      <c r="K2719" s="31" t="s">
        <v>123</v>
      </c>
      <c r="L2719" s="31" t="s">
        <v>56</v>
      </c>
      <c r="M2719" s="31">
        <v>352</v>
      </c>
      <c r="N2719" s="31">
        <v>2016</v>
      </c>
      <c r="O2719" s="31">
        <v>164</v>
      </c>
      <c r="P2719" s="31"/>
      <c r="Q2719" s="31"/>
      <c r="R2719" s="33"/>
      <c r="S2719" s="34" t="str">
        <f>HYPERLINK("http://www.cnpol.ru/covers/17204.jpg","фото на сайте")</f>
        <v>фото на сайте</v>
      </c>
    </row>
    <row r="2720" spans="1:19" ht="50.1" customHeight="1">
      <c r="A2720" s="31"/>
      <c r="B2720" s="32" t="s">
        <v>10434</v>
      </c>
      <c r="C2720" s="31" t="s">
        <v>520</v>
      </c>
      <c r="D2720" s="31" t="s">
        <v>5147</v>
      </c>
      <c r="E2720" s="31" t="s">
        <v>10435</v>
      </c>
      <c r="F2720" s="31">
        <v>49</v>
      </c>
      <c r="G2720" s="31">
        <v>117</v>
      </c>
      <c r="H2720" s="31">
        <v>10</v>
      </c>
      <c r="I2720" s="31">
        <v>30</v>
      </c>
      <c r="J2720" s="31" t="s">
        <v>10436</v>
      </c>
      <c r="K2720" s="31" t="s">
        <v>123</v>
      </c>
      <c r="L2720" s="31" t="s">
        <v>56</v>
      </c>
      <c r="M2720" s="31">
        <v>160</v>
      </c>
      <c r="N2720" s="31">
        <v>2017</v>
      </c>
      <c r="O2720" s="31">
        <v>90</v>
      </c>
      <c r="P2720" s="31"/>
      <c r="Q2720" s="31"/>
      <c r="R2720" s="33"/>
      <c r="S2720" s="34" t="str">
        <f>HYPERLINK("http://www.cnpol.ru/covers/17693.jpg","фото на сайте")</f>
        <v>фото на сайте</v>
      </c>
    </row>
    <row r="2721" spans="1:19" ht="50.1" customHeight="1">
      <c r="A2721" s="31"/>
      <c r="B2721" s="32" t="s">
        <v>10437</v>
      </c>
      <c r="C2721" s="31" t="s">
        <v>390</v>
      </c>
      <c r="D2721" s="31" t="s">
        <v>3610</v>
      </c>
      <c r="E2721" s="31" t="s">
        <v>10438</v>
      </c>
      <c r="F2721" s="31">
        <v>795</v>
      </c>
      <c r="G2721" s="31">
        <v>86</v>
      </c>
      <c r="H2721" s="31">
        <v>10</v>
      </c>
      <c r="I2721" s="31">
        <v>30</v>
      </c>
      <c r="J2721" s="31" t="s">
        <v>10439</v>
      </c>
      <c r="K2721" s="31" t="s">
        <v>123</v>
      </c>
      <c r="L2721" s="31" t="s">
        <v>56</v>
      </c>
      <c r="M2721" s="31">
        <v>160</v>
      </c>
      <c r="N2721" s="31">
        <v>2018</v>
      </c>
      <c r="O2721" s="31">
        <v>76</v>
      </c>
      <c r="P2721" s="31"/>
      <c r="Q2721" s="31"/>
      <c r="R2721" s="33"/>
      <c r="S2721" s="34" t="str">
        <f>HYPERLINK("http://www.cnpol.ru/covers/18000.jpg","фото на сайте")</f>
        <v>фото на сайте</v>
      </c>
    </row>
    <row r="2722" spans="1:19" ht="50.1" customHeight="1">
      <c r="A2722" s="31"/>
      <c r="B2722" s="32" t="s">
        <v>10440</v>
      </c>
      <c r="C2722" s="31" t="s">
        <v>390</v>
      </c>
      <c r="D2722" s="31" t="s">
        <v>1343</v>
      </c>
      <c r="E2722" s="31" t="s">
        <v>10441</v>
      </c>
      <c r="F2722" s="31">
        <v>616</v>
      </c>
      <c r="G2722" s="31">
        <v>86</v>
      </c>
      <c r="H2722" s="31">
        <v>10</v>
      </c>
      <c r="I2722" s="31">
        <v>30</v>
      </c>
      <c r="J2722" s="31" t="s">
        <v>10442</v>
      </c>
      <c r="K2722" s="31" t="s">
        <v>123</v>
      </c>
      <c r="L2722" s="31" t="s">
        <v>56</v>
      </c>
      <c r="M2722" s="31">
        <v>160</v>
      </c>
      <c r="N2722" s="31">
        <v>2016</v>
      </c>
      <c r="O2722" s="31">
        <v>76</v>
      </c>
      <c r="P2722" s="31"/>
      <c r="Q2722" s="31"/>
      <c r="R2722" s="33"/>
      <c r="S2722" s="34" t="str">
        <f>HYPERLINK("http://www.cnpol.ru/covers/16747.jpg","фото на сайте")</f>
        <v>фото на сайте</v>
      </c>
    </row>
    <row r="2723" spans="1:19" ht="50.1" customHeight="1">
      <c r="A2723" s="31"/>
      <c r="B2723" s="32" t="s">
        <v>10443</v>
      </c>
      <c r="C2723" s="31" t="s">
        <v>390</v>
      </c>
      <c r="D2723" s="31" t="s">
        <v>5684</v>
      </c>
      <c r="E2723" s="31" t="s">
        <v>10444</v>
      </c>
      <c r="F2723" s="31">
        <v>920</v>
      </c>
      <c r="G2723" s="31">
        <v>86</v>
      </c>
      <c r="H2723" s="31">
        <v>10</v>
      </c>
      <c r="I2723" s="31">
        <v>30</v>
      </c>
      <c r="J2723" s="31" t="s">
        <v>10445</v>
      </c>
      <c r="K2723" s="31" t="s">
        <v>123</v>
      </c>
      <c r="L2723" s="31" t="s">
        <v>56</v>
      </c>
      <c r="M2723" s="31">
        <v>160</v>
      </c>
      <c r="N2723" s="31">
        <v>2019</v>
      </c>
      <c r="O2723" s="31">
        <v>76</v>
      </c>
      <c r="P2723" s="31"/>
      <c r="Q2723" s="31"/>
      <c r="R2723" s="33"/>
      <c r="S2723" s="34" t="str">
        <f>HYPERLINK("http://www.cnpol.ru/covers/18832.jpg","фото на сайте")</f>
        <v>фото на сайте</v>
      </c>
    </row>
    <row r="2724" spans="1:19" ht="50.1" customHeight="1">
      <c r="A2724" s="31"/>
      <c r="B2724" s="32" t="s">
        <v>10446</v>
      </c>
      <c r="C2724" s="31" t="s">
        <v>390</v>
      </c>
      <c r="D2724" s="31" t="s">
        <v>1599</v>
      </c>
      <c r="E2724" s="31" t="s">
        <v>10447</v>
      </c>
      <c r="F2724" s="31">
        <v>886</v>
      </c>
      <c r="G2724" s="31">
        <v>86</v>
      </c>
      <c r="H2724" s="31">
        <v>10</v>
      </c>
      <c r="I2724" s="31">
        <v>30</v>
      </c>
      <c r="J2724" s="31" t="s">
        <v>10448</v>
      </c>
      <c r="K2724" s="31" t="s">
        <v>123</v>
      </c>
      <c r="L2724" s="31" t="s">
        <v>56</v>
      </c>
      <c r="M2724" s="31">
        <v>160</v>
      </c>
      <c r="N2724" s="31">
        <v>2019</v>
      </c>
      <c r="O2724" s="31">
        <v>78</v>
      </c>
      <c r="P2724" s="31"/>
      <c r="Q2724" s="31"/>
      <c r="R2724" s="33"/>
      <c r="S2724" s="34" t="str">
        <f>HYPERLINK("http://www.cnpol.ru/covers/18626.jpg","фото на сайте")</f>
        <v>фото на сайте</v>
      </c>
    </row>
    <row r="2725" spans="1:19" ht="50.1" customHeight="1">
      <c r="A2725" s="31"/>
      <c r="B2725" s="32" t="s">
        <v>10449</v>
      </c>
      <c r="C2725" s="31" t="s">
        <v>390</v>
      </c>
      <c r="D2725" s="31" t="s">
        <v>10450</v>
      </c>
      <c r="E2725" s="31" t="s">
        <v>10451</v>
      </c>
      <c r="F2725" s="31">
        <v>340</v>
      </c>
      <c r="G2725" s="31">
        <v>86</v>
      </c>
      <c r="H2725" s="31">
        <v>10</v>
      </c>
      <c r="I2725" s="31">
        <v>30</v>
      </c>
      <c r="J2725" s="31" t="s">
        <v>10452</v>
      </c>
      <c r="K2725" s="31" t="s">
        <v>123</v>
      </c>
      <c r="L2725" s="31" t="s">
        <v>56</v>
      </c>
      <c r="M2725" s="31">
        <v>158</v>
      </c>
      <c r="N2725" s="31">
        <v>2013</v>
      </c>
      <c r="O2725" s="31">
        <v>74</v>
      </c>
      <c r="P2725" s="31"/>
      <c r="Q2725" s="31"/>
      <c r="R2725" s="33"/>
      <c r="S2725" s="34" t="str">
        <f>HYPERLINK("http://www.cnpol.ru/covers/14500.jpg","фото на сайте")</f>
        <v>фото на сайте</v>
      </c>
    </row>
    <row r="2726" spans="1:19" ht="50.1" customHeight="1">
      <c r="A2726" s="31"/>
      <c r="B2726" s="32" t="s">
        <v>10453</v>
      </c>
      <c r="C2726" s="31" t="s">
        <v>1338</v>
      </c>
      <c r="D2726" s="31" t="s">
        <v>2090</v>
      </c>
      <c r="E2726" s="31" t="s">
        <v>10454</v>
      </c>
      <c r="F2726" s="31" t="s">
        <v>31</v>
      </c>
      <c r="G2726" s="31">
        <v>154</v>
      </c>
      <c r="H2726" s="31">
        <v>10</v>
      </c>
      <c r="I2726" s="31">
        <v>16</v>
      </c>
      <c r="J2726" s="31" t="s">
        <v>10455</v>
      </c>
      <c r="K2726" s="31" t="s">
        <v>55</v>
      </c>
      <c r="L2726" s="31" t="s">
        <v>56</v>
      </c>
      <c r="M2726" s="31">
        <v>427</v>
      </c>
      <c r="N2726" s="31">
        <v>2008</v>
      </c>
      <c r="O2726" s="31">
        <v>174</v>
      </c>
      <c r="P2726" s="31"/>
      <c r="Q2726" s="31"/>
      <c r="R2726" s="33"/>
      <c r="S2726" s="34" t="str">
        <f>HYPERLINK("http://www.cnpol.ru/covers/9034.jpg","фото на сайте")</f>
        <v>фото на сайте</v>
      </c>
    </row>
    <row r="2727" spans="1:19" ht="50.1" customHeight="1">
      <c r="A2727" s="31"/>
      <c r="B2727" s="32" t="s">
        <v>10456</v>
      </c>
      <c r="C2727" s="31" t="s">
        <v>1668</v>
      </c>
      <c r="D2727" s="31" t="s">
        <v>1669</v>
      </c>
      <c r="E2727" s="31" t="s">
        <v>10457</v>
      </c>
      <c r="F2727" s="31" t="s">
        <v>31</v>
      </c>
      <c r="G2727" s="31">
        <v>575</v>
      </c>
      <c r="H2727" s="31">
        <v>10</v>
      </c>
      <c r="I2727" s="31">
        <v>10</v>
      </c>
      <c r="J2727" s="31" t="s">
        <v>10458</v>
      </c>
      <c r="K2727" s="31" t="s">
        <v>33</v>
      </c>
      <c r="L2727" s="31" t="s">
        <v>34</v>
      </c>
      <c r="M2727" s="31">
        <v>416</v>
      </c>
      <c r="N2727" s="31">
        <v>2022</v>
      </c>
      <c r="O2727" s="31">
        <v>360</v>
      </c>
      <c r="P2727" s="31"/>
      <c r="Q2727" s="31"/>
      <c r="R2727" s="33"/>
      <c r="S2727" s="34" t="str">
        <f>HYPERLINK("http://www.cnpol.ru/covers/20302.jpg","фото на сайте")</f>
        <v>фото на сайте</v>
      </c>
    </row>
    <row r="2728" spans="1:19" ht="50.1" customHeight="1">
      <c r="A2728" s="31" t="s">
        <v>35</v>
      </c>
      <c r="B2728" s="32" t="s">
        <v>10459</v>
      </c>
      <c r="C2728" s="31" t="s">
        <v>434</v>
      </c>
      <c r="D2728" s="31" t="s">
        <v>10460</v>
      </c>
      <c r="E2728" s="31" t="s">
        <v>10461</v>
      </c>
      <c r="F2728" s="31" t="s">
        <v>31</v>
      </c>
      <c r="G2728" s="35">
        <v>1125</v>
      </c>
      <c r="H2728" s="31">
        <v>10</v>
      </c>
      <c r="I2728" s="31">
        <v>10</v>
      </c>
      <c r="J2728" s="31" t="s">
        <v>10462</v>
      </c>
      <c r="K2728" s="31" t="s">
        <v>33</v>
      </c>
      <c r="L2728" s="31" t="s">
        <v>34</v>
      </c>
      <c r="M2728" s="31">
        <v>446</v>
      </c>
      <c r="N2728" s="31">
        <v>2025</v>
      </c>
      <c r="O2728" s="31">
        <v>475</v>
      </c>
      <c r="P2728" s="31"/>
      <c r="Q2728" s="31"/>
      <c r="R2728" s="33" t="s">
        <v>10463</v>
      </c>
      <c r="S2728" s="34" t="str">
        <f>HYPERLINK("http://www.cnpol.ru/covers/21390.jpg","фото на сайте")</f>
        <v>фото на сайте</v>
      </c>
    </row>
    <row r="2729" spans="1:19" ht="50.1" customHeight="1">
      <c r="A2729" s="31"/>
      <c r="B2729" s="32" t="s">
        <v>10464</v>
      </c>
      <c r="C2729" s="31" t="s">
        <v>1363</v>
      </c>
      <c r="D2729" s="31" t="s">
        <v>1364</v>
      </c>
      <c r="E2729" s="31" t="s">
        <v>10465</v>
      </c>
      <c r="F2729" s="31" t="s">
        <v>31</v>
      </c>
      <c r="G2729" s="31">
        <v>693</v>
      </c>
      <c r="H2729" s="31">
        <v>10</v>
      </c>
      <c r="I2729" s="31">
        <v>16</v>
      </c>
      <c r="J2729" s="31" t="s">
        <v>10466</v>
      </c>
      <c r="K2729" s="31" t="s">
        <v>33</v>
      </c>
      <c r="L2729" s="31" t="s">
        <v>34</v>
      </c>
      <c r="M2729" s="31">
        <v>352</v>
      </c>
      <c r="N2729" s="31">
        <v>2018</v>
      </c>
      <c r="O2729" s="31">
        <v>384</v>
      </c>
      <c r="P2729" s="31"/>
      <c r="Q2729" s="31"/>
      <c r="R2729" s="33"/>
      <c r="S2729" s="34" t="str">
        <f>HYPERLINK("http://www.cnpol.ru/covers/17894.jpg","фото на сайте")</f>
        <v>фото на сайте</v>
      </c>
    </row>
    <row r="2730" spans="1:19" ht="50.1" customHeight="1">
      <c r="A2730" s="31"/>
      <c r="B2730" s="32" t="s">
        <v>10467</v>
      </c>
      <c r="C2730" s="31" t="s">
        <v>1594</v>
      </c>
      <c r="D2730" s="31" t="s">
        <v>10468</v>
      </c>
      <c r="E2730" s="31" t="s">
        <v>10469</v>
      </c>
      <c r="F2730" s="31" t="s">
        <v>31</v>
      </c>
      <c r="G2730" s="31">
        <v>169</v>
      </c>
      <c r="H2730" s="31">
        <v>10</v>
      </c>
      <c r="I2730" s="31">
        <v>40</v>
      </c>
      <c r="J2730" s="31" t="s">
        <v>10470</v>
      </c>
      <c r="K2730" s="31" t="s">
        <v>55</v>
      </c>
      <c r="L2730" s="31" t="s">
        <v>56</v>
      </c>
      <c r="M2730" s="31">
        <v>288</v>
      </c>
      <c r="N2730" s="31">
        <v>2019</v>
      </c>
      <c r="O2730" s="31">
        <v>122</v>
      </c>
      <c r="P2730" s="31"/>
      <c r="Q2730" s="31"/>
      <c r="R2730" s="33"/>
      <c r="S2730" s="34" t="str">
        <f>HYPERLINK("http://www.cnpol.ru/covers/18653.jpg","фото на сайте")</f>
        <v>фото на сайте</v>
      </c>
    </row>
    <row r="2731" spans="1:19" ht="50.1" customHeight="1">
      <c r="A2731" s="31"/>
      <c r="B2731" s="32" t="s">
        <v>10471</v>
      </c>
      <c r="C2731" s="31" t="s">
        <v>390</v>
      </c>
      <c r="D2731" s="31" t="s">
        <v>4374</v>
      </c>
      <c r="E2731" s="31" t="s">
        <v>10472</v>
      </c>
      <c r="F2731" s="31">
        <v>790</v>
      </c>
      <c r="G2731" s="31">
        <v>86</v>
      </c>
      <c r="H2731" s="31">
        <v>10</v>
      </c>
      <c r="I2731" s="31">
        <v>30</v>
      </c>
      <c r="J2731" s="31" t="s">
        <v>10473</v>
      </c>
      <c r="K2731" s="31" t="s">
        <v>123</v>
      </c>
      <c r="L2731" s="31" t="s">
        <v>56</v>
      </c>
      <c r="M2731" s="31">
        <v>160</v>
      </c>
      <c r="N2731" s="31">
        <v>2018</v>
      </c>
      <c r="O2731" s="31">
        <v>76</v>
      </c>
      <c r="P2731" s="31"/>
      <c r="Q2731" s="31"/>
      <c r="R2731" s="33"/>
      <c r="S2731" s="34" t="str">
        <f>HYPERLINK("http://www.cnpol.ru/covers/17957.jpg","фото на сайте")</f>
        <v>фото на сайте</v>
      </c>
    </row>
    <row r="2732" spans="1:19" ht="50.1" customHeight="1">
      <c r="A2732" s="31"/>
      <c r="B2732" s="32" t="s">
        <v>10474</v>
      </c>
      <c r="C2732" s="31" t="s">
        <v>4834</v>
      </c>
      <c r="D2732" s="31" t="s">
        <v>10475</v>
      </c>
      <c r="E2732" s="31" t="s">
        <v>10476</v>
      </c>
      <c r="F2732" s="31" t="s">
        <v>31</v>
      </c>
      <c r="G2732" s="31">
        <v>290</v>
      </c>
      <c r="H2732" s="31">
        <v>10</v>
      </c>
      <c r="I2732" s="31">
        <v>16</v>
      </c>
      <c r="J2732" s="31" t="s">
        <v>10477</v>
      </c>
      <c r="K2732" s="31" t="s">
        <v>300</v>
      </c>
      <c r="L2732" s="31" t="s">
        <v>56</v>
      </c>
      <c r="M2732" s="31">
        <v>416</v>
      </c>
      <c r="N2732" s="31">
        <v>2019</v>
      </c>
      <c r="O2732" s="31">
        <v>208</v>
      </c>
      <c r="P2732" s="31"/>
      <c r="Q2732" s="31"/>
      <c r="R2732" s="33"/>
      <c r="S2732" s="34" t="str">
        <f>HYPERLINK("http://www.cnpol.ru/covers/18727.jpg","фото на сайте")</f>
        <v>фото на сайте</v>
      </c>
    </row>
    <row r="2733" spans="1:19" ht="50.1" customHeight="1">
      <c r="A2733" s="31"/>
      <c r="B2733" s="32" t="s">
        <v>10478</v>
      </c>
      <c r="C2733" s="31" t="s">
        <v>3229</v>
      </c>
      <c r="D2733" s="31" t="s">
        <v>10475</v>
      </c>
      <c r="E2733" s="31" t="s">
        <v>10476</v>
      </c>
      <c r="F2733" s="31" t="s">
        <v>31</v>
      </c>
      <c r="G2733" s="31">
        <v>693</v>
      </c>
      <c r="H2733" s="31">
        <v>10</v>
      </c>
      <c r="I2733" s="31">
        <v>14</v>
      </c>
      <c r="J2733" s="31" t="s">
        <v>10479</v>
      </c>
      <c r="K2733" s="31" t="s">
        <v>33</v>
      </c>
      <c r="L2733" s="31" t="s">
        <v>34</v>
      </c>
      <c r="M2733" s="31">
        <v>350</v>
      </c>
      <c r="N2733" s="31">
        <v>2015</v>
      </c>
      <c r="O2733" s="31">
        <v>354</v>
      </c>
      <c r="P2733" s="31"/>
      <c r="Q2733" s="31"/>
      <c r="R2733" s="33"/>
      <c r="S2733" s="34" t="str">
        <f>HYPERLINK("http://www.cnpol.ru/covers/15767.jpg","фото на сайте")</f>
        <v>фото на сайте</v>
      </c>
    </row>
    <row r="2734" spans="1:19" ht="50.1" customHeight="1">
      <c r="A2734" s="31"/>
      <c r="B2734" s="32" t="s">
        <v>10480</v>
      </c>
      <c r="C2734" s="31" t="s">
        <v>390</v>
      </c>
      <c r="D2734" s="31" t="s">
        <v>1356</v>
      </c>
      <c r="E2734" s="31" t="s">
        <v>10481</v>
      </c>
      <c r="F2734" s="31">
        <v>621</v>
      </c>
      <c r="G2734" s="31">
        <v>86</v>
      </c>
      <c r="H2734" s="31">
        <v>10</v>
      </c>
      <c r="I2734" s="31">
        <v>30</v>
      </c>
      <c r="J2734" s="31" t="s">
        <v>10482</v>
      </c>
      <c r="K2734" s="31" t="s">
        <v>123</v>
      </c>
      <c r="L2734" s="31" t="s">
        <v>56</v>
      </c>
      <c r="M2734" s="31">
        <v>160</v>
      </c>
      <c r="N2734" s="31">
        <v>2016</v>
      </c>
      <c r="O2734" s="31">
        <v>76</v>
      </c>
      <c r="P2734" s="31"/>
      <c r="Q2734" s="31"/>
      <c r="R2734" s="33"/>
      <c r="S2734" s="34" t="str">
        <f>HYPERLINK("http://www.cnpol.ru/covers/16774.jpg","фото на сайте")</f>
        <v>фото на сайте</v>
      </c>
    </row>
    <row r="2735" spans="1:19" ht="50.1" customHeight="1">
      <c r="A2735" s="31"/>
      <c r="B2735" s="32" t="s">
        <v>10483</v>
      </c>
      <c r="C2735" s="31" t="s">
        <v>390</v>
      </c>
      <c r="D2735" s="31" t="s">
        <v>10484</v>
      </c>
      <c r="E2735" s="31" t="s">
        <v>10485</v>
      </c>
      <c r="F2735" s="31">
        <v>578</v>
      </c>
      <c r="G2735" s="31">
        <v>86</v>
      </c>
      <c r="H2735" s="31">
        <v>10</v>
      </c>
      <c r="I2735" s="31">
        <v>30</v>
      </c>
      <c r="J2735" s="31" t="s">
        <v>10486</v>
      </c>
      <c r="K2735" s="31" t="s">
        <v>123</v>
      </c>
      <c r="L2735" s="31" t="s">
        <v>56</v>
      </c>
      <c r="M2735" s="31">
        <v>158</v>
      </c>
      <c r="N2735" s="31">
        <v>2016</v>
      </c>
      <c r="O2735" s="31">
        <v>76</v>
      </c>
      <c r="P2735" s="31"/>
      <c r="Q2735" s="31"/>
      <c r="R2735" s="33"/>
      <c r="S2735" s="34" t="str">
        <f>HYPERLINK("http://www.cnpol.ru/covers/16456.jpg","фото на сайте")</f>
        <v>фото на сайте</v>
      </c>
    </row>
    <row r="2736" spans="1:19" ht="50.1" customHeight="1">
      <c r="A2736" s="31"/>
      <c r="B2736" s="32" t="s">
        <v>10487</v>
      </c>
      <c r="C2736" s="31" t="s">
        <v>390</v>
      </c>
      <c r="D2736" s="31" t="s">
        <v>1713</v>
      </c>
      <c r="E2736" s="31" t="s">
        <v>10488</v>
      </c>
      <c r="F2736" s="31">
        <v>388</v>
      </c>
      <c r="G2736" s="31">
        <v>86</v>
      </c>
      <c r="H2736" s="31">
        <v>10</v>
      </c>
      <c r="I2736" s="31">
        <v>30</v>
      </c>
      <c r="J2736" s="31" t="s">
        <v>10489</v>
      </c>
      <c r="K2736" s="31" t="s">
        <v>123</v>
      </c>
      <c r="L2736" s="31" t="s">
        <v>56</v>
      </c>
      <c r="M2736" s="31">
        <v>158</v>
      </c>
      <c r="N2736" s="31">
        <v>2014</v>
      </c>
      <c r="O2736" s="31">
        <v>78</v>
      </c>
      <c r="P2736" s="31"/>
      <c r="Q2736" s="31"/>
      <c r="R2736" s="33"/>
      <c r="S2736" s="34" t="str">
        <f>HYPERLINK("http://www.cnpol.ru/covers/14932.jpg","фото на сайте")</f>
        <v>фото на сайте</v>
      </c>
    </row>
    <row r="2737" spans="1:19" ht="50.1" customHeight="1">
      <c r="A2737" s="31"/>
      <c r="B2737" s="32" t="s">
        <v>10490</v>
      </c>
      <c r="C2737" s="31" t="s">
        <v>132</v>
      </c>
      <c r="D2737" s="31" t="s">
        <v>2102</v>
      </c>
      <c r="E2737" s="31" t="s">
        <v>10488</v>
      </c>
      <c r="F2737" s="31" t="s">
        <v>31</v>
      </c>
      <c r="G2737" s="31">
        <v>370</v>
      </c>
      <c r="H2737" s="31">
        <v>10</v>
      </c>
      <c r="I2737" s="31">
        <v>24</v>
      </c>
      <c r="J2737" s="31" t="s">
        <v>10491</v>
      </c>
      <c r="K2737" s="31" t="s">
        <v>194</v>
      </c>
      <c r="L2737" s="31" t="s">
        <v>34</v>
      </c>
      <c r="M2737" s="31">
        <v>50</v>
      </c>
      <c r="N2737" s="31">
        <v>2008</v>
      </c>
      <c r="O2737" s="31">
        <v>150</v>
      </c>
      <c r="P2737" s="31"/>
      <c r="Q2737" s="31"/>
      <c r="R2737" s="33"/>
      <c r="S2737" s="34" t="str">
        <f>HYPERLINK("http://www.cnpol.ru/covers/8692.jpg","фото на сайте")</f>
        <v>фото на сайте</v>
      </c>
    </row>
    <row r="2738" spans="1:19" ht="50.1" customHeight="1">
      <c r="A2738" s="31"/>
      <c r="B2738" s="32" t="s">
        <v>10492</v>
      </c>
      <c r="C2738" s="31" t="s">
        <v>10493</v>
      </c>
      <c r="D2738" s="31" t="s">
        <v>236</v>
      </c>
      <c r="E2738" s="31" t="s">
        <v>10494</v>
      </c>
      <c r="F2738" s="31" t="s">
        <v>31</v>
      </c>
      <c r="G2738" s="31">
        <v>486</v>
      </c>
      <c r="H2738" s="31">
        <v>10</v>
      </c>
      <c r="I2738" s="31">
        <v>14</v>
      </c>
      <c r="J2738" s="31" t="s">
        <v>10495</v>
      </c>
      <c r="K2738" s="31" t="s">
        <v>33</v>
      </c>
      <c r="L2738" s="31" t="s">
        <v>34</v>
      </c>
      <c r="M2738" s="31">
        <v>288</v>
      </c>
      <c r="N2738" s="31">
        <v>2016</v>
      </c>
      <c r="O2738" s="31">
        <v>264</v>
      </c>
      <c r="P2738" s="31"/>
      <c r="Q2738" s="31"/>
      <c r="R2738" s="33"/>
      <c r="S2738" s="34" t="str">
        <f>HYPERLINK("http://www.cnpol.ru/covers/16638.jpg","фото на сайте")</f>
        <v>фото на сайте</v>
      </c>
    </row>
    <row r="2739" spans="1:19" ht="50.1" customHeight="1">
      <c r="A2739" s="31" t="s">
        <v>35</v>
      </c>
      <c r="B2739" s="32" t="s">
        <v>10496</v>
      </c>
      <c r="C2739" s="31" t="s">
        <v>8389</v>
      </c>
      <c r="D2739" s="31" t="s">
        <v>8390</v>
      </c>
      <c r="E2739" s="31" t="s">
        <v>10497</v>
      </c>
      <c r="F2739" s="31" t="s">
        <v>31</v>
      </c>
      <c r="G2739" s="31">
        <v>188</v>
      </c>
      <c r="H2739" s="31">
        <v>10</v>
      </c>
      <c r="I2739" s="31">
        <v>20</v>
      </c>
      <c r="J2739" s="31" t="s">
        <v>10498</v>
      </c>
      <c r="K2739" s="31" t="s">
        <v>123</v>
      </c>
      <c r="L2739" s="31" t="s">
        <v>56</v>
      </c>
      <c r="M2739" s="31">
        <v>159</v>
      </c>
      <c r="N2739" s="31">
        <v>2025</v>
      </c>
      <c r="O2739" s="31" t="s">
        <v>220</v>
      </c>
      <c r="P2739" s="31"/>
      <c r="Q2739" s="31"/>
      <c r="R2739" s="33" t="s">
        <v>10499</v>
      </c>
      <c r="S2739" s="34" t="str">
        <f>HYPERLINK("http://www.cnpol.ru/covers/21537.jpg","фото на сайте")</f>
        <v>фото на сайте</v>
      </c>
    </row>
    <row r="2740" spans="1:19" ht="50.1" customHeight="1">
      <c r="A2740" s="31"/>
      <c r="B2740" s="32" t="s">
        <v>10500</v>
      </c>
      <c r="C2740" s="31" t="s">
        <v>1328</v>
      </c>
      <c r="D2740" s="31" t="s">
        <v>9354</v>
      </c>
      <c r="E2740" s="31" t="s">
        <v>10501</v>
      </c>
      <c r="F2740" s="31" t="s">
        <v>31</v>
      </c>
      <c r="G2740" s="31">
        <v>372</v>
      </c>
      <c r="H2740" s="31">
        <v>10</v>
      </c>
      <c r="I2740" s="31">
        <v>16</v>
      </c>
      <c r="J2740" s="31" t="s">
        <v>10502</v>
      </c>
      <c r="K2740" s="31" t="s">
        <v>4017</v>
      </c>
      <c r="L2740" s="31" t="s">
        <v>56</v>
      </c>
      <c r="M2740" s="31">
        <v>224</v>
      </c>
      <c r="N2740" s="31">
        <v>2018</v>
      </c>
      <c r="O2740" s="31">
        <v>174</v>
      </c>
      <c r="P2740" s="31"/>
      <c r="Q2740" s="31"/>
      <c r="R2740" s="33"/>
      <c r="S2740" s="34" t="str">
        <f>HYPERLINK("http://www.cnpol.ru/covers/18369.jpg","фото на сайте")</f>
        <v>фото на сайте</v>
      </c>
    </row>
    <row r="2741" spans="1:19" ht="50.1" customHeight="1">
      <c r="A2741" s="31"/>
      <c r="B2741" s="32" t="s">
        <v>10503</v>
      </c>
      <c r="C2741" s="31" t="s">
        <v>390</v>
      </c>
      <c r="D2741" s="31" t="s">
        <v>10504</v>
      </c>
      <c r="E2741" s="31" t="s">
        <v>10505</v>
      </c>
      <c r="F2741" s="31">
        <v>683</v>
      </c>
      <c r="G2741" s="31">
        <v>86</v>
      </c>
      <c r="H2741" s="31">
        <v>10</v>
      </c>
      <c r="I2741" s="31">
        <v>30</v>
      </c>
      <c r="J2741" s="31" t="s">
        <v>10506</v>
      </c>
      <c r="K2741" s="31" t="s">
        <v>123</v>
      </c>
      <c r="L2741" s="31" t="s">
        <v>56</v>
      </c>
      <c r="M2741" s="31">
        <v>160</v>
      </c>
      <c r="N2741" s="31">
        <v>2017</v>
      </c>
      <c r="O2741" s="31">
        <v>76</v>
      </c>
      <c r="P2741" s="31"/>
      <c r="Q2741" s="31"/>
      <c r="R2741" s="33"/>
      <c r="S2741" s="34" t="str">
        <f>HYPERLINK("http://www.cnpol.ru/covers/17246.jpg","фото на сайте")</f>
        <v>фото на сайте</v>
      </c>
    </row>
    <row r="2742" spans="1:19" ht="50.1" customHeight="1">
      <c r="A2742" s="31"/>
      <c r="B2742" s="32" t="s">
        <v>10507</v>
      </c>
      <c r="C2742" s="31" t="s">
        <v>37</v>
      </c>
      <c r="D2742" s="31" t="s">
        <v>10508</v>
      </c>
      <c r="E2742" s="31" t="s">
        <v>10509</v>
      </c>
      <c r="F2742" s="31" t="s">
        <v>31</v>
      </c>
      <c r="G2742" s="35">
        <v>1149</v>
      </c>
      <c r="H2742" s="31">
        <v>10</v>
      </c>
      <c r="I2742" s="31">
        <v>8</v>
      </c>
      <c r="J2742" s="31" t="s">
        <v>10510</v>
      </c>
      <c r="K2742" s="31" t="s">
        <v>33</v>
      </c>
      <c r="L2742" s="31" t="s">
        <v>34</v>
      </c>
      <c r="M2742" s="31">
        <v>479</v>
      </c>
      <c r="N2742" s="31">
        <v>2022</v>
      </c>
      <c r="O2742" s="31">
        <v>355</v>
      </c>
      <c r="P2742" s="31"/>
      <c r="Q2742" s="31"/>
      <c r="R2742" s="33"/>
      <c r="S2742" s="34" t="str">
        <f>HYPERLINK("http://www.cnpol.ru/covers/20234.jpg","фото на сайте")</f>
        <v>фото на сайте</v>
      </c>
    </row>
    <row r="2743" spans="1:19" ht="50.1" customHeight="1">
      <c r="A2743" s="31"/>
      <c r="B2743" s="32" t="s">
        <v>10511</v>
      </c>
      <c r="C2743" s="31" t="s">
        <v>3422</v>
      </c>
      <c r="D2743" s="31" t="s">
        <v>2408</v>
      </c>
      <c r="E2743" s="31" t="s">
        <v>10512</v>
      </c>
      <c r="F2743" s="31" t="s">
        <v>31</v>
      </c>
      <c r="G2743" s="31">
        <v>154</v>
      </c>
      <c r="H2743" s="31">
        <v>10</v>
      </c>
      <c r="I2743" s="31">
        <v>20</v>
      </c>
      <c r="J2743" s="31" t="s">
        <v>10513</v>
      </c>
      <c r="K2743" s="31" t="s">
        <v>55</v>
      </c>
      <c r="L2743" s="31" t="s">
        <v>56</v>
      </c>
      <c r="M2743" s="31">
        <v>319</v>
      </c>
      <c r="N2743" s="31">
        <v>2008</v>
      </c>
      <c r="O2743" s="31">
        <v>130</v>
      </c>
      <c r="P2743" s="31"/>
      <c r="Q2743" s="31"/>
      <c r="R2743" s="33"/>
      <c r="S2743" s="34" t="str">
        <f>HYPERLINK("http://www.cnpol.ru/covers/10301.jpg","фото на сайте")</f>
        <v>фото на сайте</v>
      </c>
    </row>
    <row r="2744" spans="1:19" ht="50.1" customHeight="1">
      <c r="A2744" s="31"/>
      <c r="B2744" s="32" t="s">
        <v>10514</v>
      </c>
      <c r="C2744" s="31" t="s">
        <v>520</v>
      </c>
      <c r="D2744" s="31" t="s">
        <v>2156</v>
      </c>
      <c r="E2744" s="31" t="s">
        <v>10515</v>
      </c>
      <c r="F2744" s="31">
        <v>79</v>
      </c>
      <c r="G2744" s="31">
        <v>117</v>
      </c>
      <c r="H2744" s="31">
        <v>10</v>
      </c>
      <c r="I2744" s="31">
        <v>30</v>
      </c>
      <c r="J2744" s="31" t="s">
        <v>10516</v>
      </c>
      <c r="K2744" s="31" t="s">
        <v>123</v>
      </c>
      <c r="L2744" s="31" t="s">
        <v>56</v>
      </c>
      <c r="M2744" s="31">
        <v>192</v>
      </c>
      <c r="N2744" s="31">
        <v>2020</v>
      </c>
      <c r="O2744" s="31">
        <v>90</v>
      </c>
      <c r="P2744" s="31"/>
      <c r="Q2744" s="31"/>
      <c r="R2744" s="33"/>
      <c r="S2744" s="34" t="str">
        <f>HYPERLINK("http://www.cnpol.ru/covers/19294.jpg","фото на сайте")</f>
        <v>фото на сайте</v>
      </c>
    </row>
    <row r="2745" spans="1:19" ht="50.1" customHeight="1">
      <c r="A2745" s="31"/>
      <c r="B2745" s="32" t="s">
        <v>10517</v>
      </c>
      <c r="C2745" s="31" t="s">
        <v>2233</v>
      </c>
      <c r="D2745" s="31" t="s">
        <v>4957</v>
      </c>
      <c r="E2745" s="31" t="s">
        <v>10518</v>
      </c>
      <c r="F2745" s="31" t="s">
        <v>31</v>
      </c>
      <c r="G2745" s="31">
        <v>137</v>
      </c>
      <c r="H2745" s="31">
        <v>10</v>
      </c>
      <c r="I2745" s="31">
        <v>28</v>
      </c>
      <c r="J2745" s="31" t="s">
        <v>10519</v>
      </c>
      <c r="K2745" s="31" t="s">
        <v>55</v>
      </c>
      <c r="L2745" s="31" t="s">
        <v>56</v>
      </c>
      <c r="M2745" s="31">
        <v>287</v>
      </c>
      <c r="N2745" s="31">
        <v>2008</v>
      </c>
      <c r="O2745" s="31">
        <v>122</v>
      </c>
      <c r="P2745" s="31"/>
      <c r="Q2745" s="31"/>
      <c r="R2745" s="33"/>
      <c r="S2745" s="34" t="str">
        <f>HYPERLINK("http://www.cnpol.ru/covers/10700.jpg","фото на сайте")</f>
        <v>фото на сайте</v>
      </c>
    </row>
    <row r="2746" spans="1:19" ht="50.1" customHeight="1">
      <c r="A2746" s="31"/>
      <c r="B2746" s="32" t="s">
        <v>10520</v>
      </c>
      <c r="C2746" s="31" t="s">
        <v>10521</v>
      </c>
      <c r="D2746" s="31" t="s">
        <v>10522</v>
      </c>
      <c r="E2746" s="31" t="s">
        <v>10523</v>
      </c>
      <c r="F2746" s="31" t="s">
        <v>31</v>
      </c>
      <c r="G2746" s="31">
        <v>317</v>
      </c>
      <c r="H2746" s="31">
        <v>10</v>
      </c>
      <c r="I2746" s="31">
        <v>14</v>
      </c>
      <c r="J2746" s="31" t="s">
        <v>10524</v>
      </c>
      <c r="K2746" s="31" t="s">
        <v>33</v>
      </c>
      <c r="L2746" s="31" t="s">
        <v>10525</v>
      </c>
      <c r="M2746" s="31">
        <v>319</v>
      </c>
      <c r="N2746" s="31">
        <v>2005</v>
      </c>
      <c r="O2746" s="31">
        <v>232</v>
      </c>
      <c r="P2746" s="31"/>
      <c r="Q2746" s="31"/>
      <c r="R2746" s="33"/>
      <c r="S2746" s="34" t="str">
        <f>HYPERLINK("http://www.cnpol.ru/covers/6174.jpg","фото на сайте")</f>
        <v>фото на сайте</v>
      </c>
    </row>
    <row r="2747" spans="1:19" ht="50.1" customHeight="1">
      <c r="A2747" s="31"/>
      <c r="B2747" s="32" t="s">
        <v>10526</v>
      </c>
      <c r="C2747" s="31" t="s">
        <v>119</v>
      </c>
      <c r="D2747" s="31" t="s">
        <v>10527</v>
      </c>
      <c r="E2747" s="31" t="s">
        <v>10528</v>
      </c>
      <c r="F2747" s="31" t="s">
        <v>31</v>
      </c>
      <c r="G2747" s="31">
        <v>486</v>
      </c>
      <c r="H2747" s="31">
        <v>10</v>
      </c>
      <c r="I2747" s="31">
        <v>16</v>
      </c>
      <c r="J2747" s="31" t="s">
        <v>10529</v>
      </c>
      <c r="K2747" s="31" t="s">
        <v>194</v>
      </c>
      <c r="L2747" s="31" t="s">
        <v>34</v>
      </c>
      <c r="M2747" s="31">
        <v>224</v>
      </c>
      <c r="N2747" s="31">
        <v>2015</v>
      </c>
      <c r="O2747" s="31">
        <v>236</v>
      </c>
      <c r="P2747" s="31"/>
      <c r="Q2747" s="31"/>
      <c r="R2747" s="33"/>
      <c r="S2747" s="34" t="str">
        <f>HYPERLINK("http://www.cnpol.ru/covers/16174.jpg","фото на сайте")</f>
        <v>фото на сайте</v>
      </c>
    </row>
    <row r="2748" spans="1:19" ht="50.1" customHeight="1">
      <c r="A2748" s="31"/>
      <c r="B2748" s="32" t="s">
        <v>10530</v>
      </c>
      <c r="C2748" s="31" t="s">
        <v>400</v>
      </c>
      <c r="D2748" s="31" t="s">
        <v>785</v>
      </c>
      <c r="E2748" s="31" t="s">
        <v>10531</v>
      </c>
      <c r="F2748" s="31" t="s">
        <v>31</v>
      </c>
      <c r="G2748" s="31">
        <v>503</v>
      </c>
      <c r="H2748" s="31">
        <v>10</v>
      </c>
      <c r="I2748" s="31">
        <v>14</v>
      </c>
      <c r="J2748" s="31" t="s">
        <v>10532</v>
      </c>
      <c r="K2748" s="31" t="s">
        <v>33</v>
      </c>
      <c r="L2748" s="31" t="s">
        <v>34</v>
      </c>
      <c r="M2748" s="31">
        <v>288</v>
      </c>
      <c r="N2748" s="31">
        <v>2017</v>
      </c>
      <c r="O2748" s="31">
        <v>240</v>
      </c>
      <c r="P2748" s="31"/>
      <c r="Q2748" s="31"/>
      <c r="R2748" s="33"/>
      <c r="S2748" s="34" t="str">
        <f>HYPERLINK("http://www.cnpol.ru/covers/17306.jpg","фото на сайте")</f>
        <v>фото на сайте</v>
      </c>
    </row>
    <row r="2749" spans="1:19" ht="50.1" customHeight="1">
      <c r="A2749" s="31" t="s">
        <v>43</v>
      </c>
      <c r="B2749" s="32" t="s">
        <v>10533</v>
      </c>
      <c r="C2749" s="31" t="s">
        <v>2631</v>
      </c>
      <c r="D2749" s="31" t="s">
        <v>10534</v>
      </c>
      <c r="E2749" s="31" t="s">
        <v>10535</v>
      </c>
      <c r="F2749" s="31" t="s">
        <v>31</v>
      </c>
      <c r="G2749" s="35">
        <v>2381</v>
      </c>
      <c r="H2749" s="31">
        <v>10</v>
      </c>
      <c r="I2749" s="31">
        <v>3</v>
      </c>
      <c r="J2749" s="31" t="s">
        <v>10536</v>
      </c>
      <c r="K2749" s="31" t="s">
        <v>147</v>
      </c>
      <c r="L2749" s="31" t="s">
        <v>34</v>
      </c>
      <c r="M2749" s="31">
        <v>767</v>
      </c>
      <c r="N2749" s="31">
        <v>2024</v>
      </c>
      <c r="O2749" s="31">
        <v>635</v>
      </c>
      <c r="P2749" s="31"/>
      <c r="Q2749" s="31"/>
      <c r="R2749" s="33" t="s">
        <v>10537</v>
      </c>
      <c r="S2749" s="34" t="str">
        <f>HYPERLINK("http://www.cnpol.ru/covers/21096.jpg","фото на сайте")</f>
        <v>фото на сайте</v>
      </c>
    </row>
    <row r="2750" spans="1:19" ht="50.1" customHeight="1">
      <c r="A2750" s="31"/>
      <c r="B2750" s="32" t="s">
        <v>10538</v>
      </c>
      <c r="C2750" s="31" t="s">
        <v>10539</v>
      </c>
      <c r="D2750" s="31" t="s">
        <v>3780</v>
      </c>
      <c r="E2750" s="31" t="s">
        <v>10540</v>
      </c>
      <c r="F2750" s="31">
        <v>3</v>
      </c>
      <c r="G2750" s="31">
        <v>461</v>
      </c>
      <c r="H2750" s="31">
        <v>10</v>
      </c>
      <c r="I2750" s="31">
        <v>12</v>
      </c>
      <c r="J2750" s="31" t="s">
        <v>10541</v>
      </c>
      <c r="K2750" s="31" t="s">
        <v>33</v>
      </c>
      <c r="L2750" s="31" t="s">
        <v>34</v>
      </c>
      <c r="M2750" s="31">
        <v>450</v>
      </c>
      <c r="N2750" s="31">
        <v>2010</v>
      </c>
      <c r="O2750" s="31">
        <v>396</v>
      </c>
      <c r="P2750" s="31"/>
      <c r="Q2750" s="31"/>
      <c r="R2750" s="33"/>
      <c r="S2750" s="34" t="str">
        <f>HYPERLINK("http://www.cnpol.ru/covers/12177.jpg","фото на сайте")</f>
        <v>фото на сайте</v>
      </c>
    </row>
    <row r="2751" spans="1:19" ht="50.1" customHeight="1">
      <c r="A2751" s="31"/>
      <c r="B2751" s="32" t="s">
        <v>10542</v>
      </c>
      <c r="C2751" s="31" t="s">
        <v>520</v>
      </c>
      <c r="D2751" s="31" t="s">
        <v>559</v>
      </c>
      <c r="E2751" s="31" t="s">
        <v>10543</v>
      </c>
      <c r="F2751" s="31">
        <v>24</v>
      </c>
      <c r="G2751" s="31">
        <v>117</v>
      </c>
      <c r="H2751" s="31">
        <v>10</v>
      </c>
      <c r="I2751" s="31">
        <v>30</v>
      </c>
      <c r="J2751" s="31" t="s">
        <v>10544</v>
      </c>
      <c r="K2751" s="31" t="s">
        <v>123</v>
      </c>
      <c r="L2751" s="31" t="s">
        <v>56</v>
      </c>
      <c r="M2751" s="31">
        <v>192</v>
      </c>
      <c r="N2751" s="31">
        <v>2016</v>
      </c>
      <c r="O2751" s="31">
        <v>90</v>
      </c>
      <c r="P2751" s="31"/>
      <c r="Q2751" s="31"/>
      <c r="R2751" s="33"/>
      <c r="S2751" s="34" t="str">
        <f>HYPERLINK("http://www.cnpol.ru/covers/16648.jpg","фото на сайте")</f>
        <v>фото на сайте</v>
      </c>
    </row>
    <row r="2752" spans="1:19" ht="50.1" customHeight="1">
      <c r="A2752" s="31"/>
      <c r="B2752" s="32" t="s">
        <v>10545</v>
      </c>
      <c r="C2752" s="31" t="s">
        <v>520</v>
      </c>
      <c r="D2752" s="31" t="s">
        <v>1690</v>
      </c>
      <c r="E2752" s="31" t="s">
        <v>10546</v>
      </c>
      <c r="F2752" s="31">
        <v>37</v>
      </c>
      <c r="G2752" s="31">
        <v>117</v>
      </c>
      <c r="H2752" s="31">
        <v>10</v>
      </c>
      <c r="I2752" s="31">
        <v>36</v>
      </c>
      <c r="J2752" s="31" t="s">
        <v>10547</v>
      </c>
      <c r="K2752" s="31" t="s">
        <v>123</v>
      </c>
      <c r="L2752" s="31" t="s">
        <v>56</v>
      </c>
      <c r="M2752" s="31">
        <v>192</v>
      </c>
      <c r="N2752" s="31">
        <v>2016</v>
      </c>
      <c r="O2752" s="31">
        <v>90</v>
      </c>
      <c r="P2752" s="31"/>
      <c r="Q2752" s="31"/>
      <c r="R2752" s="33"/>
      <c r="S2752" s="34" t="str">
        <f>HYPERLINK("http://www.cnpol.ru/covers/17101.jpg","фото на сайте")</f>
        <v>фото на сайте</v>
      </c>
    </row>
    <row r="2753" spans="1:19" ht="50.1" customHeight="1">
      <c r="A2753" s="31"/>
      <c r="B2753" s="32" t="s">
        <v>10548</v>
      </c>
      <c r="C2753" s="31" t="s">
        <v>7977</v>
      </c>
      <c r="D2753" s="31" t="s">
        <v>10549</v>
      </c>
      <c r="E2753" s="31" t="s">
        <v>10550</v>
      </c>
      <c r="F2753" s="31" t="s">
        <v>31</v>
      </c>
      <c r="G2753" s="31">
        <v>693</v>
      </c>
      <c r="H2753" s="31">
        <v>10</v>
      </c>
      <c r="I2753" s="31">
        <v>16</v>
      </c>
      <c r="J2753" s="31" t="s">
        <v>10551</v>
      </c>
      <c r="K2753" s="31" t="s">
        <v>33</v>
      </c>
      <c r="L2753" s="31" t="s">
        <v>34</v>
      </c>
      <c r="M2753" s="31">
        <v>288</v>
      </c>
      <c r="N2753" s="31">
        <v>2020</v>
      </c>
      <c r="O2753" s="31">
        <v>330</v>
      </c>
      <c r="P2753" s="31"/>
      <c r="Q2753" s="31"/>
      <c r="R2753" s="33"/>
      <c r="S2753" s="34" t="str">
        <f>HYPERLINK("http://www.cnpol.ru/covers/19043.jpg","фото на сайте")</f>
        <v>фото на сайте</v>
      </c>
    </row>
    <row r="2754" spans="1:19" ht="50.1" customHeight="1">
      <c r="A2754" s="31" t="s">
        <v>43</v>
      </c>
      <c r="B2754" s="32" t="s">
        <v>10552</v>
      </c>
      <c r="C2754" s="31" t="s">
        <v>37</v>
      </c>
      <c r="D2754" s="31" t="s">
        <v>10553</v>
      </c>
      <c r="E2754" s="31" t="s">
        <v>10554</v>
      </c>
      <c r="F2754" s="31" t="s">
        <v>31</v>
      </c>
      <c r="G2754" s="35">
        <v>1601</v>
      </c>
      <c r="H2754" s="31">
        <v>10</v>
      </c>
      <c r="I2754" s="31">
        <v>5</v>
      </c>
      <c r="J2754" s="31" t="s">
        <v>10555</v>
      </c>
      <c r="K2754" s="31" t="s">
        <v>41</v>
      </c>
      <c r="L2754" s="31" t="s">
        <v>34</v>
      </c>
      <c r="M2754" s="31">
        <v>623</v>
      </c>
      <c r="N2754" s="31">
        <v>2024</v>
      </c>
      <c r="O2754" s="31">
        <v>700</v>
      </c>
      <c r="P2754" s="31"/>
      <c r="Q2754" s="31"/>
      <c r="R2754" s="33" t="s">
        <v>10556</v>
      </c>
      <c r="S2754" s="34" t="str">
        <f>HYPERLINK("http://www.cnpol.ru/covers/21356.jpg","фото на сайте")</f>
        <v>фото на сайте</v>
      </c>
    </row>
    <row r="2755" spans="1:19" ht="50.1" customHeight="1">
      <c r="A2755" s="31"/>
      <c r="B2755" s="32" t="s">
        <v>10557</v>
      </c>
      <c r="C2755" s="31" t="s">
        <v>576</v>
      </c>
      <c r="D2755" s="31" t="s">
        <v>577</v>
      </c>
      <c r="E2755" s="31" t="s">
        <v>10558</v>
      </c>
      <c r="F2755" s="31" t="s">
        <v>31</v>
      </c>
      <c r="G2755" s="31">
        <v>226</v>
      </c>
      <c r="H2755" s="31">
        <v>10</v>
      </c>
      <c r="I2755" s="31">
        <v>20</v>
      </c>
      <c r="J2755" s="31" t="s">
        <v>10559</v>
      </c>
      <c r="K2755" s="31" t="s">
        <v>123</v>
      </c>
      <c r="L2755" s="31" t="s">
        <v>56</v>
      </c>
      <c r="M2755" s="31">
        <v>320</v>
      </c>
      <c r="N2755" s="31">
        <v>2019</v>
      </c>
      <c r="O2755" s="31">
        <v>148</v>
      </c>
      <c r="P2755" s="31"/>
      <c r="Q2755" s="31"/>
      <c r="R2755" s="33"/>
      <c r="S2755" s="34" t="str">
        <f>HYPERLINK("http://www.cnpol.ru/covers/18465.jpg","фото на сайте")</f>
        <v>фото на сайте</v>
      </c>
    </row>
    <row r="2756" spans="1:19" ht="50.1" customHeight="1">
      <c r="A2756" s="31"/>
      <c r="B2756" s="32" t="s">
        <v>10560</v>
      </c>
      <c r="C2756" s="31" t="s">
        <v>576</v>
      </c>
      <c r="D2756" s="31" t="s">
        <v>577</v>
      </c>
      <c r="E2756" s="31" t="s">
        <v>10561</v>
      </c>
      <c r="F2756" s="31" t="s">
        <v>31</v>
      </c>
      <c r="G2756" s="31">
        <v>227</v>
      </c>
      <c r="H2756" s="31">
        <v>10</v>
      </c>
      <c r="I2756" s="31">
        <v>20</v>
      </c>
      <c r="J2756" s="31" t="s">
        <v>10562</v>
      </c>
      <c r="K2756" s="31" t="s">
        <v>123</v>
      </c>
      <c r="L2756" s="31" t="s">
        <v>56</v>
      </c>
      <c r="M2756" s="31">
        <v>288</v>
      </c>
      <c r="N2756" s="31">
        <v>2020</v>
      </c>
      <c r="O2756" s="31">
        <v>136</v>
      </c>
      <c r="P2756" s="31"/>
      <c r="Q2756" s="31"/>
      <c r="R2756" s="33"/>
      <c r="S2756" s="34" t="str">
        <f>HYPERLINK("http://www.cnpol.ru/covers/19197.jpg","фото на сайте")</f>
        <v>фото на сайте</v>
      </c>
    </row>
    <row r="2757" spans="1:19" ht="50.1" customHeight="1">
      <c r="A2757" s="31"/>
      <c r="B2757" s="32" t="s">
        <v>10563</v>
      </c>
      <c r="C2757" s="31" t="s">
        <v>385</v>
      </c>
      <c r="D2757" s="31" t="s">
        <v>386</v>
      </c>
      <c r="E2757" s="31" t="s">
        <v>10564</v>
      </c>
      <c r="F2757" s="31" t="s">
        <v>31</v>
      </c>
      <c r="G2757" s="31">
        <v>162</v>
      </c>
      <c r="H2757" s="31">
        <v>10</v>
      </c>
      <c r="I2757" s="31">
        <v>32</v>
      </c>
      <c r="J2757" s="31" t="s">
        <v>10565</v>
      </c>
      <c r="K2757" s="31" t="s">
        <v>55</v>
      </c>
      <c r="L2757" s="31" t="s">
        <v>56</v>
      </c>
      <c r="M2757" s="31">
        <v>252</v>
      </c>
      <c r="N2757" s="31">
        <v>2012</v>
      </c>
      <c r="O2757" s="31">
        <v>108</v>
      </c>
      <c r="P2757" s="31"/>
      <c r="Q2757" s="31"/>
      <c r="R2757" s="33"/>
      <c r="S2757" s="34" t="str">
        <f>HYPERLINK("http://www.cnpol.ru/covers/13519.jpg","фото на сайте")</f>
        <v>фото на сайте</v>
      </c>
    </row>
    <row r="2758" spans="1:19" ht="50.1" customHeight="1">
      <c r="A2758" s="31"/>
      <c r="B2758" s="32" t="s">
        <v>10566</v>
      </c>
      <c r="C2758" s="31" t="s">
        <v>385</v>
      </c>
      <c r="D2758" s="31" t="s">
        <v>386</v>
      </c>
      <c r="E2758" s="31" t="s">
        <v>10564</v>
      </c>
      <c r="F2758" s="31" t="s">
        <v>31</v>
      </c>
      <c r="G2758" s="31">
        <v>162</v>
      </c>
      <c r="H2758" s="31">
        <v>10</v>
      </c>
      <c r="I2758" s="31">
        <v>32</v>
      </c>
      <c r="J2758" s="31" t="s">
        <v>10567</v>
      </c>
      <c r="K2758" s="31" t="s">
        <v>55</v>
      </c>
      <c r="L2758" s="31" t="s">
        <v>56</v>
      </c>
      <c r="M2758" s="31">
        <v>256</v>
      </c>
      <c r="N2758" s="31">
        <v>2016</v>
      </c>
      <c r="O2758" s="31">
        <v>108</v>
      </c>
      <c r="P2758" s="31"/>
      <c r="Q2758" s="31"/>
      <c r="R2758" s="33"/>
      <c r="S2758" s="34" t="str">
        <f>HYPERLINK("http://www.cnpol.ru/covers/0151.jpg","фото на сайте")</f>
        <v>фото на сайте</v>
      </c>
    </row>
    <row r="2759" spans="1:19" ht="50.1" customHeight="1">
      <c r="A2759" s="31"/>
      <c r="B2759" s="32" t="s">
        <v>10568</v>
      </c>
      <c r="C2759" s="31" t="s">
        <v>1323</v>
      </c>
      <c r="D2759" s="31" t="s">
        <v>10569</v>
      </c>
      <c r="E2759" s="31" t="s">
        <v>10570</v>
      </c>
      <c r="F2759" s="31" t="s">
        <v>31</v>
      </c>
      <c r="G2759" s="31">
        <v>169</v>
      </c>
      <c r="H2759" s="31">
        <v>10</v>
      </c>
      <c r="I2759" s="31">
        <v>40</v>
      </c>
      <c r="J2759" s="31" t="s">
        <v>10571</v>
      </c>
      <c r="K2759" s="31" t="s">
        <v>55</v>
      </c>
      <c r="L2759" s="31" t="s">
        <v>56</v>
      </c>
      <c r="M2759" s="31">
        <v>256</v>
      </c>
      <c r="N2759" s="31">
        <v>2019</v>
      </c>
      <c r="O2759" s="31">
        <v>110</v>
      </c>
      <c r="P2759" s="31"/>
      <c r="Q2759" s="31"/>
      <c r="R2759" s="33"/>
      <c r="S2759" s="34" t="str">
        <f>HYPERLINK("http://www.cnpol.ru/covers/18779.jpg","фото на сайте")</f>
        <v>фото на сайте</v>
      </c>
    </row>
    <row r="2760" spans="1:19" ht="50.1" customHeight="1">
      <c r="A2760" s="31"/>
      <c r="B2760" s="32" t="s">
        <v>10572</v>
      </c>
      <c r="C2760" s="31" t="s">
        <v>576</v>
      </c>
      <c r="D2760" s="31" t="s">
        <v>577</v>
      </c>
      <c r="E2760" s="31" t="s">
        <v>10573</v>
      </c>
      <c r="F2760" s="31" t="s">
        <v>31</v>
      </c>
      <c r="G2760" s="31">
        <v>226</v>
      </c>
      <c r="H2760" s="31">
        <v>10</v>
      </c>
      <c r="I2760" s="31">
        <v>20</v>
      </c>
      <c r="J2760" s="31" t="s">
        <v>10574</v>
      </c>
      <c r="K2760" s="31" t="s">
        <v>123</v>
      </c>
      <c r="L2760" s="31" t="s">
        <v>56</v>
      </c>
      <c r="M2760" s="31">
        <v>320</v>
      </c>
      <c r="N2760" s="31">
        <v>2017</v>
      </c>
      <c r="O2760" s="31">
        <v>150</v>
      </c>
      <c r="P2760" s="31"/>
      <c r="Q2760" s="31"/>
      <c r="R2760" s="33"/>
      <c r="S2760" s="34" t="str">
        <f>HYPERLINK("http://www.cnpol.ru/covers/17549.jpg","фото на сайте")</f>
        <v>фото на сайте</v>
      </c>
    </row>
    <row r="2761" spans="1:19" ht="50.1" customHeight="1">
      <c r="A2761" s="31"/>
      <c r="B2761" s="32" t="s">
        <v>10575</v>
      </c>
      <c r="C2761" s="31" t="s">
        <v>390</v>
      </c>
      <c r="D2761" s="31" t="s">
        <v>10576</v>
      </c>
      <c r="E2761" s="31" t="s">
        <v>10577</v>
      </c>
      <c r="F2761" s="31">
        <v>360</v>
      </c>
      <c r="G2761" s="31">
        <v>86</v>
      </c>
      <c r="H2761" s="31">
        <v>10</v>
      </c>
      <c r="I2761" s="31">
        <v>30</v>
      </c>
      <c r="J2761" s="31" t="s">
        <v>10578</v>
      </c>
      <c r="K2761" s="31" t="s">
        <v>123</v>
      </c>
      <c r="L2761" s="31" t="s">
        <v>56</v>
      </c>
      <c r="M2761" s="31">
        <v>158</v>
      </c>
      <c r="N2761" s="31">
        <v>2013</v>
      </c>
      <c r="O2761" s="31">
        <v>78</v>
      </c>
      <c r="P2761" s="31"/>
      <c r="Q2761" s="31"/>
      <c r="R2761" s="33"/>
      <c r="S2761" s="34" t="str">
        <f>HYPERLINK("http://www.cnpol.ru/covers/14658.jpg","фото на сайте")</f>
        <v>фото на сайте</v>
      </c>
    </row>
    <row r="2762" spans="1:19" ht="50.1" customHeight="1">
      <c r="A2762" s="31"/>
      <c r="B2762" s="32" t="s">
        <v>10579</v>
      </c>
      <c r="C2762" s="31" t="s">
        <v>576</v>
      </c>
      <c r="D2762" s="31" t="s">
        <v>577</v>
      </c>
      <c r="E2762" s="31" t="s">
        <v>10580</v>
      </c>
      <c r="F2762" s="31" t="s">
        <v>31</v>
      </c>
      <c r="G2762" s="31">
        <v>226</v>
      </c>
      <c r="H2762" s="31">
        <v>10</v>
      </c>
      <c r="I2762" s="31">
        <v>20</v>
      </c>
      <c r="J2762" s="31" t="s">
        <v>10581</v>
      </c>
      <c r="K2762" s="31" t="s">
        <v>123</v>
      </c>
      <c r="L2762" s="31" t="s">
        <v>56</v>
      </c>
      <c r="M2762" s="31">
        <v>288</v>
      </c>
      <c r="N2762" s="31">
        <v>2017</v>
      </c>
      <c r="O2762" s="31">
        <v>134</v>
      </c>
      <c r="P2762" s="31"/>
      <c r="Q2762" s="31"/>
      <c r="R2762" s="33"/>
      <c r="S2762" s="34" t="str">
        <f>HYPERLINK("http://www.cnpol.ru/covers/17771.jpg","фото на сайте")</f>
        <v>фото на сайте</v>
      </c>
    </row>
    <row r="2763" spans="1:19" ht="50.1" customHeight="1">
      <c r="A2763" s="31"/>
      <c r="B2763" s="32" t="s">
        <v>10582</v>
      </c>
      <c r="C2763" s="31" t="s">
        <v>390</v>
      </c>
      <c r="D2763" s="31" t="s">
        <v>1805</v>
      </c>
      <c r="E2763" s="31" t="s">
        <v>10583</v>
      </c>
      <c r="F2763" s="31">
        <v>1020</v>
      </c>
      <c r="G2763" s="31">
        <v>86</v>
      </c>
      <c r="H2763" s="31">
        <v>10</v>
      </c>
      <c r="I2763" s="31">
        <v>30</v>
      </c>
      <c r="J2763" s="31" t="s">
        <v>10584</v>
      </c>
      <c r="K2763" s="31" t="s">
        <v>123</v>
      </c>
      <c r="L2763" s="31" t="s">
        <v>56</v>
      </c>
      <c r="M2763" s="31">
        <v>160</v>
      </c>
      <c r="N2763" s="31">
        <v>2021</v>
      </c>
      <c r="O2763" s="31">
        <v>76</v>
      </c>
      <c r="P2763" s="31"/>
      <c r="Q2763" s="31"/>
      <c r="R2763" s="33"/>
      <c r="S2763" s="34" t="str">
        <f>HYPERLINK("http://www.cnpol.ru/covers/19537.jpg","фото на сайте")</f>
        <v>фото на сайте</v>
      </c>
    </row>
    <row r="2764" spans="1:19" ht="50.1" customHeight="1">
      <c r="A2764" s="31"/>
      <c r="B2764" s="32" t="s">
        <v>10585</v>
      </c>
      <c r="C2764" s="31" t="s">
        <v>302</v>
      </c>
      <c r="D2764" s="31" t="s">
        <v>872</v>
      </c>
      <c r="E2764" s="31" t="s">
        <v>10586</v>
      </c>
      <c r="F2764" s="31" t="s">
        <v>31</v>
      </c>
      <c r="G2764" s="31">
        <v>917</v>
      </c>
      <c r="H2764" s="31">
        <v>10</v>
      </c>
      <c r="I2764" s="31">
        <v>10</v>
      </c>
      <c r="J2764" s="31" t="s">
        <v>10587</v>
      </c>
      <c r="K2764" s="31" t="s">
        <v>41</v>
      </c>
      <c r="L2764" s="31" t="s">
        <v>304</v>
      </c>
      <c r="M2764" s="31">
        <v>320</v>
      </c>
      <c r="N2764" s="31">
        <v>2023</v>
      </c>
      <c r="O2764" s="31">
        <v>436</v>
      </c>
      <c r="P2764" s="31"/>
      <c r="Q2764" s="31"/>
      <c r="R2764" s="33" t="s">
        <v>10588</v>
      </c>
      <c r="S2764" s="34" t="str">
        <f>HYPERLINK("http://www.cnpol.ru/covers/20628.jpg","фото на сайте")</f>
        <v>фото на сайте</v>
      </c>
    </row>
    <row r="2765" spans="1:19" ht="50.1" customHeight="1">
      <c r="A2765" s="31"/>
      <c r="B2765" s="32" t="s">
        <v>10589</v>
      </c>
      <c r="C2765" s="31" t="s">
        <v>546</v>
      </c>
      <c r="D2765" s="31" t="s">
        <v>765</v>
      </c>
      <c r="E2765" s="31" t="s">
        <v>10590</v>
      </c>
      <c r="F2765" s="31">
        <v>301</v>
      </c>
      <c r="G2765" s="31">
        <v>93</v>
      </c>
      <c r="H2765" s="31">
        <v>10</v>
      </c>
      <c r="I2765" s="31">
        <v>30</v>
      </c>
      <c r="J2765" s="31" t="s">
        <v>10591</v>
      </c>
      <c r="K2765" s="31" t="s">
        <v>123</v>
      </c>
      <c r="L2765" s="31" t="s">
        <v>56</v>
      </c>
      <c r="M2765" s="31">
        <v>160</v>
      </c>
      <c r="N2765" s="31">
        <v>2019</v>
      </c>
      <c r="O2765" s="31">
        <v>76</v>
      </c>
      <c r="P2765" s="31"/>
      <c r="Q2765" s="31"/>
      <c r="R2765" s="33"/>
      <c r="S2765" s="34" t="str">
        <f>HYPERLINK("http://www.cnpol.ru/covers/18579.jpg","фото на сайте")</f>
        <v>фото на сайте</v>
      </c>
    </row>
    <row r="2766" spans="1:19" ht="50.1" customHeight="1">
      <c r="A2766" s="31" t="s">
        <v>35</v>
      </c>
      <c r="B2766" s="32" t="s">
        <v>10592</v>
      </c>
      <c r="C2766" s="31" t="s">
        <v>37</v>
      </c>
      <c r="D2766" s="31" t="s">
        <v>10593</v>
      </c>
      <c r="E2766" s="31" t="s">
        <v>10594</v>
      </c>
      <c r="F2766" s="31" t="s">
        <v>31</v>
      </c>
      <c r="G2766" s="31">
        <v>917</v>
      </c>
      <c r="H2766" s="31">
        <v>10</v>
      </c>
      <c r="I2766" s="31">
        <v>5</v>
      </c>
      <c r="J2766" s="31" t="s">
        <v>10595</v>
      </c>
      <c r="K2766" s="31" t="s">
        <v>33</v>
      </c>
      <c r="L2766" s="31" t="s">
        <v>34</v>
      </c>
      <c r="M2766" s="31">
        <v>303</v>
      </c>
      <c r="N2766" s="31">
        <v>2025</v>
      </c>
      <c r="O2766" s="31">
        <v>255</v>
      </c>
      <c r="P2766" s="31"/>
      <c r="Q2766" s="31"/>
      <c r="R2766" s="33" t="s">
        <v>10596</v>
      </c>
      <c r="S2766" s="34" t="str">
        <f>HYPERLINK("http://www.cnpol.ru/covers/21604.jpg","фото на сайте")</f>
        <v>фото на сайте</v>
      </c>
    </row>
    <row r="2767" spans="1:19" ht="50.1" customHeight="1">
      <c r="A2767" s="31" t="s">
        <v>43</v>
      </c>
      <c r="B2767" s="32" t="s">
        <v>10597</v>
      </c>
      <c r="C2767" s="31" t="s">
        <v>688</v>
      </c>
      <c r="D2767" s="31" t="s">
        <v>10598</v>
      </c>
      <c r="E2767" s="31" t="s">
        <v>10599</v>
      </c>
      <c r="F2767" s="31" t="s">
        <v>31</v>
      </c>
      <c r="G2767" s="31">
        <v>961</v>
      </c>
      <c r="H2767" s="31">
        <v>10</v>
      </c>
      <c r="I2767" s="31">
        <v>5</v>
      </c>
      <c r="J2767" s="31" t="s">
        <v>10600</v>
      </c>
      <c r="K2767" s="31" t="s">
        <v>33</v>
      </c>
      <c r="L2767" s="31" t="s">
        <v>34</v>
      </c>
      <c r="M2767" s="31">
        <v>339</v>
      </c>
      <c r="N2767" s="31">
        <v>2025</v>
      </c>
      <c r="O2767" s="31" t="s">
        <v>220</v>
      </c>
      <c r="P2767" s="31"/>
      <c r="Q2767" s="31"/>
      <c r="R2767" s="33" t="s">
        <v>10601</v>
      </c>
      <c r="S2767" s="34" t="str">
        <f>HYPERLINK("http://www.cnpol.ru/covers/21799.jpg","фото на сайте")</f>
        <v>фото на сайте</v>
      </c>
    </row>
    <row r="2768" spans="1:19" ht="50.1" customHeight="1">
      <c r="A2768" s="31"/>
      <c r="B2768" s="32" t="s">
        <v>10602</v>
      </c>
      <c r="C2768" s="31" t="s">
        <v>390</v>
      </c>
      <c r="D2768" s="31" t="s">
        <v>989</v>
      </c>
      <c r="E2768" s="31" t="s">
        <v>10603</v>
      </c>
      <c r="F2768" s="31">
        <v>614</v>
      </c>
      <c r="G2768" s="31">
        <v>86</v>
      </c>
      <c r="H2768" s="31">
        <v>10</v>
      </c>
      <c r="I2768" s="31">
        <v>30</v>
      </c>
      <c r="J2768" s="31" t="s">
        <v>10604</v>
      </c>
      <c r="K2768" s="31" t="s">
        <v>123</v>
      </c>
      <c r="L2768" s="31" t="s">
        <v>56</v>
      </c>
      <c r="M2768" s="31">
        <v>160</v>
      </c>
      <c r="N2768" s="31">
        <v>2016</v>
      </c>
      <c r="O2768" s="31">
        <v>76</v>
      </c>
      <c r="P2768" s="31"/>
      <c r="Q2768" s="31"/>
      <c r="R2768" s="33"/>
      <c r="S2768" s="34" t="str">
        <f>HYPERLINK("http://www.cnpol.ru/covers/16704.jpg","фото на сайте")</f>
        <v>фото на сайте</v>
      </c>
    </row>
    <row r="2769" spans="1:19" ht="50.1" customHeight="1">
      <c r="A2769" s="31"/>
      <c r="B2769" s="32" t="s">
        <v>10605</v>
      </c>
      <c r="C2769" s="31" t="s">
        <v>546</v>
      </c>
      <c r="D2769" s="31" t="s">
        <v>1656</v>
      </c>
      <c r="E2769" s="31" t="s">
        <v>10606</v>
      </c>
      <c r="F2769" s="31">
        <v>347</v>
      </c>
      <c r="G2769" s="31">
        <v>93</v>
      </c>
      <c r="H2769" s="31">
        <v>10</v>
      </c>
      <c r="I2769" s="31">
        <v>30</v>
      </c>
      <c r="J2769" s="31" t="s">
        <v>10607</v>
      </c>
      <c r="K2769" s="31" t="s">
        <v>123</v>
      </c>
      <c r="L2769" s="31" t="s">
        <v>56</v>
      </c>
      <c r="M2769" s="31">
        <v>160</v>
      </c>
      <c r="N2769" s="31">
        <v>2020</v>
      </c>
      <c r="O2769" s="31">
        <v>76</v>
      </c>
      <c r="P2769" s="31"/>
      <c r="Q2769" s="31"/>
      <c r="R2769" s="33"/>
      <c r="S2769" s="34" t="str">
        <f>HYPERLINK("http://www.cnpol.ru/covers/19132.jpg","фото на сайте")</f>
        <v>фото на сайте</v>
      </c>
    </row>
    <row r="2770" spans="1:19" ht="50.1" customHeight="1">
      <c r="A2770" s="31"/>
      <c r="B2770" s="32" t="s">
        <v>10608</v>
      </c>
      <c r="C2770" s="31" t="s">
        <v>390</v>
      </c>
      <c r="D2770" s="31" t="s">
        <v>1520</v>
      </c>
      <c r="E2770" s="31" t="s">
        <v>10609</v>
      </c>
      <c r="F2770" s="31">
        <v>636</v>
      </c>
      <c r="G2770" s="31">
        <v>86</v>
      </c>
      <c r="H2770" s="31">
        <v>10</v>
      </c>
      <c r="I2770" s="31">
        <v>30</v>
      </c>
      <c r="J2770" s="31" t="s">
        <v>10610</v>
      </c>
      <c r="K2770" s="31" t="s">
        <v>123</v>
      </c>
      <c r="L2770" s="31" t="s">
        <v>56</v>
      </c>
      <c r="M2770" s="31">
        <v>160</v>
      </c>
      <c r="N2770" s="31">
        <v>2016</v>
      </c>
      <c r="O2770" s="31">
        <v>76</v>
      </c>
      <c r="P2770" s="31"/>
      <c r="Q2770" s="31"/>
      <c r="R2770" s="33"/>
      <c r="S2770" s="34" t="str">
        <f>HYPERLINK("http://www.cnpol.ru/covers/16887.jpg","фото на сайте")</f>
        <v>фото на сайте</v>
      </c>
    </row>
    <row r="2771" spans="1:19" ht="50.1" customHeight="1">
      <c r="A2771" s="31"/>
      <c r="B2771" s="32" t="s">
        <v>10611</v>
      </c>
      <c r="C2771" s="31" t="s">
        <v>9843</v>
      </c>
      <c r="D2771" s="31" t="s">
        <v>10612</v>
      </c>
      <c r="E2771" s="31" t="s">
        <v>10613</v>
      </c>
      <c r="F2771" s="31" t="s">
        <v>31</v>
      </c>
      <c r="G2771" s="31">
        <v>218</v>
      </c>
      <c r="H2771" s="31">
        <v>10</v>
      </c>
      <c r="I2771" s="31">
        <v>22</v>
      </c>
      <c r="J2771" s="31" t="s">
        <v>10614</v>
      </c>
      <c r="K2771" s="31" t="s">
        <v>123</v>
      </c>
      <c r="L2771" s="31" t="s">
        <v>56</v>
      </c>
      <c r="M2771" s="31">
        <v>320</v>
      </c>
      <c r="N2771" s="31">
        <v>2012</v>
      </c>
      <c r="O2771" s="31">
        <v>150</v>
      </c>
      <c r="P2771" s="31"/>
      <c r="Q2771" s="31"/>
      <c r="R2771" s="33"/>
      <c r="S2771" s="34" t="str">
        <f>HYPERLINK("http://www.cnpol.ru/covers/14067.jpg","фото на сайте")</f>
        <v>фото на сайте</v>
      </c>
    </row>
    <row r="2772" spans="1:19" ht="50.1" customHeight="1">
      <c r="A2772" s="31"/>
      <c r="B2772" s="32" t="s">
        <v>10615</v>
      </c>
      <c r="C2772" s="31" t="s">
        <v>390</v>
      </c>
      <c r="D2772" s="31" t="s">
        <v>3610</v>
      </c>
      <c r="E2772" s="31" t="s">
        <v>10616</v>
      </c>
      <c r="F2772" s="31">
        <v>647</v>
      </c>
      <c r="G2772" s="31">
        <v>86</v>
      </c>
      <c r="H2772" s="31">
        <v>10</v>
      </c>
      <c r="I2772" s="31">
        <v>30</v>
      </c>
      <c r="J2772" s="31" t="s">
        <v>10617</v>
      </c>
      <c r="K2772" s="31" t="s">
        <v>123</v>
      </c>
      <c r="L2772" s="31" t="s">
        <v>56</v>
      </c>
      <c r="M2772" s="31">
        <v>158</v>
      </c>
      <c r="N2772" s="31">
        <v>2016</v>
      </c>
      <c r="O2772" s="31">
        <v>76</v>
      </c>
      <c r="P2772" s="31"/>
      <c r="Q2772" s="31"/>
      <c r="R2772" s="33"/>
      <c r="S2772" s="34" t="str">
        <f>HYPERLINK("http://www.cnpol.ru/covers/16977.jpg","фото на сайте")</f>
        <v>фото на сайте</v>
      </c>
    </row>
    <row r="2773" spans="1:19" ht="50.1" customHeight="1">
      <c r="A2773" s="31"/>
      <c r="B2773" s="32" t="s">
        <v>10618</v>
      </c>
      <c r="C2773" s="31" t="s">
        <v>546</v>
      </c>
      <c r="D2773" s="31" t="s">
        <v>1107</v>
      </c>
      <c r="E2773" s="31" t="s">
        <v>10619</v>
      </c>
      <c r="F2773" s="31">
        <v>204</v>
      </c>
      <c r="G2773" s="31">
        <v>93</v>
      </c>
      <c r="H2773" s="31">
        <v>10</v>
      </c>
      <c r="I2773" s="31">
        <v>30</v>
      </c>
      <c r="J2773" s="31" t="s">
        <v>10620</v>
      </c>
      <c r="K2773" s="31" t="s">
        <v>123</v>
      </c>
      <c r="L2773" s="31" t="s">
        <v>56</v>
      </c>
      <c r="M2773" s="31">
        <v>160</v>
      </c>
      <c r="N2773" s="31">
        <v>2017</v>
      </c>
      <c r="O2773" s="31">
        <v>76</v>
      </c>
      <c r="P2773" s="31"/>
      <c r="Q2773" s="31"/>
      <c r="R2773" s="33"/>
      <c r="S2773" s="34" t="str">
        <f>HYPERLINK("http://www.cnpol.ru/covers/17281.jpg","фото на сайте")</f>
        <v>фото на сайте</v>
      </c>
    </row>
    <row r="2774" spans="1:19" ht="50.1" customHeight="1">
      <c r="A2774" s="31"/>
      <c r="B2774" s="32" t="s">
        <v>10621</v>
      </c>
      <c r="C2774" s="31" t="s">
        <v>546</v>
      </c>
      <c r="D2774" s="31" t="s">
        <v>842</v>
      </c>
      <c r="E2774" s="31" t="s">
        <v>10622</v>
      </c>
      <c r="F2774" s="31">
        <v>234</v>
      </c>
      <c r="G2774" s="31">
        <v>93</v>
      </c>
      <c r="H2774" s="31">
        <v>10</v>
      </c>
      <c r="I2774" s="31">
        <v>30</v>
      </c>
      <c r="J2774" s="31" t="s">
        <v>10623</v>
      </c>
      <c r="K2774" s="31" t="s">
        <v>123</v>
      </c>
      <c r="L2774" s="31" t="s">
        <v>56</v>
      </c>
      <c r="M2774" s="31">
        <v>160</v>
      </c>
      <c r="N2774" s="31">
        <v>2017</v>
      </c>
      <c r="O2774" s="31">
        <v>76</v>
      </c>
      <c r="P2774" s="31"/>
      <c r="Q2774" s="31"/>
      <c r="R2774" s="33"/>
      <c r="S2774" s="34" t="str">
        <f>HYPERLINK("http://www.cnpol.ru/covers/17657.jpg","фото на сайте")</f>
        <v>фото на сайте</v>
      </c>
    </row>
    <row r="2775" spans="1:19" ht="50.1" customHeight="1">
      <c r="A2775" s="31"/>
      <c r="B2775" s="32" t="s">
        <v>10624</v>
      </c>
      <c r="C2775" s="31" t="s">
        <v>546</v>
      </c>
      <c r="D2775" s="31" t="s">
        <v>1842</v>
      </c>
      <c r="E2775" s="31" t="s">
        <v>10625</v>
      </c>
      <c r="F2775" s="31">
        <v>358</v>
      </c>
      <c r="G2775" s="31">
        <v>93</v>
      </c>
      <c r="H2775" s="31">
        <v>10</v>
      </c>
      <c r="I2775" s="31">
        <v>30</v>
      </c>
      <c r="J2775" s="31" t="s">
        <v>10626</v>
      </c>
      <c r="K2775" s="31" t="s">
        <v>123</v>
      </c>
      <c r="L2775" s="31" t="s">
        <v>56</v>
      </c>
      <c r="M2775" s="31">
        <v>160</v>
      </c>
      <c r="N2775" s="31">
        <v>2020</v>
      </c>
      <c r="O2775" s="31">
        <v>76</v>
      </c>
      <c r="P2775" s="31"/>
      <c r="Q2775" s="31"/>
      <c r="R2775" s="33"/>
      <c r="S2775" s="34" t="str">
        <f>HYPERLINK("http://www.cnpol.ru/covers/19330.jpg","фото на сайте")</f>
        <v>фото на сайте</v>
      </c>
    </row>
    <row r="2776" spans="1:19" ht="50.1" customHeight="1">
      <c r="A2776" s="31"/>
      <c r="B2776" s="32" t="s">
        <v>10627</v>
      </c>
      <c r="C2776" s="31" t="s">
        <v>546</v>
      </c>
      <c r="D2776" s="31" t="s">
        <v>10628</v>
      </c>
      <c r="E2776" s="31" t="s">
        <v>10629</v>
      </c>
      <c r="F2776" s="31">
        <v>426</v>
      </c>
      <c r="G2776" s="31">
        <v>93</v>
      </c>
      <c r="H2776" s="31">
        <v>10</v>
      </c>
      <c r="I2776" s="31">
        <v>30</v>
      </c>
      <c r="J2776" s="31" t="s">
        <v>10630</v>
      </c>
      <c r="K2776" s="31" t="s">
        <v>123</v>
      </c>
      <c r="L2776" s="31" t="s">
        <v>56</v>
      </c>
      <c r="M2776" s="31">
        <v>159</v>
      </c>
      <c r="N2776" s="31">
        <v>2023</v>
      </c>
      <c r="O2776" s="31">
        <v>76</v>
      </c>
      <c r="P2776" s="31"/>
      <c r="Q2776" s="31"/>
      <c r="R2776" s="33" t="s">
        <v>10631</v>
      </c>
      <c r="S2776" s="34" t="str">
        <f>HYPERLINK("http://www.cnpol.ru/covers/20632.jpg","фото на сайте")</f>
        <v>фото на сайте</v>
      </c>
    </row>
    <row r="2777" spans="1:19" ht="50.1" customHeight="1">
      <c r="A2777" s="31"/>
      <c r="B2777" s="32" t="s">
        <v>10632</v>
      </c>
      <c r="C2777" s="31" t="s">
        <v>10633</v>
      </c>
      <c r="D2777" s="31"/>
      <c r="E2777" s="31" t="s">
        <v>10634</v>
      </c>
      <c r="F2777" s="31" t="s">
        <v>31</v>
      </c>
      <c r="G2777" s="31">
        <v>47</v>
      </c>
      <c r="H2777" s="31">
        <v>10</v>
      </c>
      <c r="I2777" s="31">
        <v>24</v>
      </c>
      <c r="J2777" s="31" t="s">
        <v>10635</v>
      </c>
      <c r="K2777" s="31" t="s">
        <v>130</v>
      </c>
      <c r="L2777" s="31" t="s">
        <v>56</v>
      </c>
      <c r="M2777" s="31">
        <v>284</v>
      </c>
      <c r="N2777" s="31">
        <v>2000</v>
      </c>
      <c r="O2777" s="31">
        <v>172</v>
      </c>
      <c r="P2777" s="31"/>
      <c r="Q2777" s="31"/>
      <c r="R2777" s="33"/>
      <c r="S2777" s="34" t="str">
        <f>HYPERLINK("http://www.cnpol.ru/covers/1924.jpg","фото на сайте")</f>
        <v>фото на сайте</v>
      </c>
    </row>
    <row r="2778" spans="1:19" ht="50.1" customHeight="1">
      <c r="A2778" s="31" t="s">
        <v>35</v>
      </c>
      <c r="B2778" s="32" t="s">
        <v>10636</v>
      </c>
      <c r="C2778" s="31" t="s">
        <v>149</v>
      </c>
      <c r="D2778" s="31" t="s">
        <v>150</v>
      </c>
      <c r="E2778" s="31" t="s">
        <v>10637</v>
      </c>
      <c r="F2778" s="31" t="s">
        <v>31</v>
      </c>
      <c r="G2778" s="31">
        <v>258</v>
      </c>
      <c r="H2778" s="31">
        <v>10</v>
      </c>
      <c r="I2778" s="31">
        <v>20</v>
      </c>
      <c r="J2778" s="31" t="s">
        <v>10638</v>
      </c>
      <c r="K2778" s="31" t="s">
        <v>123</v>
      </c>
      <c r="L2778" s="31" t="s">
        <v>56</v>
      </c>
      <c r="M2778" s="31">
        <v>317</v>
      </c>
      <c r="N2778" s="31">
        <v>2024</v>
      </c>
      <c r="O2778" s="31">
        <v>151</v>
      </c>
      <c r="P2778" s="31"/>
      <c r="Q2778" s="31"/>
      <c r="R2778" s="33" t="s">
        <v>10639</v>
      </c>
      <c r="S2778" s="34" t="str">
        <f>HYPERLINK("http://www.cnpol.ru/covers/21341.jpg","фото на сайте")</f>
        <v>фото на сайте</v>
      </c>
    </row>
    <row r="2779" spans="1:19" ht="50.1" customHeight="1">
      <c r="A2779" s="31"/>
      <c r="B2779" s="32" t="s">
        <v>10640</v>
      </c>
      <c r="C2779" s="31" t="s">
        <v>1196</v>
      </c>
      <c r="D2779" s="31" t="s">
        <v>10641</v>
      </c>
      <c r="E2779" s="31" t="s">
        <v>10642</v>
      </c>
      <c r="F2779" s="31" t="s">
        <v>31</v>
      </c>
      <c r="G2779" s="31">
        <v>163</v>
      </c>
      <c r="H2779" s="31">
        <v>10</v>
      </c>
      <c r="I2779" s="31">
        <v>18</v>
      </c>
      <c r="J2779" s="31" t="s">
        <v>10643</v>
      </c>
      <c r="K2779" s="31" t="s">
        <v>33</v>
      </c>
      <c r="L2779" s="31" t="s">
        <v>34</v>
      </c>
      <c r="M2779" s="31" t="s">
        <v>431</v>
      </c>
      <c r="N2779" s="31" t="s">
        <v>431</v>
      </c>
      <c r="O2779" s="31" t="s">
        <v>220</v>
      </c>
      <c r="P2779" s="31"/>
      <c r="Q2779" s="31"/>
      <c r="R2779" s="33"/>
      <c r="S2779" s="34" t="str">
        <f>HYPERLINK("http://www.cnpol.ru/covers/1955.jpg","фото на сайте")</f>
        <v>фото на сайте</v>
      </c>
    </row>
    <row r="2780" spans="1:19" ht="50.1" customHeight="1">
      <c r="A2780" s="31" t="s">
        <v>35</v>
      </c>
      <c r="B2780" s="32" t="s">
        <v>10644</v>
      </c>
      <c r="C2780" s="31" t="s">
        <v>1206</v>
      </c>
      <c r="D2780" s="31" t="s">
        <v>1207</v>
      </c>
      <c r="E2780" s="31" t="s">
        <v>10645</v>
      </c>
      <c r="F2780" s="31" t="s">
        <v>31</v>
      </c>
      <c r="G2780" s="31">
        <v>672</v>
      </c>
      <c r="H2780" s="31">
        <v>10</v>
      </c>
      <c r="I2780" s="31">
        <v>12</v>
      </c>
      <c r="J2780" s="31" t="s">
        <v>10646</v>
      </c>
      <c r="K2780" s="31" t="s">
        <v>55</v>
      </c>
      <c r="L2780" s="31" t="s">
        <v>34</v>
      </c>
      <c r="M2780" s="31">
        <v>270</v>
      </c>
      <c r="N2780" s="31">
        <v>2024</v>
      </c>
      <c r="O2780" s="31">
        <v>218</v>
      </c>
      <c r="P2780" s="31"/>
      <c r="Q2780" s="31"/>
      <c r="R2780" s="33" t="s">
        <v>10647</v>
      </c>
      <c r="S2780" s="34" t="str">
        <f>HYPERLINK("http://www.cnpol.ru/covers/21379.jpg","фото на сайте")</f>
        <v>фото на сайте</v>
      </c>
    </row>
    <row r="2781" spans="1:19" ht="50.1" customHeight="1">
      <c r="A2781" s="31"/>
      <c r="B2781" s="32" t="s">
        <v>10648</v>
      </c>
      <c r="C2781" s="31" t="s">
        <v>380</v>
      </c>
      <c r="D2781" s="31" t="s">
        <v>10649</v>
      </c>
      <c r="E2781" s="31" t="s">
        <v>10650</v>
      </c>
      <c r="F2781" s="31" t="s">
        <v>31</v>
      </c>
      <c r="G2781" s="31">
        <v>988</v>
      </c>
      <c r="H2781" s="31">
        <v>10</v>
      </c>
      <c r="I2781" s="31">
        <v>16</v>
      </c>
      <c r="J2781" s="31" t="s">
        <v>10651</v>
      </c>
      <c r="K2781" s="31" t="s">
        <v>41</v>
      </c>
      <c r="L2781" s="31" t="s">
        <v>304</v>
      </c>
      <c r="M2781" s="31">
        <v>335</v>
      </c>
      <c r="N2781" s="31">
        <v>2021</v>
      </c>
      <c r="O2781" s="31">
        <v>454</v>
      </c>
      <c r="P2781" s="31"/>
      <c r="Q2781" s="31"/>
      <c r="R2781" s="33"/>
      <c r="S2781" s="34" t="str">
        <f>HYPERLINK("http://www.cnpol.ru/covers/19931.jpg","фото на сайте")</f>
        <v>фото на сайте</v>
      </c>
    </row>
    <row r="2782" spans="1:19" ht="50.1" customHeight="1">
      <c r="A2782" s="31"/>
      <c r="B2782" s="32" t="s">
        <v>10652</v>
      </c>
      <c r="C2782" s="31" t="s">
        <v>413</v>
      </c>
      <c r="D2782" s="31" t="s">
        <v>1474</v>
      </c>
      <c r="E2782" s="31" t="s">
        <v>10653</v>
      </c>
      <c r="F2782" s="31">
        <v>26</v>
      </c>
      <c r="G2782" s="31">
        <v>117</v>
      </c>
      <c r="H2782" s="31">
        <v>10</v>
      </c>
      <c r="I2782" s="31">
        <v>36</v>
      </c>
      <c r="J2782" s="31" t="s">
        <v>10654</v>
      </c>
      <c r="K2782" s="31" t="s">
        <v>123</v>
      </c>
      <c r="L2782" s="31" t="s">
        <v>56</v>
      </c>
      <c r="M2782" s="31">
        <v>190</v>
      </c>
      <c r="N2782" s="31">
        <v>2014</v>
      </c>
      <c r="O2782" s="31">
        <v>90</v>
      </c>
      <c r="P2782" s="31"/>
      <c r="Q2782" s="31"/>
      <c r="R2782" s="33"/>
      <c r="S2782" s="34" t="str">
        <f>HYPERLINK("http://www.cnpol.ru/covers/15528.jpg","фото на сайте")</f>
        <v>фото на сайте</v>
      </c>
    </row>
    <row r="2783" spans="1:19" ht="50.1" customHeight="1">
      <c r="A2783" s="31"/>
      <c r="B2783" s="32" t="s">
        <v>10655</v>
      </c>
      <c r="C2783" s="31" t="s">
        <v>6922</v>
      </c>
      <c r="D2783" s="31" t="s">
        <v>10656</v>
      </c>
      <c r="E2783" s="31" t="s">
        <v>10657</v>
      </c>
      <c r="F2783" s="31" t="s">
        <v>31</v>
      </c>
      <c r="G2783" s="31">
        <v>389</v>
      </c>
      <c r="H2783" s="31">
        <v>10</v>
      </c>
      <c r="I2783" s="31">
        <v>16</v>
      </c>
      <c r="J2783" s="31" t="s">
        <v>10658</v>
      </c>
      <c r="K2783" s="31" t="s">
        <v>55</v>
      </c>
      <c r="L2783" s="31" t="s">
        <v>34</v>
      </c>
      <c r="M2783" s="31">
        <v>320</v>
      </c>
      <c r="N2783" s="31">
        <v>2021</v>
      </c>
      <c r="O2783" s="31">
        <v>230</v>
      </c>
      <c r="P2783" s="31"/>
      <c r="Q2783" s="31"/>
      <c r="R2783" s="33"/>
      <c r="S2783" s="34" t="str">
        <f>HYPERLINK("http://www.cnpol.ru/covers/19570.jpg","фото на сайте")</f>
        <v>фото на сайте</v>
      </c>
    </row>
    <row r="2784" spans="1:19" ht="50.1" customHeight="1">
      <c r="A2784" s="31"/>
      <c r="B2784" s="32" t="s">
        <v>10659</v>
      </c>
      <c r="C2784" s="31" t="s">
        <v>546</v>
      </c>
      <c r="D2784" s="31" t="s">
        <v>1347</v>
      </c>
      <c r="E2784" s="31" t="s">
        <v>10660</v>
      </c>
      <c r="F2784" s="31">
        <v>324</v>
      </c>
      <c r="G2784" s="31">
        <v>93</v>
      </c>
      <c r="H2784" s="31">
        <v>10</v>
      </c>
      <c r="I2784" s="31">
        <v>30</v>
      </c>
      <c r="J2784" s="31" t="s">
        <v>10661</v>
      </c>
      <c r="K2784" s="31" t="s">
        <v>123</v>
      </c>
      <c r="L2784" s="31" t="s">
        <v>56</v>
      </c>
      <c r="M2784" s="31">
        <v>160</v>
      </c>
      <c r="N2784" s="31">
        <v>2019</v>
      </c>
      <c r="O2784" s="31">
        <v>76</v>
      </c>
      <c r="P2784" s="31"/>
      <c r="Q2784" s="31"/>
      <c r="R2784" s="33"/>
      <c r="S2784" s="34" t="str">
        <f>HYPERLINK("http://www.cnpol.ru/covers/18870.jpg","фото на сайте")</f>
        <v>фото на сайте</v>
      </c>
    </row>
    <row r="2785" spans="1:19" ht="50.1" customHeight="1">
      <c r="A2785" s="31" t="s">
        <v>35</v>
      </c>
      <c r="B2785" s="32" t="s">
        <v>10662</v>
      </c>
      <c r="C2785" s="31" t="s">
        <v>119</v>
      </c>
      <c r="D2785" s="31" t="s">
        <v>10663</v>
      </c>
      <c r="E2785" s="31" t="s">
        <v>10664</v>
      </c>
      <c r="F2785" s="31" t="s">
        <v>31</v>
      </c>
      <c r="G2785" s="31">
        <v>514</v>
      </c>
      <c r="H2785" s="31">
        <v>10</v>
      </c>
      <c r="I2785" s="31">
        <v>16</v>
      </c>
      <c r="J2785" s="31" t="s">
        <v>10665</v>
      </c>
      <c r="K2785" s="31" t="s">
        <v>194</v>
      </c>
      <c r="L2785" s="31" t="s">
        <v>34</v>
      </c>
      <c r="M2785" s="31">
        <v>191</v>
      </c>
      <c r="N2785" s="31">
        <v>2025</v>
      </c>
      <c r="O2785" s="31">
        <v>266</v>
      </c>
      <c r="P2785" s="31"/>
      <c r="Q2785" s="31"/>
      <c r="R2785" s="33" t="s">
        <v>10666</v>
      </c>
      <c r="S2785" s="34" t="str">
        <f>HYPERLINK("http://www.cnpol.ru/covers/21460.jpg","фото на сайте")</f>
        <v>фото на сайте</v>
      </c>
    </row>
    <row r="2786" spans="1:19" ht="50.1" customHeight="1">
      <c r="A2786" s="31"/>
      <c r="B2786" s="32" t="s">
        <v>10667</v>
      </c>
      <c r="C2786" s="31" t="s">
        <v>418</v>
      </c>
      <c r="D2786" s="31" t="s">
        <v>419</v>
      </c>
      <c r="E2786" s="31" t="s">
        <v>10668</v>
      </c>
      <c r="F2786" s="31">
        <v>101</v>
      </c>
      <c r="G2786" s="31">
        <v>153</v>
      </c>
      <c r="H2786" s="31">
        <v>10</v>
      </c>
      <c r="I2786" s="31">
        <v>24</v>
      </c>
      <c r="J2786" s="31" t="s">
        <v>10669</v>
      </c>
      <c r="K2786" s="31" t="s">
        <v>123</v>
      </c>
      <c r="L2786" s="31" t="s">
        <v>56</v>
      </c>
      <c r="M2786" s="31">
        <v>256</v>
      </c>
      <c r="N2786" s="31">
        <v>2019</v>
      </c>
      <c r="O2786" s="31">
        <v>116</v>
      </c>
      <c r="P2786" s="31"/>
      <c r="Q2786" s="31"/>
      <c r="R2786" s="33"/>
      <c r="S2786" s="34" t="str">
        <f>HYPERLINK("http://www.cnpol.ru/covers/18805.jpg","фото на сайте")</f>
        <v>фото на сайте</v>
      </c>
    </row>
    <row r="2787" spans="1:19" ht="50.1" customHeight="1">
      <c r="A2787" s="31"/>
      <c r="B2787" s="32" t="s">
        <v>10670</v>
      </c>
      <c r="C2787" s="31" t="s">
        <v>390</v>
      </c>
      <c r="D2787" s="31" t="s">
        <v>1581</v>
      </c>
      <c r="E2787" s="31" t="s">
        <v>10671</v>
      </c>
      <c r="F2787" s="31">
        <v>1107</v>
      </c>
      <c r="G2787" s="31">
        <v>86</v>
      </c>
      <c r="H2787" s="31">
        <v>10</v>
      </c>
      <c r="I2787" s="31">
        <v>30</v>
      </c>
      <c r="J2787" s="31" t="s">
        <v>10672</v>
      </c>
      <c r="K2787" s="31" t="s">
        <v>123</v>
      </c>
      <c r="L2787" s="31" t="s">
        <v>56</v>
      </c>
      <c r="M2787" s="31">
        <v>159</v>
      </c>
      <c r="N2787" s="31">
        <v>2022</v>
      </c>
      <c r="O2787" s="31">
        <v>76</v>
      </c>
      <c r="P2787" s="31"/>
      <c r="Q2787" s="31"/>
      <c r="R2787" s="33"/>
      <c r="S2787" s="34" t="str">
        <f>HYPERLINK("http://www.cnpol.ru/covers/20386.jpg","фото на сайте")</f>
        <v>фото на сайте</v>
      </c>
    </row>
    <row r="2788" spans="1:19" ht="50.1" customHeight="1">
      <c r="A2788" s="31"/>
      <c r="B2788" s="32" t="s">
        <v>10673</v>
      </c>
      <c r="C2788" s="31" t="s">
        <v>576</v>
      </c>
      <c r="D2788" s="31" t="s">
        <v>577</v>
      </c>
      <c r="E2788" s="31" t="s">
        <v>10674</v>
      </c>
      <c r="F2788" s="31" t="s">
        <v>31</v>
      </c>
      <c r="G2788" s="31">
        <v>226</v>
      </c>
      <c r="H2788" s="31">
        <v>10</v>
      </c>
      <c r="I2788" s="31">
        <v>10</v>
      </c>
      <c r="J2788" s="31" t="s">
        <v>10675</v>
      </c>
      <c r="K2788" s="31" t="s">
        <v>123</v>
      </c>
      <c r="L2788" s="31" t="s">
        <v>56</v>
      </c>
      <c r="M2788" s="31">
        <v>288</v>
      </c>
      <c r="N2788" s="31">
        <v>2022</v>
      </c>
      <c r="O2788" s="31">
        <v>134</v>
      </c>
      <c r="P2788" s="31"/>
      <c r="Q2788" s="31"/>
      <c r="R2788" s="33" t="s">
        <v>10676</v>
      </c>
      <c r="S2788" s="34" t="str">
        <f>HYPERLINK("http://www.cnpol.ru/covers/20469.jpg","фото на сайте")</f>
        <v>фото на сайте</v>
      </c>
    </row>
    <row r="2789" spans="1:19" ht="50.1" customHeight="1">
      <c r="A2789" s="31"/>
      <c r="B2789" s="32" t="s">
        <v>10677</v>
      </c>
      <c r="C2789" s="31" t="s">
        <v>10678</v>
      </c>
      <c r="D2789" s="31" t="s">
        <v>577</v>
      </c>
      <c r="E2789" s="31" t="s">
        <v>10674</v>
      </c>
      <c r="F2789" s="31" t="s">
        <v>31</v>
      </c>
      <c r="G2789" s="31">
        <v>407</v>
      </c>
      <c r="H2789" s="31">
        <v>10</v>
      </c>
      <c r="I2789" s="31">
        <v>16</v>
      </c>
      <c r="J2789" s="31" t="s">
        <v>10679</v>
      </c>
      <c r="K2789" s="31" t="s">
        <v>158</v>
      </c>
      <c r="L2789" s="31" t="s">
        <v>34</v>
      </c>
      <c r="M2789" s="31">
        <v>251</v>
      </c>
      <c r="N2789" s="31">
        <v>2015</v>
      </c>
      <c r="O2789" s="31">
        <v>194</v>
      </c>
      <c r="P2789" s="31"/>
      <c r="Q2789" s="31"/>
      <c r="R2789" s="33"/>
      <c r="S2789" s="34" t="str">
        <f>HYPERLINK("http://www.cnpol.ru/covers/15791.jpg","фото на сайте")</f>
        <v>фото на сайте</v>
      </c>
    </row>
    <row r="2790" spans="1:19" ht="50.1" customHeight="1">
      <c r="A2790" s="31"/>
      <c r="B2790" s="32" t="s">
        <v>10680</v>
      </c>
      <c r="C2790" s="31" t="s">
        <v>546</v>
      </c>
      <c r="D2790" s="31" t="s">
        <v>4519</v>
      </c>
      <c r="E2790" s="31" t="s">
        <v>10681</v>
      </c>
      <c r="F2790" s="31">
        <v>408</v>
      </c>
      <c r="G2790" s="31">
        <v>93</v>
      </c>
      <c r="H2790" s="31">
        <v>10</v>
      </c>
      <c r="I2790" s="31">
        <v>30</v>
      </c>
      <c r="J2790" s="31" t="s">
        <v>10682</v>
      </c>
      <c r="K2790" s="31" t="s">
        <v>123</v>
      </c>
      <c r="L2790" s="31" t="s">
        <v>56</v>
      </c>
      <c r="M2790" s="31">
        <v>159</v>
      </c>
      <c r="N2790" s="31">
        <v>2022</v>
      </c>
      <c r="O2790" s="31">
        <v>76</v>
      </c>
      <c r="P2790" s="31"/>
      <c r="Q2790" s="31"/>
      <c r="R2790" s="33"/>
      <c r="S2790" s="34" t="str">
        <f>HYPERLINK("http://www.cnpol.ru/covers/20318.jpg","фото на сайте")</f>
        <v>фото на сайте</v>
      </c>
    </row>
    <row r="2791" spans="1:19" ht="50.1" customHeight="1">
      <c r="A2791" s="31"/>
      <c r="B2791" s="32" t="s">
        <v>10683</v>
      </c>
      <c r="C2791" s="31" t="s">
        <v>390</v>
      </c>
      <c r="D2791" s="31" t="s">
        <v>7366</v>
      </c>
      <c r="E2791" s="31" t="s">
        <v>10684</v>
      </c>
      <c r="F2791" s="31">
        <v>1012</v>
      </c>
      <c r="G2791" s="31">
        <v>86</v>
      </c>
      <c r="H2791" s="31">
        <v>10</v>
      </c>
      <c r="I2791" s="31">
        <v>30</v>
      </c>
      <c r="J2791" s="31" t="s">
        <v>10685</v>
      </c>
      <c r="K2791" s="31" t="s">
        <v>123</v>
      </c>
      <c r="L2791" s="31" t="s">
        <v>56</v>
      </c>
      <c r="M2791" s="31">
        <v>160</v>
      </c>
      <c r="N2791" s="31">
        <v>2021</v>
      </c>
      <c r="O2791" s="31">
        <v>76</v>
      </c>
      <c r="P2791" s="31"/>
      <c r="Q2791" s="31"/>
      <c r="R2791" s="33"/>
      <c r="S2791" s="34" t="str">
        <f>HYPERLINK("http://www.cnpol.ru/covers/19462.jpg","фото на сайте")</f>
        <v>фото на сайте</v>
      </c>
    </row>
    <row r="2792" spans="1:19" ht="50.1" customHeight="1">
      <c r="A2792" s="31"/>
      <c r="B2792" s="32" t="s">
        <v>10686</v>
      </c>
      <c r="C2792" s="31" t="s">
        <v>390</v>
      </c>
      <c r="D2792" s="31" t="s">
        <v>1115</v>
      </c>
      <c r="E2792" s="31" t="s">
        <v>10687</v>
      </c>
      <c r="F2792" s="31">
        <v>750</v>
      </c>
      <c r="G2792" s="31">
        <v>86</v>
      </c>
      <c r="H2792" s="31">
        <v>10</v>
      </c>
      <c r="I2792" s="31">
        <v>30</v>
      </c>
      <c r="J2792" s="31" t="s">
        <v>10688</v>
      </c>
      <c r="K2792" s="31" t="s">
        <v>123</v>
      </c>
      <c r="L2792" s="31" t="s">
        <v>56</v>
      </c>
      <c r="M2792" s="31">
        <v>160</v>
      </c>
      <c r="N2792" s="31">
        <v>2017</v>
      </c>
      <c r="O2792" s="31">
        <v>76</v>
      </c>
      <c r="P2792" s="31"/>
      <c r="Q2792" s="31"/>
      <c r="R2792" s="33"/>
      <c r="S2792" s="34" t="str">
        <f>HYPERLINK("http://www.cnpol.ru/covers/17679.jpg","фото на сайте")</f>
        <v>фото на сайте</v>
      </c>
    </row>
    <row r="2793" spans="1:19" ht="50.1" customHeight="1">
      <c r="A2793" s="31"/>
      <c r="B2793" s="32" t="s">
        <v>10689</v>
      </c>
      <c r="C2793" s="31" t="s">
        <v>546</v>
      </c>
      <c r="D2793" s="31" t="s">
        <v>765</v>
      </c>
      <c r="E2793" s="31" t="s">
        <v>10690</v>
      </c>
      <c r="F2793" s="31">
        <v>357</v>
      </c>
      <c r="G2793" s="31">
        <v>93</v>
      </c>
      <c r="H2793" s="31">
        <v>10</v>
      </c>
      <c r="I2793" s="31">
        <v>30</v>
      </c>
      <c r="J2793" s="31" t="s">
        <v>10691</v>
      </c>
      <c r="K2793" s="31" t="s">
        <v>123</v>
      </c>
      <c r="L2793" s="31" t="s">
        <v>56</v>
      </c>
      <c r="M2793" s="31">
        <v>160</v>
      </c>
      <c r="N2793" s="31">
        <v>2020</v>
      </c>
      <c r="O2793" s="31">
        <v>76</v>
      </c>
      <c r="P2793" s="31"/>
      <c r="Q2793" s="31"/>
      <c r="R2793" s="33"/>
      <c r="S2793" s="34" t="str">
        <f>HYPERLINK("http://www.cnpol.ru/covers/19322.jpg","фото на сайте")</f>
        <v>фото на сайте</v>
      </c>
    </row>
    <row r="2794" spans="1:19" ht="50.1" customHeight="1">
      <c r="A2794" s="31"/>
      <c r="B2794" s="32" t="s">
        <v>10692</v>
      </c>
      <c r="C2794" s="31" t="s">
        <v>546</v>
      </c>
      <c r="D2794" s="31" t="s">
        <v>10693</v>
      </c>
      <c r="E2794" s="31" t="s">
        <v>10694</v>
      </c>
      <c r="F2794" s="31">
        <v>187</v>
      </c>
      <c r="G2794" s="31">
        <v>93</v>
      </c>
      <c r="H2794" s="31">
        <v>10</v>
      </c>
      <c r="I2794" s="31">
        <v>30</v>
      </c>
      <c r="J2794" s="31" t="s">
        <v>10695</v>
      </c>
      <c r="K2794" s="31" t="s">
        <v>123</v>
      </c>
      <c r="L2794" s="31" t="s">
        <v>56</v>
      </c>
      <c r="M2794" s="31">
        <v>160</v>
      </c>
      <c r="N2794" s="31">
        <v>2016</v>
      </c>
      <c r="O2794" s="31">
        <v>76</v>
      </c>
      <c r="P2794" s="31"/>
      <c r="Q2794" s="31"/>
      <c r="R2794" s="33"/>
      <c r="S2794" s="34" t="str">
        <f>HYPERLINK("http://www.cnpol.ru/covers/17016.jpg","фото на сайте")</f>
        <v>фото на сайте</v>
      </c>
    </row>
    <row r="2795" spans="1:19" ht="50.1" customHeight="1">
      <c r="A2795" s="31"/>
      <c r="B2795" s="32" t="s">
        <v>10696</v>
      </c>
      <c r="C2795" s="31" t="s">
        <v>546</v>
      </c>
      <c r="D2795" s="31" t="s">
        <v>765</v>
      </c>
      <c r="E2795" s="31" t="s">
        <v>10697</v>
      </c>
      <c r="F2795" s="31">
        <v>118</v>
      </c>
      <c r="G2795" s="31">
        <v>93</v>
      </c>
      <c r="H2795" s="31">
        <v>10</v>
      </c>
      <c r="I2795" s="31">
        <v>30</v>
      </c>
      <c r="J2795" s="31" t="s">
        <v>10698</v>
      </c>
      <c r="K2795" s="31" t="s">
        <v>123</v>
      </c>
      <c r="L2795" s="31" t="s">
        <v>56</v>
      </c>
      <c r="M2795" s="31">
        <v>158</v>
      </c>
      <c r="N2795" s="31">
        <v>2015</v>
      </c>
      <c r="O2795" s="31">
        <v>76</v>
      </c>
      <c r="P2795" s="31"/>
      <c r="Q2795" s="31"/>
      <c r="R2795" s="33"/>
      <c r="S2795" s="34" t="str">
        <f>HYPERLINK("http://www.cnpol.ru/covers/15987.jpg","фото на сайте")</f>
        <v>фото на сайте</v>
      </c>
    </row>
    <row r="2796" spans="1:19" ht="50.1" customHeight="1">
      <c r="A2796" s="31"/>
      <c r="B2796" s="32" t="s">
        <v>10699</v>
      </c>
      <c r="C2796" s="31" t="s">
        <v>528</v>
      </c>
      <c r="D2796" s="31" t="s">
        <v>529</v>
      </c>
      <c r="E2796" s="31" t="s">
        <v>10700</v>
      </c>
      <c r="F2796" s="31" t="s">
        <v>31</v>
      </c>
      <c r="G2796" s="31">
        <v>137</v>
      </c>
      <c r="H2796" s="31">
        <v>10</v>
      </c>
      <c r="I2796" s="31">
        <v>32</v>
      </c>
      <c r="J2796" s="31" t="s">
        <v>10701</v>
      </c>
      <c r="K2796" s="31" t="s">
        <v>55</v>
      </c>
      <c r="L2796" s="31" t="s">
        <v>56</v>
      </c>
      <c r="M2796" s="31">
        <v>160</v>
      </c>
      <c r="N2796" s="31">
        <v>2018</v>
      </c>
      <c r="O2796" s="31">
        <v>68</v>
      </c>
      <c r="P2796" s="31"/>
      <c r="Q2796" s="31"/>
      <c r="R2796" s="33"/>
      <c r="S2796" s="34" t="str">
        <f>HYPERLINK("http://www.cnpol.ru/covers/17972.jpg","фото на сайте")</f>
        <v>фото на сайте</v>
      </c>
    </row>
    <row r="2797" spans="1:19" ht="50.1" customHeight="1">
      <c r="A2797" s="31"/>
      <c r="B2797" s="32" t="s">
        <v>10702</v>
      </c>
      <c r="C2797" s="31" t="s">
        <v>1390</v>
      </c>
      <c r="D2797" s="31" t="s">
        <v>236</v>
      </c>
      <c r="E2797" s="31" t="s">
        <v>10703</v>
      </c>
      <c r="F2797" s="31" t="s">
        <v>31</v>
      </c>
      <c r="G2797" s="31">
        <v>209</v>
      </c>
      <c r="H2797" s="31">
        <v>10</v>
      </c>
      <c r="I2797" s="31">
        <v>24</v>
      </c>
      <c r="J2797" s="31" t="s">
        <v>10704</v>
      </c>
      <c r="K2797" s="31" t="s">
        <v>130</v>
      </c>
      <c r="L2797" s="31" t="s">
        <v>56</v>
      </c>
      <c r="M2797" s="31">
        <v>192</v>
      </c>
      <c r="N2797" s="31">
        <v>2021</v>
      </c>
      <c r="O2797" s="31">
        <v>116</v>
      </c>
      <c r="P2797" s="31"/>
      <c r="Q2797" s="31"/>
      <c r="R2797" s="33"/>
      <c r="S2797" s="34" t="str">
        <f>HYPERLINK("http://www.cnpol.ru/covers/19700.jpg","фото на сайте")</f>
        <v>фото на сайте</v>
      </c>
    </row>
    <row r="2798" spans="1:19" ht="50.1" customHeight="1">
      <c r="A2798" s="31"/>
      <c r="B2798" s="32" t="s">
        <v>10705</v>
      </c>
      <c r="C2798" s="31" t="s">
        <v>3229</v>
      </c>
      <c r="D2798" s="31" t="s">
        <v>10706</v>
      </c>
      <c r="E2798" s="31" t="s">
        <v>10707</v>
      </c>
      <c r="F2798" s="31" t="s">
        <v>31</v>
      </c>
      <c r="G2798" s="31">
        <v>693</v>
      </c>
      <c r="H2798" s="31">
        <v>10</v>
      </c>
      <c r="I2798" s="31">
        <v>12</v>
      </c>
      <c r="J2798" s="31" t="s">
        <v>10708</v>
      </c>
      <c r="K2798" s="31" t="s">
        <v>33</v>
      </c>
      <c r="L2798" s="31" t="s">
        <v>34</v>
      </c>
      <c r="M2798" s="31">
        <v>352</v>
      </c>
      <c r="N2798" s="31">
        <v>2017</v>
      </c>
      <c r="O2798" s="31">
        <v>358</v>
      </c>
      <c r="P2798" s="31"/>
      <c r="Q2798" s="31"/>
      <c r="R2798" s="33"/>
      <c r="S2798" s="34" t="str">
        <f>HYPERLINK("http://www.cnpol.ru/covers/17868.jpg","фото на сайте")</f>
        <v>фото на сайте</v>
      </c>
    </row>
    <row r="2799" spans="1:19" ht="50.1" customHeight="1">
      <c r="A2799" s="31"/>
      <c r="B2799" s="32" t="s">
        <v>10709</v>
      </c>
      <c r="C2799" s="31" t="s">
        <v>390</v>
      </c>
      <c r="D2799" s="31" t="s">
        <v>1713</v>
      </c>
      <c r="E2799" s="31" t="s">
        <v>10710</v>
      </c>
      <c r="F2799" s="31">
        <v>779</v>
      </c>
      <c r="G2799" s="31">
        <v>86</v>
      </c>
      <c r="H2799" s="31">
        <v>10</v>
      </c>
      <c r="I2799" s="31">
        <v>30</v>
      </c>
      <c r="J2799" s="31" t="s">
        <v>10711</v>
      </c>
      <c r="K2799" s="31" t="s">
        <v>123</v>
      </c>
      <c r="L2799" s="31" t="s">
        <v>56</v>
      </c>
      <c r="M2799" s="31">
        <v>160</v>
      </c>
      <c r="N2799" s="31">
        <v>2017</v>
      </c>
      <c r="O2799" s="31">
        <v>76</v>
      </c>
      <c r="P2799" s="31"/>
      <c r="Q2799" s="31"/>
      <c r="R2799" s="33"/>
      <c r="S2799" s="34" t="str">
        <f>HYPERLINK("http://www.cnpol.ru/covers/17881.jpg","фото на сайте")</f>
        <v>фото на сайте</v>
      </c>
    </row>
    <row r="2800" spans="1:19" ht="50.1" customHeight="1">
      <c r="A2800" s="31"/>
      <c r="B2800" s="32" t="s">
        <v>10712</v>
      </c>
      <c r="C2800" s="31" t="s">
        <v>390</v>
      </c>
      <c r="D2800" s="31" t="s">
        <v>989</v>
      </c>
      <c r="E2800" s="31" t="s">
        <v>10713</v>
      </c>
      <c r="F2800" s="31">
        <v>596</v>
      </c>
      <c r="G2800" s="31">
        <v>86</v>
      </c>
      <c r="H2800" s="31">
        <v>10</v>
      </c>
      <c r="I2800" s="31">
        <v>30</v>
      </c>
      <c r="J2800" s="31" t="s">
        <v>10714</v>
      </c>
      <c r="K2800" s="31" t="s">
        <v>123</v>
      </c>
      <c r="L2800" s="31" t="s">
        <v>56</v>
      </c>
      <c r="M2800" s="31">
        <v>160</v>
      </c>
      <c r="N2800" s="31">
        <v>2016</v>
      </c>
      <c r="O2800" s="31">
        <v>76</v>
      </c>
      <c r="P2800" s="31"/>
      <c r="Q2800" s="31"/>
      <c r="R2800" s="33"/>
      <c r="S2800" s="34" t="str">
        <f>HYPERLINK("http://www.cnpol.ru/covers/16585.jpg","фото на сайте")</f>
        <v>фото на сайте</v>
      </c>
    </row>
    <row r="2801" spans="1:19" ht="50.1" customHeight="1">
      <c r="A2801" s="31"/>
      <c r="B2801" s="32" t="s">
        <v>10715</v>
      </c>
      <c r="C2801" s="31" t="s">
        <v>576</v>
      </c>
      <c r="D2801" s="31" t="s">
        <v>577</v>
      </c>
      <c r="E2801" s="31" t="s">
        <v>10716</v>
      </c>
      <c r="F2801" s="31" t="s">
        <v>31</v>
      </c>
      <c r="G2801" s="31">
        <v>226</v>
      </c>
      <c r="H2801" s="31">
        <v>10</v>
      </c>
      <c r="I2801" s="31">
        <v>20</v>
      </c>
      <c r="J2801" s="31" t="s">
        <v>10717</v>
      </c>
      <c r="K2801" s="31" t="s">
        <v>123</v>
      </c>
      <c r="L2801" s="31" t="s">
        <v>56</v>
      </c>
      <c r="M2801" s="31">
        <v>352</v>
      </c>
      <c r="N2801" s="31">
        <v>2019</v>
      </c>
      <c r="O2801" s="31">
        <v>162</v>
      </c>
      <c r="P2801" s="31"/>
      <c r="Q2801" s="31"/>
      <c r="R2801" s="33"/>
      <c r="S2801" s="34" t="str">
        <f>HYPERLINK("http://www.cnpol.ru/covers/18911.jpg","фото на сайте")</f>
        <v>фото на сайте</v>
      </c>
    </row>
    <row r="2802" spans="1:19" ht="50.1" customHeight="1">
      <c r="A2802" s="31"/>
      <c r="B2802" s="32" t="s">
        <v>10718</v>
      </c>
      <c r="C2802" s="31" t="s">
        <v>581</v>
      </c>
      <c r="D2802" s="31" t="s">
        <v>577</v>
      </c>
      <c r="E2802" s="31" t="s">
        <v>10716</v>
      </c>
      <c r="F2802" s="31" t="s">
        <v>31</v>
      </c>
      <c r="G2802" s="31">
        <v>185</v>
      </c>
      <c r="H2802" s="31">
        <v>10</v>
      </c>
      <c r="I2802" s="31">
        <v>28</v>
      </c>
      <c r="J2802" s="31" t="s">
        <v>10719</v>
      </c>
      <c r="K2802" s="31" t="s">
        <v>123</v>
      </c>
      <c r="L2802" s="31" t="s">
        <v>56</v>
      </c>
      <c r="M2802" s="31">
        <v>347</v>
      </c>
      <c r="N2802" s="31">
        <v>2011</v>
      </c>
      <c r="O2802" s="31">
        <v>168</v>
      </c>
      <c r="P2802" s="31"/>
      <c r="Q2802" s="31"/>
      <c r="R2802" s="33"/>
      <c r="S2802" s="34" t="str">
        <f>HYPERLINK("http://www.cnpol.ru/covers/12799.jpg","фото на сайте")</f>
        <v>фото на сайте</v>
      </c>
    </row>
    <row r="2803" spans="1:19" ht="50.1" customHeight="1">
      <c r="A2803" s="31"/>
      <c r="B2803" s="32" t="s">
        <v>10720</v>
      </c>
      <c r="C2803" s="31" t="s">
        <v>581</v>
      </c>
      <c r="D2803" s="31" t="s">
        <v>577</v>
      </c>
      <c r="E2803" s="31" t="s">
        <v>10716</v>
      </c>
      <c r="F2803" s="31" t="s">
        <v>31</v>
      </c>
      <c r="G2803" s="31">
        <v>185</v>
      </c>
      <c r="H2803" s="31">
        <v>10</v>
      </c>
      <c r="I2803" s="31">
        <v>28</v>
      </c>
      <c r="J2803" s="31" t="s">
        <v>10719</v>
      </c>
      <c r="K2803" s="31" t="s">
        <v>123</v>
      </c>
      <c r="L2803" s="31" t="s">
        <v>56</v>
      </c>
      <c r="M2803" s="31">
        <v>347</v>
      </c>
      <c r="N2803" s="31">
        <v>2011</v>
      </c>
      <c r="O2803" s="31">
        <v>170</v>
      </c>
      <c r="P2803" s="31"/>
      <c r="Q2803" s="31"/>
      <c r="R2803" s="33"/>
      <c r="S2803" s="34" t="str">
        <f>HYPERLINK("http://www.cnpol.ru/covers/12987.jpg","фото на сайте")</f>
        <v>фото на сайте</v>
      </c>
    </row>
    <row r="2804" spans="1:19" ht="50.1" customHeight="1">
      <c r="A2804" s="31"/>
      <c r="B2804" s="32" t="s">
        <v>10721</v>
      </c>
      <c r="C2804" s="31" t="s">
        <v>581</v>
      </c>
      <c r="D2804" s="31" t="s">
        <v>577</v>
      </c>
      <c r="E2804" s="31" t="s">
        <v>10716</v>
      </c>
      <c r="F2804" s="31" t="s">
        <v>31</v>
      </c>
      <c r="G2804" s="31">
        <v>137</v>
      </c>
      <c r="H2804" s="31">
        <v>10</v>
      </c>
      <c r="I2804" s="31">
        <v>40</v>
      </c>
      <c r="J2804" s="31" t="s">
        <v>10722</v>
      </c>
      <c r="K2804" s="31" t="s">
        <v>300</v>
      </c>
      <c r="L2804" s="31" t="s">
        <v>56</v>
      </c>
      <c r="M2804" s="31">
        <v>347</v>
      </c>
      <c r="N2804" s="31">
        <v>2014</v>
      </c>
      <c r="O2804" s="31">
        <v>162</v>
      </c>
      <c r="P2804" s="31"/>
      <c r="Q2804" s="31"/>
      <c r="R2804" s="33"/>
      <c r="S2804" s="34" t="str">
        <f>HYPERLINK("http://www.cnpol.ru/covers/15164.jpg","фото на сайте")</f>
        <v>фото на сайте</v>
      </c>
    </row>
    <row r="2805" spans="1:19" ht="50.1" customHeight="1">
      <c r="A2805" s="31"/>
      <c r="B2805" s="32" t="s">
        <v>10723</v>
      </c>
      <c r="C2805" s="31" t="s">
        <v>418</v>
      </c>
      <c r="D2805" s="31" t="s">
        <v>10724</v>
      </c>
      <c r="E2805" s="31" t="s">
        <v>10725</v>
      </c>
      <c r="F2805" s="31">
        <v>6</v>
      </c>
      <c r="G2805" s="31">
        <v>153</v>
      </c>
      <c r="H2805" s="31">
        <v>10</v>
      </c>
      <c r="I2805" s="31">
        <v>32</v>
      </c>
      <c r="J2805" s="31" t="s">
        <v>10726</v>
      </c>
      <c r="K2805" s="31" t="s">
        <v>123</v>
      </c>
      <c r="L2805" s="31" t="s">
        <v>56</v>
      </c>
      <c r="M2805" s="31">
        <v>254</v>
      </c>
      <c r="N2805" s="31">
        <v>2012</v>
      </c>
      <c r="O2805" s="31">
        <v>118</v>
      </c>
      <c r="P2805" s="31"/>
      <c r="Q2805" s="31"/>
      <c r="R2805" s="33"/>
      <c r="S2805" s="34" t="str">
        <f>HYPERLINK("http://www.cnpol.ru/covers/13257.jpg","фото на сайте")</f>
        <v>фото на сайте</v>
      </c>
    </row>
    <row r="2806" spans="1:19" ht="50.1" customHeight="1">
      <c r="A2806" s="31"/>
      <c r="B2806" s="32" t="s">
        <v>10727</v>
      </c>
      <c r="C2806" s="31" t="s">
        <v>390</v>
      </c>
      <c r="D2806" s="31" t="s">
        <v>6769</v>
      </c>
      <c r="E2806" s="31" t="s">
        <v>10728</v>
      </c>
      <c r="F2806" s="31">
        <v>442</v>
      </c>
      <c r="G2806" s="31">
        <v>86</v>
      </c>
      <c r="H2806" s="31">
        <v>10</v>
      </c>
      <c r="I2806" s="31">
        <v>30</v>
      </c>
      <c r="J2806" s="31" t="s">
        <v>10729</v>
      </c>
      <c r="K2806" s="31" t="s">
        <v>123</v>
      </c>
      <c r="L2806" s="31" t="s">
        <v>56</v>
      </c>
      <c r="M2806" s="31">
        <v>158</v>
      </c>
      <c r="N2806" s="31">
        <v>2014</v>
      </c>
      <c r="O2806" s="31">
        <v>78</v>
      </c>
      <c r="P2806" s="31"/>
      <c r="Q2806" s="31"/>
      <c r="R2806" s="33"/>
      <c r="S2806" s="34" t="str">
        <f>HYPERLINK("http://www.cnpol.ru/covers/15435.jpg","фото на сайте")</f>
        <v>фото на сайте</v>
      </c>
    </row>
    <row r="2807" spans="1:19" ht="50.1" customHeight="1">
      <c r="A2807" s="31"/>
      <c r="B2807" s="32" t="s">
        <v>10730</v>
      </c>
      <c r="C2807" s="31" t="s">
        <v>6615</v>
      </c>
      <c r="D2807" s="31" t="s">
        <v>10731</v>
      </c>
      <c r="E2807" s="31" t="s">
        <v>10732</v>
      </c>
      <c r="F2807" s="31" t="s">
        <v>31</v>
      </c>
      <c r="G2807" s="31">
        <v>128</v>
      </c>
      <c r="H2807" s="31">
        <v>10</v>
      </c>
      <c r="I2807" s="31">
        <v>30</v>
      </c>
      <c r="J2807" s="31" t="s">
        <v>10733</v>
      </c>
      <c r="K2807" s="31" t="s">
        <v>130</v>
      </c>
      <c r="L2807" s="31" t="s">
        <v>56</v>
      </c>
      <c r="M2807" s="31">
        <v>188</v>
      </c>
      <c r="N2807" s="31">
        <v>2008</v>
      </c>
      <c r="O2807" s="31">
        <v>118</v>
      </c>
      <c r="P2807" s="31"/>
      <c r="Q2807" s="31"/>
      <c r="R2807" s="33"/>
      <c r="S2807" s="34" t="str">
        <f>HYPERLINK("http://www.cnpol.ru/covers/10770.jpg","фото на сайте")</f>
        <v>фото на сайте</v>
      </c>
    </row>
    <row r="2808" spans="1:19" ht="50.1" customHeight="1">
      <c r="A2808" s="31"/>
      <c r="B2808" s="32" t="s">
        <v>10734</v>
      </c>
      <c r="C2808" s="31" t="s">
        <v>390</v>
      </c>
      <c r="D2808" s="31" t="s">
        <v>3691</v>
      </c>
      <c r="E2808" s="31" t="s">
        <v>10735</v>
      </c>
      <c r="F2808" s="31">
        <v>475</v>
      </c>
      <c r="G2808" s="31">
        <v>86</v>
      </c>
      <c r="H2808" s="31">
        <v>10</v>
      </c>
      <c r="I2808" s="31">
        <v>30</v>
      </c>
      <c r="J2808" s="31" t="s">
        <v>10736</v>
      </c>
      <c r="K2808" s="31" t="s">
        <v>123</v>
      </c>
      <c r="L2808" s="31" t="s">
        <v>56</v>
      </c>
      <c r="M2808" s="31">
        <v>158</v>
      </c>
      <c r="N2808" s="31">
        <v>2014</v>
      </c>
      <c r="O2808" s="31">
        <v>76</v>
      </c>
      <c r="P2808" s="31"/>
      <c r="Q2808" s="31"/>
      <c r="R2808" s="33"/>
      <c r="S2808" s="34" t="str">
        <f>HYPERLINK("http://www.cnpol.ru/covers/15671.jpg","фото на сайте")</f>
        <v>фото на сайте</v>
      </c>
    </row>
    <row r="2809" spans="1:19" ht="50.1" customHeight="1">
      <c r="A2809" s="31"/>
      <c r="B2809" s="32" t="s">
        <v>10737</v>
      </c>
      <c r="C2809" s="31" t="s">
        <v>546</v>
      </c>
      <c r="D2809" s="31" t="s">
        <v>1292</v>
      </c>
      <c r="E2809" s="31" t="s">
        <v>10738</v>
      </c>
      <c r="F2809" s="31">
        <v>329</v>
      </c>
      <c r="G2809" s="31">
        <v>93</v>
      </c>
      <c r="H2809" s="31">
        <v>10</v>
      </c>
      <c r="I2809" s="31">
        <v>30</v>
      </c>
      <c r="J2809" s="31" t="s">
        <v>10739</v>
      </c>
      <c r="K2809" s="31" t="s">
        <v>123</v>
      </c>
      <c r="L2809" s="31" t="s">
        <v>56</v>
      </c>
      <c r="M2809" s="31">
        <v>160</v>
      </c>
      <c r="N2809" s="31">
        <v>2019</v>
      </c>
      <c r="O2809" s="31">
        <v>76</v>
      </c>
      <c r="P2809" s="31"/>
      <c r="Q2809" s="31"/>
      <c r="R2809" s="33"/>
      <c r="S2809" s="34" t="str">
        <f>HYPERLINK("http://www.cnpol.ru/covers/18925.jpg","фото на сайте")</f>
        <v>фото на сайте</v>
      </c>
    </row>
    <row r="2810" spans="1:19" ht="50.1" customHeight="1">
      <c r="A2810" s="31"/>
      <c r="B2810" s="32" t="s">
        <v>10740</v>
      </c>
      <c r="C2810" s="31" t="s">
        <v>418</v>
      </c>
      <c r="D2810" s="31" t="s">
        <v>2343</v>
      </c>
      <c r="E2810" s="31" t="s">
        <v>10741</v>
      </c>
      <c r="F2810" s="31">
        <v>96</v>
      </c>
      <c r="G2810" s="31">
        <v>153</v>
      </c>
      <c r="H2810" s="31">
        <v>10</v>
      </c>
      <c r="I2810" s="31">
        <v>24</v>
      </c>
      <c r="J2810" s="31" t="s">
        <v>10742</v>
      </c>
      <c r="K2810" s="31" t="s">
        <v>123</v>
      </c>
      <c r="L2810" s="31" t="s">
        <v>56</v>
      </c>
      <c r="M2810" s="31">
        <v>256</v>
      </c>
      <c r="N2810" s="31">
        <v>2019</v>
      </c>
      <c r="O2810" s="31">
        <v>117</v>
      </c>
      <c r="P2810" s="31"/>
      <c r="Q2810" s="31"/>
      <c r="R2810" s="33"/>
      <c r="S2810" s="34" t="str">
        <f>HYPERLINK("http://www.cnpol.ru/covers/18541.jpg","фото на сайте")</f>
        <v>фото на сайте</v>
      </c>
    </row>
    <row r="2811" spans="1:19" ht="50.1" customHeight="1">
      <c r="A2811" s="31"/>
      <c r="B2811" s="32" t="s">
        <v>10743</v>
      </c>
      <c r="C2811" s="31" t="s">
        <v>390</v>
      </c>
      <c r="D2811" s="31" t="s">
        <v>1454</v>
      </c>
      <c r="E2811" s="31" t="s">
        <v>10744</v>
      </c>
      <c r="F2811" s="31">
        <v>725</v>
      </c>
      <c r="G2811" s="31">
        <v>86</v>
      </c>
      <c r="H2811" s="31">
        <v>10</v>
      </c>
      <c r="I2811" s="31">
        <v>30</v>
      </c>
      <c r="J2811" s="31" t="s">
        <v>10745</v>
      </c>
      <c r="K2811" s="31" t="s">
        <v>123</v>
      </c>
      <c r="L2811" s="31" t="s">
        <v>56</v>
      </c>
      <c r="M2811" s="31">
        <v>160</v>
      </c>
      <c r="N2811" s="31">
        <v>2017</v>
      </c>
      <c r="O2811" s="31">
        <v>76</v>
      </c>
      <c r="P2811" s="31"/>
      <c r="Q2811" s="31"/>
      <c r="R2811" s="33"/>
      <c r="S2811" s="34" t="str">
        <f>HYPERLINK("http://www.cnpol.ru/covers/17522.jpg","фото на сайте")</f>
        <v>фото на сайте</v>
      </c>
    </row>
    <row r="2812" spans="1:19" ht="50.1" customHeight="1">
      <c r="A2812" s="31"/>
      <c r="B2812" s="32" t="s">
        <v>10746</v>
      </c>
      <c r="C2812" s="31" t="s">
        <v>546</v>
      </c>
      <c r="D2812" s="31" t="s">
        <v>1846</v>
      </c>
      <c r="E2812" s="31" t="s">
        <v>10747</v>
      </c>
      <c r="F2812" s="31">
        <v>317</v>
      </c>
      <c r="G2812" s="31">
        <v>93</v>
      </c>
      <c r="H2812" s="31">
        <v>10</v>
      </c>
      <c r="I2812" s="31">
        <v>30</v>
      </c>
      <c r="J2812" s="31" t="s">
        <v>10748</v>
      </c>
      <c r="K2812" s="31" t="s">
        <v>123</v>
      </c>
      <c r="L2812" s="31" t="s">
        <v>56</v>
      </c>
      <c r="M2812" s="31">
        <v>160</v>
      </c>
      <c r="N2812" s="31">
        <v>2019</v>
      </c>
      <c r="O2812" s="31">
        <v>76</v>
      </c>
      <c r="P2812" s="31"/>
      <c r="Q2812" s="31"/>
      <c r="R2812" s="33"/>
      <c r="S2812" s="34" t="str">
        <f>HYPERLINK("http://www.cnpol.ru/covers/18790.jpg","фото на сайте")</f>
        <v>фото на сайте</v>
      </c>
    </row>
    <row r="2813" spans="1:19" ht="50.1" customHeight="1">
      <c r="A2813" s="31"/>
      <c r="B2813" s="32" t="s">
        <v>10749</v>
      </c>
      <c r="C2813" s="31" t="s">
        <v>143</v>
      </c>
      <c r="D2813" s="31" t="s">
        <v>10750</v>
      </c>
      <c r="E2813" s="31" t="s">
        <v>10751</v>
      </c>
      <c r="F2813" s="31" t="s">
        <v>31</v>
      </c>
      <c r="G2813" s="35">
        <v>1394</v>
      </c>
      <c r="H2813" s="31">
        <v>10</v>
      </c>
      <c r="I2813" s="31">
        <v>5</v>
      </c>
      <c r="J2813" s="31" t="s">
        <v>10752</v>
      </c>
      <c r="K2813" s="31" t="s">
        <v>33</v>
      </c>
      <c r="L2813" s="31" t="s">
        <v>34</v>
      </c>
      <c r="M2813" s="31">
        <v>607</v>
      </c>
      <c r="N2813" s="31">
        <v>2023</v>
      </c>
      <c r="O2813" s="31">
        <v>550</v>
      </c>
      <c r="P2813" s="31"/>
      <c r="Q2813" s="31"/>
      <c r="R2813" s="33" t="s">
        <v>10753</v>
      </c>
      <c r="S2813" s="34" t="str">
        <f>HYPERLINK("http://www.cnpol.ru/covers/20641.jpg","фото на сайте")</f>
        <v>фото на сайте</v>
      </c>
    </row>
    <row r="2814" spans="1:19" ht="50.1" customHeight="1">
      <c r="A2814" s="31"/>
      <c r="B2814" s="32" t="s">
        <v>10754</v>
      </c>
      <c r="C2814" s="31" t="s">
        <v>400</v>
      </c>
      <c r="D2814" s="31" t="s">
        <v>2412</v>
      </c>
      <c r="E2814" s="31" t="s">
        <v>10755</v>
      </c>
      <c r="F2814" s="31" t="s">
        <v>31</v>
      </c>
      <c r="G2814" s="31">
        <v>503</v>
      </c>
      <c r="H2814" s="31">
        <v>10</v>
      </c>
      <c r="I2814" s="31">
        <v>12</v>
      </c>
      <c r="J2814" s="31" t="s">
        <v>10756</v>
      </c>
      <c r="K2814" s="31" t="s">
        <v>33</v>
      </c>
      <c r="L2814" s="31" t="s">
        <v>34</v>
      </c>
      <c r="M2814" s="31">
        <v>288</v>
      </c>
      <c r="N2814" s="31">
        <v>2017</v>
      </c>
      <c r="O2814" s="31">
        <v>236</v>
      </c>
      <c r="P2814" s="31"/>
      <c r="Q2814" s="31"/>
      <c r="R2814" s="33"/>
      <c r="S2814" s="34" t="str">
        <f>HYPERLINK("http://www.cnpol.ru/covers/17485.jpg","фото на сайте")</f>
        <v>фото на сайте</v>
      </c>
    </row>
    <row r="2815" spans="1:19" ht="50.1" customHeight="1">
      <c r="A2815" s="31"/>
      <c r="B2815" s="32" t="s">
        <v>10757</v>
      </c>
      <c r="C2815" s="31" t="s">
        <v>3229</v>
      </c>
      <c r="D2815" s="31" t="s">
        <v>10758</v>
      </c>
      <c r="E2815" s="31" t="s">
        <v>10759</v>
      </c>
      <c r="F2815" s="31" t="s">
        <v>31</v>
      </c>
      <c r="G2815" s="31">
        <v>693</v>
      </c>
      <c r="H2815" s="31">
        <v>10</v>
      </c>
      <c r="I2815" s="31">
        <v>18</v>
      </c>
      <c r="J2815" s="31" t="s">
        <v>10760</v>
      </c>
      <c r="K2815" s="31" t="s">
        <v>33</v>
      </c>
      <c r="L2815" s="31" t="s">
        <v>34</v>
      </c>
      <c r="M2815" s="31">
        <v>288</v>
      </c>
      <c r="N2815" s="31">
        <v>2017</v>
      </c>
      <c r="O2815" s="31">
        <v>336</v>
      </c>
      <c r="P2815" s="31"/>
      <c r="Q2815" s="31"/>
      <c r="R2815" s="33"/>
      <c r="S2815" s="34" t="str">
        <f>HYPERLINK("http://www.cnpol.ru/covers/17629.jpg","фото на сайте")</f>
        <v>фото на сайте</v>
      </c>
    </row>
    <row r="2816" spans="1:19" ht="50.1" customHeight="1">
      <c r="A2816" s="31"/>
      <c r="B2816" s="32" t="s">
        <v>10761</v>
      </c>
      <c r="C2816" s="31" t="s">
        <v>4218</v>
      </c>
      <c r="D2816" s="31" t="s">
        <v>10762</v>
      </c>
      <c r="E2816" s="31" t="s">
        <v>10759</v>
      </c>
      <c r="F2816" s="31" t="s">
        <v>31</v>
      </c>
      <c r="G2816" s="31">
        <v>425</v>
      </c>
      <c r="H2816" s="31">
        <v>10</v>
      </c>
      <c r="I2816" s="31">
        <v>24</v>
      </c>
      <c r="J2816" s="31" t="s">
        <v>10763</v>
      </c>
      <c r="K2816" s="31" t="s">
        <v>33</v>
      </c>
      <c r="L2816" s="31" t="s">
        <v>34</v>
      </c>
      <c r="M2816" s="31">
        <v>207</v>
      </c>
      <c r="N2816" s="31">
        <v>2008</v>
      </c>
      <c r="O2816" s="31">
        <v>252</v>
      </c>
      <c r="P2816" s="31"/>
      <c r="Q2816" s="31"/>
      <c r="R2816" s="33"/>
      <c r="S2816" s="34" t="str">
        <f>HYPERLINK("http://www.cnpol.ru/covers/7660.jpg","фото на сайте")</f>
        <v>фото на сайте</v>
      </c>
    </row>
    <row r="2817" spans="1:19" ht="50.1" customHeight="1">
      <c r="A2817" s="31"/>
      <c r="B2817" s="32" t="s">
        <v>10764</v>
      </c>
      <c r="C2817" s="31" t="s">
        <v>4218</v>
      </c>
      <c r="D2817" s="31" t="s">
        <v>10762</v>
      </c>
      <c r="E2817" s="31" t="s">
        <v>10759</v>
      </c>
      <c r="F2817" s="31" t="s">
        <v>31</v>
      </c>
      <c r="G2817" s="31">
        <v>461</v>
      </c>
      <c r="H2817" s="31">
        <v>10</v>
      </c>
      <c r="I2817" s="31">
        <v>24</v>
      </c>
      <c r="J2817" s="31" t="s">
        <v>10765</v>
      </c>
      <c r="K2817" s="31" t="s">
        <v>33</v>
      </c>
      <c r="L2817" s="31" t="s">
        <v>34</v>
      </c>
      <c r="M2817" s="31">
        <v>207</v>
      </c>
      <c r="N2817" s="31">
        <v>2008</v>
      </c>
      <c r="O2817" s="31">
        <v>244</v>
      </c>
      <c r="P2817" s="31"/>
      <c r="Q2817" s="31"/>
      <c r="R2817" s="33"/>
      <c r="S2817" s="34" t="str">
        <f>HYPERLINK("http://www.cnpol.ru/covers/7927.jpg","фото на сайте")</f>
        <v>фото на сайте</v>
      </c>
    </row>
    <row r="2818" spans="1:19" ht="50.1" customHeight="1">
      <c r="A2818" s="31"/>
      <c r="B2818" s="32" t="s">
        <v>10766</v>
      </c>
      <c r="C2818" s="31" t="s">
        <v>390</v>
      </c>
      <c r="D2818" s="31" t="s">
        <v>1805</v>
      </c>
      <c r="E2818" s="31" t="s">
        <v>10767</v>
      </c>
      <c r="F2818" s="31">
        <v>906</v>
      </c>
      <c r="G2818" s="31">
        <v>86</v>
      </c>
      <c r="H2818" s="31">
        <v>10</v>
      </c>
      <c r="I2818" s="31">
        <v>30</v>
      </c>
      <c r="J2818" s="31" t="s">
        <v>10768</v>
      </c>
      <c r="K2818" s="31" t="s">
        <v>123</v>
      </c>
      <c r="L2818" s="31" t="s">
        <v>56</v>
      </c>
      <c r="M2818" s="31">
        <v>160</v>
      </c>
      <c r="N2818" s="31">
        <v>2019</v>
      </c>
      <c r="O2818" s="31">
        <v>76</v>
      </c>
      <c r="P2818" s="31"/>
      <c r="Q2818" s="31"/>
      <c r="R2818" s="33"/>
      <c r="S2818" s="34" t="str">
        <f>HYPERLINK("http://www.cnpol.ru/covers/18748.jpg","фото на сайте")</f>
        <v>фото на сайте</v>
      </c>
    </row>
    <row r="2819" spans="1:19" ht="50.1" customHeight="1">
      <c r="A2819" s="31"/>
      <c r="B2819" s="32" t="s">
        <v>10769</v>
      </c>
      <c r="C2819" s="31" t="s">
        <v>4085</v>
      </c>
      <c r="D2819" s="31" t="s">
        <v>4800</v>
      </c>
      <c r="E2819" s="31" t="s">
        <v>10770</v>
      </c>
      <c r="F2819" s="31" t="s">
        <v>31</v>
      </c>
      <c r="G2819" s="31">
        <v>243</v>
      </c>
      <c r="H2819" s="31">
        <v>10</v>
      </c>
      <c r="I2819" s="31">
        <v>24</v>
      </c>
      <c r="J2819" s="31" t="s">
        <v>10771</v>
      </c>
      <c r="K2819" s="31" t="s">
        <v>300</v>
      </c>
      <c r="L2819" s="31" t="s">
        <v>56</v>
      </c>
      <c r="M2819" s="31">
        <v>221</v>
      </c>
      <c r="N2819" s="31">
        <v>2013</v>
      </c>
      <c r="O2819" s="31">
        <v>116</v>
      </c>
      <c r="P2819" s="31"/>
      <c r="Q2819" s="31"/>
      <c r="R2819" s="33"/>
      <c r="S2819" s="34" t="str">
        <f>HYPERLINK("http://www.cnpol.ru/covers/14227.jpg","фото на сайте")</f>
        <v>фото на сайте</v>
      </c>
    </row>
    <row r="2820" spans="1:19" ht="50.1" customHeight="1">
      <c r="A2820" s="31"/>
      <c r="B2820" s="32" t="s">
        <v>10772</v>
      </c>
      <c r="C2820" s="31" t="s">
        <v>400</v>
      </c>
      <c r="D2820" s="31" t="s">
        <v>5829</v>
      </c>
      <c r="E2820" s="31" t="s">
        <v>10773</v>
      </c>
      <c r="F2820" s="31" t="s">
        <v>31</v>
      </c>
      <c r="G2820" s="31">
        <v>503</v>
      </c>
      <c r="H2820" s="31">
        <v>10</v>
      </c>
      <c r="I2820" s="31">
        <v>14</v>
      </c>
      <c r="J2820" s="31" t="s">
        <v>10774</v>
      </c>
      <c r="K2820" s="31" t="s">
        <v>33</v>
      </c>
      <c r="L2820" s="31" t="s">
        <v>34</v>
      </c>
      <c r="M2820" s="31">
        <v>288</v>
      </c>
      <c r="N2820" s="31">
        <v>2016</v>
      </c>
      <c r="O2820" s="31">
        <v>242</v>
      </c>
      <c r="P2820" s="31"/>
      <c r="Q2820" s="31"/>
      <c r="R2820" s="33"/>
      <c r="S2820" s="34" t="str">
        <f>HYPERLINK("http://www.cnpol.ru/covers/17128.jpg","фото на сайте")</f>
        <v>фото на сайте</v>
      </c>
    </row>
    <row r="2821" spans="1:19" ht="50.1" customHeight="1">
      <c r="A2821" s="31"/>
      <c r="B2821" s="32" t="s">
        <v>10775</v>
      </c>
      <c r="C2821" s="31" t="s">
        <v>5756</v>
      </c>
      <c r="D2821" s="31" t="s">
        <v>5757</v>
      </c>
      <c r="E2821" s="31" t="s">
        <v>10776</v>
      </c>
      <c r="F2821" s="31" t="s">
        <v>31</v>
      </c>
      <c r="G2821" s="31">
        <v>275</v>
      </c>
      <c r="H2821" s="31">
        <v>10</v>
      </c>
      <c r="I2821" s="31">
        <v>16</v>
      </c>
      <c r="J2821" s="31" t="s">
        <v>10777</v>
      </c>
      <c r="K2821" s="31" t="s">
        <v>123</v>
      </c>
      <c r="L2821" s="31" t="s">
        <v>56</v>
      </c>
      <c r="M2821" s="31">
        <v>416</v>
      </c>
      <c r="N2821" s="31">
        <v>2020</v>
      </c>
      <c r="O2821" s="31">
        <v>192</v>
      </c>
      <c r="P2821" s="31"/>
      <c r="Q2821" s="31"/>
      <c r="R2821" s="33"/>
      <c r="S2821" s="34" t="str">
        <f>HYPERLINK("http://www.cnpol.ru/covers/19062.jpg","фото на сайте")</f>
        <v>фото на сайте</v>
      </c>
    </row>
    <row r="2822" spans="1:19" ht="50.1" customHeight="1">
      <c r="A2822" s="31"/>
      <c r="B2822" s="32" t="s">
        <v>10778</v>
      </c>
      <c r="C2822" s="31" t="s">
        <v>3422</v>
      </c>
      <c r="D2822" s="31" t="s">
        <v>4849</v>
      </c>
      <c r="E2822" s="31" t="s">
        <v>10779</v>
      </c>
      <c r="F2822" s="31" t="s">
        <v>31</v>
      </c>
      <c r="G2822" s="31">
        <v>154</v>
      </c>
      <c r="H2822" s="31">
        <v>10</v>
      </c>
      <c r="I2822" s="31">
        <v>20</v>
      </c>
      <c r="J2822" s="31" t="s">
        <v>10780</v>
      </c>
      <c r="K2822" s="31" t="s">
        <v>55</v>
      </c>
      <c r="L2822" s="31" t="s">
        <v>56</v>
      </c>
      <c r="M2822" s="31">
        <v>445</v>
      </c>
      <c r="N2822" s="31">
        <v>2008</v>
      </c>
      <c r="O2822" s="31">
        <v>190</v>
      </c>
      <c r="P2822" s="31"/>
      <c r="Q2822" s="31"/>
      <c r="R2822" s="33"/>
      <c r="S2822" s="34" t="str">
        <f>HYPERLINK("http://www.cnpol.ru/covers/7559.jpg","фото на сайте")</f>
        <v>фото на сайте</v>
      </c>
    </row>
    <row r="2823" spans="1:19" ht="50.1" customHeight="1">
      <c r="A2823" s="31"/>
      <c r="B2823" s="32" t="s">
        <v>10781</v>
      </c>
      <c r="C2823" s="31" t="s">
        <v>10782</v>
      </c>
      <c r="D2823" s="31" t="s">
        <v>4849</v>
      </c>
      <c r="E2823" s="31" t="s">
        <v>10779</v>
      </c>
      <c r="F2823" s="31" t="s">
        <v>31</v>
      </c>
      <c r="G2823" s="31">
        <v>137</v>
      </c>
      <c r="H2823" s="31">
        <v>10</v>
      </c>
      <c r="I2823" s="31">
        <v>20</v>
      </c>
      <c r="J2823" s="31" t="s">
        <v>10783</v>
      </c>
      <c r="K2823" s="31" t="s">
        <v>55</v>
      </c>
      <c r="L2823" s="31" t="s">
        <v>56</v>
      </c>
      <c r="M2823" s="31">
        <v>445</v>
      </c>
      <c r="N2823" s="31">
        <v>2004</v>
      </c>
      <c r="O2823" s="31">
        <v>176</v>
      </c>
      <c r="P2823" s="31"/>
      <c r="Q2823" s="31"/>
      <c r="R2823" s="33"/>
      <c r="S2823" s="34" t="str">
        <f>HYPERLINK("http://www.cnpol.ru/covers/5125.jpg","фото на сайте")</f>
        <v>фото на сайте</v>
      </c>
    </row>
    <row r="2824" spans="1:19" ht="50.1" customHeight="1">
      <c r="A2824" s="31"/>
      <c r="B2824" s="32" t="s">
        <v>10784</v>
      </c>
      <c r="C2824" s="31" t="s">
        <v>390</v>
      </c>
      <c r="D2824" s="31" t="s">
        <v>1474</v>
      </c>
      <c r="E2824" s="31" t="s">
        <v>10785</v>
      </c>
      <c r="F2824" s="31">
        <v>297</v>
      </c>
      <c r="G2824" s="31">
        <v>86</v>
      </c>
      <c r="H2824" s="31">
        <v>10</v>
      </c>
      <c r="I2824" s="31">
        <v>30</v>
      </c>
      <c r="J2824" s="31" t="s">
        <v>10786</v>
      </c>
      <c r="K2824" s="31" t="s">
        <v>123</v>
      </c>
      <c r="L2824" s="31" t="s">
        <v>56</v>
      </c>
      <c r="M2824" s="31">
        <v>158</v>
      </c>
      <c r="N2824" s="31">
        <v>2013</v>
      </c>
      <c r="O2824" s="31">
        <v>80</v>
      </c>
      <c r="P2824" s="31"/>
      <c r="Q2824" s="31"/>
      <c r="R2824" s="33"/>
      <c r="S2824" s="34" t="str">
        <f>HYPERLINK("http://www.cnpol.ru/covers/14096.jpg","фото на сайте")</f>
        <v>фото на сайте</v>
      </c>
    </row>
    <row r="2825" spans="1:19" ht="50.1" customHeight="1">
      <c r="A2825" s="31"/>
      <c r="B2825" s="32" t="s">
        <v>10787</v>
      </c>
      <c r="C2825" s="31" t="s">
        <v>390</v>
      </c>
      <c r="D2825" s="31" t="s">
        <v>10788</v>
      </c>
      <c r="E2825" s="31" t="s">
        <v>10789</v>
      </c>
      <c r="F2825" s="31">
        <v>557</v>
      </c>
      <c r="G2825" s="31">
        <v>86</v>
      </c>
      <c r="H2825" s="31">
        <v>10</v>
      </c>
      <c r="I2825" s="31">
        <v>30</v>
      </c>
      <c r="J2825" s="31" t="s">
        <v>10790</v>
      </c>
      <c r="K2825" s="31" t="s">
        <v>123</v>
      </c>
      <c r="L2825" s="31" t="s">
        <v>56</v>
      </c>
      <c r="M2825" s="31">
        <v>158</v>
      </c>
      <c r="N2825" s="31">
        <v>2015</v>
      </c>
      <c r="O2825" s="31">
        <v>76</v>
      </c>
      <c r="P2825" s="31"/>
      <c r="Q2825" s="31"/>
      <c r="R2825" s="33"/>
      <c r="S2825" s="34" t="str">
        <f>HYPERLINK("http://www.cnpol.ru/covers/16281.jpg","фото на сайте")</f>
        <v>фото на сайте</v>
      </c>
    </row>
    <row r="2826" spans="1:19" ht="50.1" customHeight="1">
      <c r="A2826" s="31"/>
      <c r="B2826" s="32" t="s">
        <v>10791</v>
      </c>
      <c r="C2826" s="31" t="s">
        <v>390</v>
      </c>
      <c r="D2826" s="31" t="s">
        <v>1754</v>
      </c>
      <c r="E2826" s="31" t="s">
        <v>10792</v>
      </c>
      <c r="F2826" s="31">
        <v>766</v>
      </c>
      <c r="G2826" s="31">
        <v>86</v>
      </c>
      <c r="H2826" s="31">
        <v>10</v>
      </c>
      <c r="I2826" s="31">
        <v>30</v>
      </c>
      <c r="J2826" s="31" t="s">
        <v>10793</v>
      </c>
      <c r="K2826" s="31" t="s">
        <v>123</v>
      </c>
      <c r="L2826" s="31" t="s">
        <v>56</v>
      </c>
      <c r="M2826" s="31">
        <v>160</v>
      </c>
      <c r="N2826" s="31">
        <v>2017</v>
      </c>
      <c r="O2826" s="31">
        <v>76</v>
      </c>
      <c r="P2826" s="31"/>
      <c r="Q2826" s="31"/>
      <c r="R2826" s="33"/>
      <c r="S2826" s="34" t="str">
        <f>HYPERLINK("http://www.cnpol.ru/covers/17795.jpg","фото на сайте")</f>
        <v>фото на сайте</v>
      </c>
    </row>
    <row r="2827" spans="1:19" ht="50.1" customHeight="1">
      <c r="A2827" s="31"/>
      <c r="B2827" s="32" t="s">
        <v>10794</v>
      </c>
      <c r="C2827" s="31" t="s">
        <v>589</v>
      </c>
      <c r="D2827" s="31" t="s">
        <v>590</v>
      </c>
      <c r="E2827" s="31" t="s">
        <v>10795</v>
      </c>
      <c r="F2827" s="31" t="s">
        <v>31</v>
      </c>
      <c r="G2827" s="31">
        <v>258</v>
      </c>
      <c r="H2827" s="31">
        <v>10</v>
      </c>
      <c r="I2827" s="31">
        <v>10</v>
      </c>
      <c r="J2827" s="31" t="s">
        <v>10796</v>
      </c>
      <c r="K2827" s="31" t="s">
        <v>130</v>
      </c>
      <c r="L2827" s="31" t="s">
        <v>56</v>
      </c>
      <c r="M2827" s="31">
        <v>480</v>
      </c>
      <c r="N2827" s="31">
        <v>2017</v>
      </c>
      <c r="O2827" s="31">
        <v>284</v>
      </c>
      <c r="P2827" s="31"/>
      <c r="Q2827" s="31"/>
      <c r="R2827" s="33"/>
      <c r="S2827" s="34" t="str">
        <f>HYPERLINK("http://www.cnpol.ru/covers/17310.jpg","фото на сайте")</f>
        <v>фото на сайте</v>
      </c>
    </row>
    <row r="2828" spans="1:19" ht="50.1" customHeight="1">
      <c r="A2828" s="31"/>
      <c r="B2828" s="32" t="s">
        <v>10797</v>
      </c>
      <c r="C2828" s="31" t="s">
        <v>390</v>
      </c>
      <c r="D2828" s="31" t="s">
        <v>3170</v>
      </c>
      <c r="E2828" s="31" t="s">
        <v>10798</v>
      </c>
      <c r="F2828" s="31">
        <v>1108</v>
      </c>
      <c r="G2828" s="31">
        <v>86</v>
      </c>
      <c r="H2828" s="31">
        <v>10</v>
      </c>
      <c r="I2828" s="31">
        <v>30</v>
      </c>
      <c r="J2828" s="31" t="s">
        <v>10799</v>
      </c>
      <c r="K2828" s="31" t="s">
        <v>123</v>
      </c>
      <c r="L2828" s="31" t="s">
        <v>56</v>
      </c>
      <c r="M2828" s="31">
        <v>159</v>
      </c>
      <c r="N2828" s="31">
        <v>2022</v>
      </c>
      <c r="O2828" s="31">
        <v>76</v>
      </c>
      <c r="P2828" s="31"/>
      <c r="Q2828" s="31"/>
      <c r="R2828" s="33" t="s">
        <v>10800</v>
      </c>
      <c r="S2828" s="34" t="str">
        <f>HYPERLINK("http://www.cnpol.ru/covers/20392.jpg","фото на сайте")</f>
        <v>фото на сайте</v>
      </c>
    </row>
    <row r="2829" spans="1:19" ht="50.1" customHeight="1">
      <c r="A2829" s="31"/>
      <c r="B2829" s="32" t="s">
        <v>10801</v>
      </c>
      <c r="C2829" s="31" t="s">
        <v>126</v>
      </c>
      <c r="D2829" s="31" t="s">
        <v>10802</v>
      </c>
      <c r="E2829" s="31" t="s">
        <v>10803</v>
      </c>
      <c r="F2829" s="31" t="s">
        <v>31</v>
      </c>
      <c r="G2829" s="31">
        <v>128</v>
      </c>
      <c r="H2829" s="31">
        <v>10</v>
      </c>
      <c r="I2829" s="31">
        <v>16</v>
      </c>
      <c r="J2829" s="31" t="s">
        <v>10804</v>
      </c>
      <c r="K2829" s="31" t="s">
        <v>130</v>
      </c>
      <c r="L2829" s="31" t="s">
        <v>56</v>
      </c>
      <c r="M2829" s="31">
        <v>238</v>
      </c>
      <c r="N2829" s="31">
        <v>2009</v>
      </c>
      <c r="O2829" s="31">
        <v>146</v>
      </c>
      <c r="P2829" s="31"/>
      <c r="Q2829" s="31"/>
      <c r="R2829" s="33"/>
      <c r="S2829" s="34" t="str">
        <f>HYPERLINK("http://www.cnpol.ru/covers/11466.jpg","фото на сайте")</f>
        <v>фото на сайте</v>
      </c>
    </row>
    <row r="2830" spans="1:19" ht="50.1" customHeight="1">
      <c r="A2830" s="31"/>
      <c r="B2830" s="32" t="s">
        <v>10805</v>
      </c>
      <c r="C2830" s="31" t="s">
        <v>1003</v>
      </c>
      <c r="D2830" s="31" t="s">
        <v>1004</v>
      </c>
      <c r="E2830" s="31" t="s">
        <v>10806</v>
      </c>
      <c r="F2830" s="31" t="s">
        <v>31</v>
      </c>
      <c r="G2830" s="31">
        <v>112</v>
      </c>
      <c r="H2830" s="31">
        <v>10</v>
      </c>
      <c r="I2830" s="31">
        <v>20</v>
      </c>
      <c r="J2830" s="31" t="s">
        <v>10807</v>
      </c>
      <c r="K2830" s="31" t="s">
        <v>123</v>
      </c>
      <c r="L2830" s="31" t="s">
        <v>56</v>
      </c>
      <c r="M2830" s="31">
        <v>128</v>
      </c>
      <c r="N2830" s="31">
        <v>2016</v>
      </c>
      <c r="O2830" s="31">
        <v>60</v>
      </c>
      <c r="P2830" s="31"/>
      <c r="Q2830" s="31"/>
      <c r="R2830" s="33"/>
      <c r="S2830" s="34" t="str">
        <f>HYPERLINK("http://www.cnpol.ru/covers/16833.jpg","фото на сайте")</f>
        <v>фото на сайте</v>
      </c>
    </row>
    <row r="2831" spans="1:19" ht="50.1" customHeight="1">
      <c r="A2831" s="31"/>
      <c r="B2831" s="32" t="s">
        <v>10808</v>
      </c>
      <c r="C2831" s="31" t="s">
        <v>1247</v>
      </c>
      <c r="D2831" s="31" t="s">
        <v>1248</v>
      </c>
      <c r="E2831" s="31" t="s">
        <v>10809</v>
      </c>
      <c r="F2831" s="31" t="s">
        <v>31</v>
      </c>
      <c r="G2831" s="31">
        <v>112</v>
      </c>
      <c r="H2831" s="31">
        <v>10</v>
      </c>
      <c r="I2831" s="31">
        <v>60</v>
      </c>
      <c r="J2831" s="31" t="s">
        <v>10810</v>
      </c>
      <c r="K2831" s="31" t="s">
        <v>123</v>
      </c>
      <c r="L2831" s="31" t="s">
        <v>56</v>
      </c>
      <c r="M2831" s="31">
        <v>128</v>
      </c>
      <c r="N2831" s="31">
        <v>2016</v>
      </c>
      <c r="O2831" s="31">
        <v>62</v>
      </c>
      <c r="P2831" s="31"/>
      <c r="Q2831" s="31"/>
      <c r="R2831" s="33"/>
      <c r="S2831" s="34" t="str">
        <f>HYPERLINK("http://www.cnpol.ru/covers/16460.jpg","фото на сайте")</f>
        <v>фото на сайте</v>
      </c>
    </row>
    <row r="2832" spans="1:19" ht="50.1" customHeight="1">
      <c r="A2832" s="31"/>
      <c r="B2832" s="32" t="s">
        <v>10811</v>
      </c>
      <c r="C2832" s="31" t="s">
        <v>390</v>
      </c>
      <c r="D2832" s="31" t="s">
        <v>1801</v>
      </c>
      <c r="E2832" s="31" t="s">
        <v>10812</v>
      </c>
      <c r="F2832" s="31">
        <v>875</v>
      </c>
      <c r="G2832" s="31">
        <v>86</v>
      </c>
      <c r="H2832" s="31">
        <v>10</v>
      </c>
      <c r="I2832" s="31">
        <v>30</v>
      </c>
      <c r="J2832" s="31" t="s">
        <v>10813</v>
      </c>
      <c r="K2832" s="31" t="s">
        <v>123</v>
      </c>
      <c r="L2832" s="31" t="s">
        <v>56</v>
      </c>
      <c r="M2832" s="31">
        <v>160</v>
      </c>
      <c r="N2832" s="31">
        <v>2019</v>
      </c>
      <c r="O2832" s="31">
        <v>76</v>
      </c>
      <c r="P2832" s="31"/>
      <c r="Q2832" s="31"/>
      <c r="R2832" s="33"/>
      <c r="S2832" s="34" t="str">
        <f>HYPERLINK("http://www.cnpol.ru/covers/18538.jpg","фото на сайте")</f>
        <v>фото на сайте</v>
      </c>
    </row>
    <row r="2833" spans="1:19" ht="50.1" customHeight="1">
      <c r="A2833" s="31"/>
      <c r="B2833" s="32" t="s">
        <v>10814</v>
      </c>
      <c r="C2833" s="31" t="s">
        <v>546</v>
      </c>
      <c r="D2833" s="31" t="s">
        <v>10815</v>
      </c>
      <c r="E2833" s="31" t="s">
        <v>10816</v>
      </c>
      <c r="F2833" s="31">
        <v>410</v>
      </c>
      <c r="G2833" s="31">
        <v>93</v>
      </c>
      <c r="H2833" s="31">
        <v>10</v>
      </c>
      <c r="I2833" s="31">
        <v>30</v>
      </c>
      <c r="J2833" s="31" t="s">
        <v>10817</v>
      </c>
      <c r="K2833" s="31" t="s">
        <v>123</v>
      </c>
      <c r="L2833" s="31" t="s">
        <v>56</v>
      </c>
      <c r="M2833" s="31">
        <v>159</v>
      </c>
      <c r="N2833" s="31">
        <v>2022</v>
      </c>
      <c r="O2833" s="31">
        <v>76</v>
      </c>
      <c r="P2833" s="31"/>
      <c r="Q2833" s="31"/>
      <c r="R2833" s="33"/>
      <c r="S2833" s="34" t="str">
        <f>HYPERLINK("http://www.cnpol.ru/covers/20367.jpg","фото на сайте")</f>
        <v>фото на сайте</v>
      </c>
    </row>
    <row r="2834" spans="1:19" ht="50.1" customHeight="1">
      <c r="A2834" s="31"/>
      <c r="B2834" s="32" t="s">
        <v>10818</v>
      </c>
      <c r="C2834" s="31" t="s">
        <v>418</v>
      </c>
      <c r="D2834" s="31" t="s">
        <v>10819</v>
      </c>
      <c r="E2834" s="31" t="s">
        <v>10820</v>
      </c>
      <c r="F2834" s="31">
        <v>116</v>
      </c>
      <c r="G2834" s="31">
        <v>153</v>
      </c>
      <c r="H2834" s="31">
        <v>10</v>
      </c>
      <c r="I2834" s="31">
        <v>20</v>
      </c>
      <c r="J2834" s="31" t="s">
        <v>10821</v>
      </c>
      <c r="K2834" s="31" t="s">
        <v>123</v>
      </c>
      <c r="L2834" s="31" t="s">
        <v>56</v>
      </c>
      <c r="M2834" s="31">
        <v>256</v>
      </c>
      <c r="N2834" s="31">
        <v>2021</v>
      </c>
      <c r="O2834" s="31">
        <v>118</v>
      </c>
      <c r="P2834" s="31"/>
      <c r="Q2834" s="31"/>
      <c r="R2834" s="33"/>
      <c r="S2834" s="34" t="str">
        <f>HYPERLINK("http://www.cnpol.ru/covers/19851.jpg","фото на сайте")</f>
        <v>фото на сайте</v>
      </c>
    </row>
    <row r="2835" spans="1:19" ht="50.1" customHeight="1">
      <c r="A2835" s="31"/>
      <c r="B2835" s="32" t="s">
        <v>10822</v>
      </c>
      <c r="C2835" s="31" t="s">
        <v>400</v>
      </c>
      <c r="D2835" s="31" t="s">
        <v>1149</v>
      </c>
      <c r="E2835" s="31" t="s">
        <v>10823</v>
      </c>
      <c r="F2835" s="31" t="s">
        <v>31</v>
      </c>
      <c r="G2835" s="31">
        <v>503</v>
      </c>
      <c r="H2835" s="31">
        <v>10</v>
      </c>
      <c r="I2835" s="31">
        <v>16</v>
      </c>
      <c r="J2835" s="31" t="s">
        <v>10824</v>
      </c>
      <c r="K2835" s="31" t="s">
        <v>33</v>
      </c>
      <c r="L2835" s="31" t="s">
        <v>34</v>
      </c>
      <c r="M2835" s="31">
        <v>318</v>
      </c>
      <c r="N2835" s="31">
        <v>2010</v>
      </c>
      <c r="O2835" s="31">
        <v>264</v>
      </c>
      <c r="P2835" s="31"/>
      <c r="Q2835" s="31"/>
      <c r="R2835" s="33"/>
      <c r="S2835" s="34" t="str">
        <f>HYPERLINK("http://www.cnpol.ru/covers/11975.jpg","фото на сайте")</f>
        <v>фото на сайте</v>
      </c>
    </row>
    <row r="2836" spans="1:19" ht="50.1" customHeight="1">
      <c r="A2836" s="31"/>
      <c r="B2836" s="32" t="s">
        <v>10825</v>
      </c>
      <c r="C2836" s="31" t="s">
        <v>413</v>
      </c>
      <c r="D2836" s="31" t="s">
        <v>1774</v>
      </c>
      <c r="E2836" s="31" t="s">
        <v>10826</v>
      </c>
      <c r="F2836" s="31">
        <v>148</v>
      </c>
      <c r="G2836" s="31">
        <v>117</v>
      </c>
      <c r="H2836" s="31">
        <v>10</v>
      </c>
      <c r="I2836" s="31">
        <v>36</v>
      </c>
      <c r="J2836" s="31" t="s">
        <v>10827</v>
      </c>
      <c r="K2836" s="31" t="s">
        <v>123</v>
      </c>
      <c r="L2836" s="31" t="s">
        <v>56</v>
      </c>
      <c r="M2836" s="31">
        <v>160</v>
      </c>
      <c r="N2836" s="31">
        <v>2017</v>
      </c>
      <c r="O2836" s="31">
        <v>90</v>
      </c>
      <c r="P2836" s="31"/>
      <c r="Q2836" s="31"/>
      <c r="R2836" s="33"/>
      <c r="S2836" s="34" t="str">
        <f>HYPERLINK("http://www.cnpol.ru/covers/17767.jpg","фото на сайте")</f>
        <v>фото на сайте</v>
      </c>
    </row>
    <row r="2837" spans="1:19" ht="50.1" customHeight="1">
      <c r="A2837" s="31"/>
      <c r="B2837" s="32" t="s">
        <v>10828</v>
      </c>
      <c r="C2837" s="31" t="s">
        <v>4834</v>
      </c>
      <c r="D2837" s="31" t="s">
        <v>10829</v>
      </c>
      <c r="E2837" s="31" t="s">
        <v>10830</v>
      </c>
      <c r="F2837" s="31" t="s">
        <v>31</v>
      </c>
      <c r="G2837" s="31">
        <v>290</v>
      </c>
      <c r="H2837" s="31">
        <v>10</v>
      </c>
      <c r="I2837" s="31">
        <v>16</v>
      </c>
      <c r="J2837" s="31" t="s">
        <v>10831</v>
      </c>
      <c r="K2837" s="31" t="s">
        <v>300</v>
      </c>
      <c r="L2837" s="31" t="s">
        <v>56</v>
      </c>
      <c r="M2837" s="31">
        <v>287</v>
      </c>
      <c r="N2837" s="31">
        <v>2023</v>
      </c>
      <c r="O2837" s="31">
        <v>285</v>
      </c>
      <c r="P2837" s="31"/>
      <c r="Q2837" s="31"/>
      <c r="R2837" s="33" t="s">
        <v>10832</v>
      </c>
      <c r="S2837" s="34" t="str">
        <f>HYPERLINK("http://www.cnpol.ru/covers/20592.jpg","фото на сайте")</f>
        <v>фото на сайте</v>
      </c>
    </row>
    <row r="2838" spans="1:19" ht="50.1" customHeight="1">
      <c r="A2838" s="31"/>
      <c r="B2838" s="32" t="s">
        <v>10833</v>
      </c>
      <c r="C2838" s="31" t="s">
        <v>3229</v>
      </c>
      <c r="D2838" s="31" t="s">
        <v>10829</v>
      </c>
      <c r="E2838" s="31" t="s">
        <v>10830</v>
      </c>
      <c r="F2838" s="31" t="s">
        <v>31</v>
      </c>
      <c r="G2838" s="31">
        <v>693</v>
      </c>
      <c r="H2838" s="31">
        <v>10</v>
      </c>
      <c r="I2838" s="31">
        <v>20</v>
      </c>
      <c r="J2838" s="31" t="s">
        <v>10834</v>
      </c>
      <c r="K2838" s="31" t="s">
        <v>33</v>
      </c>
      <c r="L2838" s="31" t="s">
        <v>34</v>
      </c>
      <c r="M2838" s="31">
        <v>288</v>
      </c>
      <c r="N2838" s="31">
        <v>2018</v>
      </c>
      <c r="O2838" s="31">
        <v>322</v>
      </c>
      <c r="P2838" s="31"/>
      <c r="Q2838" s="31"/>
      <c r="R2838" s="33"/>
      <c r="S2838" s="34" t="str">
        <f>HYPERLINK("http://www.cnpol.ru/covers/18265.jpg","фото на сайте")</f>
        <v>фото на сайте</v>
      </c>
    </row>
    <row r="2839" spans="1:19" ht="50.1" customHeight="1">
      <c r="A2839" s="31"/>
      <c r="B2839" s="32" t="s">
        <v>10835</v>
      </c>
      <c r="C2839" s="31" t="s">
        <v>1247</v>
      </c>
      <c r="D2839" s="31" t="s">
        <v>1248</v>
      </c>
      <c r="E2839" s="31" t="s">
        <v>10836</v>
      </c>
      <c r="F2839" s="31" t="s">
        <v>31</v>
      </c>
      <c r="G2839" s="31">
        <v>88</v>
      </c>
      <c r="H2839" s="31">
        <v>10</v>
      </c>
      <c r="I2839" s="31">
        <v>40</v>
      </c>
      <c r="J2839" s="31" t="s">
        <v>10837</v>
      </c>
      <c r="K2839" s="31" t="s">
        <v>123</v>
      </c>
      <c r="L2839" s="31" t="s">
        <v>56</v>
      </c>
      <c r="M2839" s="31">
        <v>125</v>
      </c>
      <c r="N2839" s="31">
        <v>2010</v>
      </c>
      <c r="O2839" s="31">
        <v>60</v>
      </c>
      <c r="P2839" s="31"/>
      <c r="Q2839" s="31"/>
      <c r="R2839" s="33"/>
      <c r="S2839" s="34" t="str">
        <f>HYPERLINK("http://www.cnpol.ru/covers/11795.jpg","фото на сайте")</f>
        <v>фото на сайте</v>
      </c>
    </row>
    <row r="2840" spans="1:19" ht="50.1" customHeight="1">
      <c r="A2840" s="31"/>
      <c r="B2840" s="32" t="s">
        <v>10838</v>
      </c>
      <c r="C2840" s="31" t="s">
        <v>939</v>
      </c>
      <c r="D2840" s="31" t="s">
        <v>10839</v>
      </c>
      <c r="E2840" s="31" t="s">
        <v>10840</v>
      </c>
      <c r="F2840" s="31" t="s">
        <v>31</v>
      </c>
      <c r="G2840" s="31">
        <v>137</v>
      </c>
      <c r="H2840" s="31">
        <v>10</v>
      </c>
      <c r="I2840" s="31">
        <v>20</v>
      </c>
      <c r="J2840" s="31" t="s">
        <v>10841</v>
      </c>
      <c r="K2840" s="31" t="s">
        <v>130</v>
      </c>
      <c r="L2840" s="31" t="s">
        <v>56</v>
      </c>
      <c r="M2840" s="31">
        <v>191</v>
      </c>
      <c r="N2840" s="31">
        <v>2008</v>
      </c>
      <c r="O2840" s="31">
        <v>114</v>
      </c>
      <c r="P2840" s="31"/>
      <c r="Q2840" s="31"/>
      <c r="R2840" s="33"/>
      <c r="S2840" s="34" t="str">
        <f>HYPERLINK("http://www.cnpol.ru/covers/10266.jpg","фото на сайте")</f>
        <v>фото на сайте</v>
      </c>
    </row>
    <row r="2841" spans="1:19" ht="50.1" customHeight="1">
      <c r="A2841" s="31"/>
      <c r="B2841" s="32" t="s">
        <v>10842</v>
      </c>
      <c r="C2841" s="31" t="s">
        <v>546</v>
      </c>
      <c r="D2841" s="31" t="s">
        <v>1435</v>
      </c>
      <c r="E2841" s="31" t="s">
        <v>10843</v>
      </c>
      <c r="F2841" s="31">
        <v>314</v>
      </c>
      <c r="G2841" s="31">
        <v>93</v>
      </c>
      <c r="H2841" s="31">
        <v>10</v>
      </c>
      <c r="I2841" s="31">
        <v>30</v>
      </c>
      <c r="J2841" s="31" t="s">
        <v>10844</v>
      </c>
      <c r="K2841" s="31" t="s">
        <v>123</v>
      </c>
      <c r="L2841" s="31" t="s">
        <v>56</v>
      </c>
      <c r="M2841" s="31">
        <v>160</v>
      </c>
      <c r="N2841" s="31">
        <v>2019</v>
      </c>
      <c r="O2841" s="31">
        <v>76</v>
      </c>
      <c r="P2841" s="31"/>
      <c r="Q2841" s="31"/>
      <c r="R2841" s="33"/>
      <c r="S2841" s="34" t="str">
        <f>HYPERLINK("http://www.cnpol.ru/covers/18750.jpg","фото на сайте")</f>
        <v>фото на сайте</v>
      </c>
    </row>
    <row r="2842" spans="1:19" ht="50.1" customHeight="1">
      <c r="A2842" s="31"/>
      <c r="B2842" s="32" t="s">
        <v>10845</v>
      </c>
      <c r="C2842" s="31" t="s">
        <v>546</v>
      </c>
      <c r="D2842" s="31" t="s">
        <v>10788</v>
      </c>
      <c r="E2842" s="31" t="s">
        <v>10846</v>
      </c>
      <c r="F2842" s="31">
        <v>388</v>
      </c>
      <c r="G2842" s="31">
        <v>93</v>
      </c>
      <c r="H2842" s="31">
        <v>10</v>
      </c>
      <c r="I2842" s="31">
        <v>30</v>
      </c>
      <c r="J2842" s="31" t="s">
        <v>10847</v>
      </c>
      <c r="K2842" s="31" t="s">
        <v>123</v>
      </c>
      <c r="L2842" s="31" t="s">
        <v>56</v>
      </c>
      <c r="M2842" s="31">
        <v>159</v>
      </c>
      <c r="N2842" s="31">
        <v>2021</v>
      </c>
      <c r="O2842" s="31">
        <v>76</v>
      </c>
      <c r="P2842" s="31"/>
      <c r="Q2842" s="31"/>
      <c r="R2842" s="33"/>
      <c r="S2842" s="34" t="str">
        <f>HYPERLINK("http://www.cnpol.ru/covers/19903.jpg","фото на сайте")</f>
        <v>фото на сайте</v>
      </c>
    </row>
    <row r="2843" spans="1:19" ht="50.1" customHeight="1">
      <c r="A2843" s="31"/>
      <c r="B2843" s="32" t="s">
        <v>10848</v>
      </c>
      <c r="C2843" s="31" t="s">
        <v>546</v>
      </c>
      <c r="D2843" s="31" t="s">
        <v>3095</v>
      </c>
      <c r="E2843" s="31" t="s">
        <v>10849</v>
      </c>
      <c r="F2843" s="31">
        <v>202</v>
      </c>
      <c r="G2843" s="31">
        <v>93</v>
      </c>
      <c r="H2843" s="31">
        <v>10</v>
      </c>
      <c r="I2843" s="31">
        <v>30</v>
      </c>
      <c r="J2843" s="31" t="s">
        <v>10850</v>
      </c>
      <c r="K2843" s="31" t="s">
        <v>123</v>
      </c>
      <c r="L2843" s="31" t="s">
        <v>56</v>
      </c>
      <c r="M2843" s="31">
        <v>160</v>
      </c>
      <c r="N2843" s="31">
        <v>2017</v>
      </c>
      <c r="O2843" s="31">
        <v>76</v>
      </c>
      <c r="P2843" s="31"/>
      <c r="Q2843" s="31"/>
      <c r="R2843" s="33"/>
      <c r="S2843" s="34" t="str">
        <f>HYPERLINK("http://www.cnpol.ru/covers/17247.jpg","фото на сайте")</f>
        <v>фото на сайте</v>
      </c>
    </row>
    <row r="2844" spans="1:19" ht="50.1" customHeight="1">
      <c r="A2844" s="31"/>
      <c r="B2844" s="32" t="s">
        <v>10851</v>
      </c>
      <c r="C2844" s="31" t="s">
        <v>37</v>
      </c>
      <c r="D2844" s="31" t="s">
        <v>6566</v>
      </c>
      <c r="E2844" s="31" t="s">
        <v>10852</v>
      </c>
      <c r="F2844" s="31" t="s">
        <v>31</v>
      </c>
      <c r="G2844" s="35">
        <v>1125</v>
      </c>
      <c r="H2844" s="31">
        <v>10</v>
      </c>
      <c r="I2844" s="31">
        <v>10</v>
      </c>
      <c r="J2844" s="31" t="s">
        <v>10853</v>
      </c>
      <c r="K2844" s="31" t="s">
        <v>33</v>
      </c>
      <c r="L2844" s="31" t="s">
        <v>34</v>
      </c>
      <c r="M2844" s="31">
        <v>448</v>
      </c>
      <c r="N2844" s="31">
        <v>2021</v>
      </c>
      <c r="O2844" s="31">
        <v>426</v>
      </c>
      <c r="P2844" s="31"/>
      <c r="Q2844" s="31"/>
      <c r="R2844" s="33"/>
      <c r="S2844" s="34" t="str">
        <f>HYPERLINK("http://www.cnpol.ru/covers/19486.jpg","фото на сайте")</f>
        <v>фото на сайте</v>
      </c>
    </row>
    <row r="2845" spans="1:19" ht="50.1" customHeight="1">
      <c r="A2845" s="31"/>
      <c r="B2845" s="32" t="s">
        <v>10854</v>
      </c>
      <c r="C2845" s="31" t="s">
        <v>413</v>
      </c>
      <c r="D2845" s="31" t="s">
        <v>5015</v>
      </c>
      <c r="E2845" s="31" t="s">
        <v>10855</v>
      </c>
      <c r="F2845" s="31">
        <v>173</v>
      </c>
      <c r="G2845" s="31">
        <v>117</v>
      </c>
      <c r="H2845" s="31">
        <v>10</v>
      </c>
      <c r="I2845" s="31">
        <v>30</v>
      </c>
      <c r="J2845" s="31" t="s">
        <v>10856</v>
      </c>
      <c r="K2845" s="31" t="s">
        <v>123</v>
      </c>
      <c r="L2845" s="31" t="s">
        <v>56</v>
      </c>
      <c r="M2845" s="31">
        <v>192</v>
      </c>
      <c r="N2845" s="31">
        <v>2020</v>
      </c>
      <c r="O2845" s="31">
        <v>90</v>
      </c>
      <c r="P2845" s="31"/>
      <c r="Q2845" s="31"/>
      <c r="R2845" s="33"/>
      <c r="S2845" s="34" t="str">
        <f>HYPERLINK("http://www.cnpol.ru/covers/19075.jpg","фото на сайте")</f>
        <v>фото на сайте</v>
      </c>
    </row>
    <row r="2846" spans="1:19" ht="50.1" customHeight="1">
      <c r="A2846" s="31"/>
      <c r="B2846" s="32" t="s">
        <v>10857</v>
      </c>
      <c r="C2846" s="31" t="s">
        <v>390</v>
      </c>
      <c r="D2846" s="31" t="s">
        <v>4519</v>
      </c>
      <c r="E2846" s="31" t="s">
        <v>10858</v>
      </c>
      <c r="F2846" s="31">
        <v>1036</v>
      </c>
      <c r="G2846" s="31">
        <v>86</v>
      </c>
      <c r="H2846" s="31">
        <v>10</v>
      </c>
      <c r="I2846" s="31">
        <v>30</v>
      </c>
      <c r="J2846" s="31" t="s">
        <v>10859</v>
      </c>
      <c r="K2846" s="31" t="s">
        <v>123</v>
      </c>
      <c r="L2846" s="31" t="s">
        <v>56</v>
      </c>
      <c r="M2846" s="31">
        <v>160</v>
      </c>
      <c r="N2846" s="31">
        <v>2021</v>
      </c>
      <c r="O2846" s="31">
        <v>76</v>
      </c>
      <c r="P2846" s="31"/>
      <c r="Q2846" s="31"/>
      <c r="R2846" s="33"/>
      <c r="S2846" s="34" t="str">
        <f>HYPERLINK("http://www.cnpol.ru/covers/19669.jpg","фото на сайте")</f>
        <v>фото на сайте</v>
      </c>
    </row>
    <row r="2847" spans="1:19" ht="50.1" customHeight="1">
      <c r="A2847" s="31"/>
      <c r="B2847" s="32" t="s">
        <v>10860</v>
      </c>
      <c r="C2847" s="31" t="s">
        <v>390</v>
      </c>
      <c r="D2847" s="31" t="s">
        <v>3741</v>
      </c>
      <c r="E2847" s="31" t="s">
        <v>10861</v>
      </c>
      <c r="F2847" s="31">
        <v>350</v>
      </c>
      <c r="G2847" s="31">
        <v>86</v>
      </c>
      <c r="H2847" s="31">
        <v>10</v>
      </c>
      <c r="I2847" s="31">
        <v>30</v>
      </c>
      <c r="J2847" s="31" t="s">
        <v>10862</v>
      </c>
      <c r="K2847" s="31" t="s">
        <v>123</v>
      </c>
      <c r="L2847" s="31" t="s">
        <v>56</v>
      </c>
      <c r="M2847" s="31">
        <v>158</v>
      </c>
      <c r="N2847" s="31">
        <v>2013</v>
      </c>
      <c r="O2847" s="31">
        <v>76</v>
      </c>
      <c r="P2847" s="31"/>
      <c r="Q2847" s="31"/>
      <c r="R2847" s="33"/>
      <c r="S2847" s="34" t="str">
        <f>HYPERLINK("http://www.cnpol.ru/covers/14572.jpg","фото на сайте")</f>
        <v>фото на сайте</v>
      </c>
    </row>
    <row r="2848" spans="1:19" ht="50.1" customHeight="1">
      <c r="A2848" s="31"/>
      <c r="B2848" s="32" t="s">
        <v>10863</v>
      </c>
      <c r="C2848" s="31" t="s">
        <v>1594</v>
      </c>
      <c r="D2848" s="31" t="s">
        <v>1908</v>
      </c>
      <c r="E2848" s="31" t="s">
        <v>10864</v>
      </c>
      <c r="F2848" s="31" t="s">
        <v>31</v>
      </c>
      <c r="G2848" s="31">
        <v>169</v>
      </c>
      <c r="H2848" s="31">
        <v>10</v>
      </c>
      <c r="I2848" s="31">
        <v>12</v>
      </c>
      <c r="J2848" s="31" t="s">
        <v>10865</v>
      </c>
      <c r="K2848" s="31" t="s">
        <v>55</v>
      </c>
      <c r="L2848" s="31" t="s">
        <v>56</v>
      </c>
      <c r="M2848" s="31">
        <v>288</v>
      </c>
      <c r="N2848" s="31">
        <v>2021</v>
      </c>
      <c r="O2848" s="31">
        <v>122</v>
      </c>
      <c r="P2848" s="31"/>
      <c r="Q2848" s="31"/>
      <c r="R2848" s="33"/>
      <c r="S2848" s="34" t="str">
        <f>HYPERLINK("http://www.cnpol.ru/covers/19551.jpg","фото на сайте")</f>
        <v>фото на сайте</v>
      </c>
    </row>
    <row r="2849" spans="1:19" ht="50.1" customHeight="1">
      <c r="A2849" s="31"/>
      <c r="B2849" s="32" t="s">
        <v>10866</v>
      </c>
      <c r="C2849" s="31" t="s">
        <v>10867</v>
      </c>
      <c r="D2849" s="31" t="s">
        <v>10868</v>
      </c>
      <c r="E2849" s="31" t="s">
        <v>10869</v>
      </c>
      <c r="F2849" s="31" t="s">
        <v>31</v>
      </c>
      <c r="G2849" s="31">
        <v>154</v>
      </c>
      <c r="H2849" s="31">
        <v>10</v>
      </c>
      <c r="I2849" s="31">
        <v>28</v>
      </c>
      <c r="J2849" s="31" t="s">
        <v>10870</v>
      </c>
      <c r="K2849" s="31" t="s">
        <v>55</v>
      </c>
      <c r="L2849" s="31" t="s">
        <v>56</v>
      </c>
      <c r="M2849" s="31">
        <v>351</v>
      </c>
      <c r="N2849" s="31">
        <v>2012</v>
      </c>
      <c r="O2849" s="31">
        <v>140</v>
      </c>
      <c r="P2849" s="31"/>
      <c r="Q2849" s="31"/>
      <c r="R2849" s="33"/>
      <c r="S2849" s="34" t="str">
        <f>HYPERLINK("http://www.cnpol.ru/covers/13559.jpg","фото на сайте")</f>
        <v>фото на сайте</v>
      </c>
    </row>
    <row r="2850" spans="1:19" ht="50.1" customHeight="1">
      <c r="A2850" s="31"/>
      <c r="B2850" s="32" t="s">
        <v>10871</v>
      </c>
      <c r="C2850" s="31" t="s">
        <v>390</v>
      </c>
      <c r="D2850" s="31" t="s">
        <v>1750</v>
      </c>
      <c r="E2850" s="31" t="s">
        <v>10872</v>
      </c>
      <c r="F2850" s="31">
        <v>753</v>
      </c>
      <c r="G2850" s="31">
        <v>86</v>
      </c>
      <c r="H2850" s="31">
        <v>10</v>
      </c>
      <c r="I2850" s="31">
        <v>30</v>
      </c>
      <c r="J2850" s="31" t="s">
        <v>10873</v>
      </c>
      <c r="K2850" s="31" t="s">
        <v>123</v>
      </c>
      <c r="L2850" s="31" t="s">
        <v>56</v>
      </c>
      <c r="M2850" s="31">
        <v>160</v>
      </c>
      <c r="N2850" s="31">
        <v>2017</v>
      </c>
      <c r="O2850" s="31">
        <v>76</v>
      </c>
      <c r="P2850" s="31"/>
      <c r="Q2850" s="31"/>
      <c r="R2850" s="33"/>
      <c r="S2850" s="34" t="str">
        <f>HYPERLINK("http://www.cnpol.ru/covers/17690.jpg","фото на сайте")</f>
        <v>фото на сайте</v>
      </c>
    </row>
    <row r="2851" spans="1:19" ht="50.1" customHeight="1">
      <c r="A2851" s="31"/>
      <c r="B2851" s="32" t="s">
        <v>10874</v>
      </c>
      <c r="C2851" s="31" t="s">
        <v>423</v>
      </c>
      <c r="D2851" s="31" t="s">
        <v>10875</v>
      </c>
      <c r="E2851" s="31" t="s">
        <v>10876</v>
      </c>
      <c r="F2851" s="31" t="s">
        <v>31</v>
      </c>
      <c r="G2851" s="31">
        <v>112</v>
      </c>
      <c r="H2851" s="31">
        <v>10</v>
      </c>
      <c r="I2851" s="31">
        <v>20</v>
      </c>
      <c r="J2851" s="31" t="s">
        <v>10877</v>
      </c>
      <c r="K2851" s="31" t="s">
        <v>55</v>
      </c>
      <c r="L2851" s="31" t="s">
        <v>56</v>
      </c>
      <c r="M2851" s="31">
        <v>317</v>
      </c>
      <c r="N2851" s="31">
        <v>2009</v>
      </c>
      <c r="O2851" s="31">
        <v>130</v>
      </c>
      <c r="P2851" s="31"/>
      <c r="Q2851" s="31"/>
      <c r="R2851" s="33"/>
      <c r="S2851" s="34" t="str">
        <f>HYPERLINK("http://www.cnpol.ru/covers/11536.jpg","фото на сайте")</f>
        <v>фото на сайте</v>
      </c>
    </row>
    <row r="2852" spans="1:19" ht="50.1" customHeight="1">
      <c r="A2852" s="31"/>
      <c r="B2852" s="32" t="s">
        <v>10878</v>
      </c>
      <c r="C2852" s="31" t="s">
        <v>413</v>
      </c>
      <c r="D2852" s="31" t="s">
        <v>4589</v>
      </c>
      <c r="E2852" s="31" t="s">
        <v>10879</v>
      </c>
      <c r="F2852" s="31">
        <v>46</v>
      </c>
      <c r="G2852" s="31">
        <v>117</v>
      </c>
      <c r="H2852" s="31">
        <v>10</v>
      </c>
      <c r="I2852" s="31">
        <v>36</v>
      </c>
      <c r="J2852" s="31" t="s">
        <v>10880</v>
      </c>
      <c r="K2852" s="31" t="s">
        <v>123</v>
      </c>
      <c r="L2852" s="31" t="s">
        <v>56</v>
      </c>
      <c r="M2852" s="31">
        <v>190</v>
      </c>
      <c r="N2852" s="31">
        <v>2015</v>
      </c>
      <c r="O2852" s="31">
        <v>90</v>
      </c>
      <c r="P2852" s="31"/>
      <c r="Q2852" s="31"/>
      <c r="R2852" s="33"/>
      <c r="S2852" s="34" t="str">
        <f>HYPERLINK("http://www.cnpol.ru/covers/15854.jpg","фото на сайте")</f>
        <v>фото на сайте</v>
      </c>
    </row>
    <row r="2853" spans="1:19" ht="50.1" customHeight="1">
      <c r="A2853" s="31"/>
      <c r="B2853" s="32" t="s">
        <v>10881</v>
      </c>
      <c r="C2853" s="31" t="s">
        <v>520</v>
      </c>
      <c r="D2853" s="31" t="s">
        <v>5181</v>
      </c>
      <c r="E2853" s="31" t="s">
        <v>10882</v>
      </c>
      <c r="F2853" s="31">
        <v>81</v>
      </c>
      <c r="G2853" s="31">
        <v>117</v>
      </c>
      <c r="H2853" s="31">
        <v>10</v>
      </c>
      <c r="I2853" s="31">
        <v>30</v>
      </c>
      <c r="J2853" s="31" t="s">
        <v>10883</v>
      </c>
      <c r="K2853" s="31" t="s">
        <v>123</v>
      </c>
      <c r="L2853" s="31" t="s">
        <v>56</v>
      </c>
      <c r="M2853" s="31">
        <v>192</v>
      </c>
      <c r="N2853" s="31">
        <v>2020</v>
      </c>
      <c r="O2853" s="31">
        <v>90</v>
      </c>
      <c r="P2853" s="31"/>
      <c r="Q2853" s="31"/>
      <c r="R2853" s="33"/>
      <c r="S2853" s="34" t="str">
        <f>HYPERLINK("http://www.cnpol.ru/covers/19482.jpg","фото на сайте")</f>
        <v>фото на сайте</v>
      </c>
    </row>
    <row r="2854" spans="1:19" ht="50.1" customHeight="1">
      <c r="A2854" s="31"/>
      <c r="B2854" s="32" t="s">
        <v>10884</v>
      </c>
      <c r="C2854" s="31" t="s">
        <v>28</v>
      </c>
      <c r="D2854" s="31" t="s">
        <v>10885</v>
      </c>
      <c r="E2854" s="31" t="s">
        <v>10886</v>
      </c>
      <c r="F2854" s="31" t="s">
        <v>31</v>
      </c>
      <c r="G2854" s="31">
        <v>630</v>
      </c>
      <c r="H2854" s="31">
        <v>10</v>
      </c>
      <c r="I2854" s="31">
        <v>8</v>
      </c>
      <c r="J2854" s="31" t="s">
        <v>10887</v>
      </c>
      <c r="K2854" s="31" t="s">
        <v>33</v>
      </c>
      <c r="L2854" s="31" t="s">
        <v>34</v>
      </c>
      <c r="M2854" s="31">
        <v>512</v>
      </c>
      <c r="N2854" s="31">
        <v>2021</v>
      </c>
      <c r="O2854" s="31">
        <v>390</v>
      </c>
      <c r="P2854" s="31"/>
      <c r="Q2854" s="31"/>
      <c r="R2854" s="33"/>
      <c r="S2854" s="34" t="str">
        <f>HYPERLINK("http://www.cnpol.ru/covers/19684.jpg","фото на сайте")</f>
        <v>фото на сайте</v>
      </c>
    </row>
    <row r="2855" spans="1:19" ht="50.1" customHeight="1">
      <c r="A2855" s="31"/>
      <c r="B2855" s="32" t="s">
        <v>10888</v>
      </c>
      <c r="C2855" s="31" t="s">
        <v>464</v>
      </c>
      <c r="D2855" s="31" t="s">
        <v>2152</v>
      </c>
      <c r="E2855" s="31" t="s">
        <v>10889</v>
      </c>
      <c r="F2855" s="31" t="s">
        <v>31</v>
      </c>
      <c r="G2855" s="31">
        <v>137</v>
      </c>
      <c r="H2855" s="31">
        <v>10</v>
      </c>
      <c r="I2855" s="31">
        <v>50</v>
      </c>
      <c r="J2855" s="31" t="s">
        <v>10890</v>
      </c>
      <c r="K2855" s="31" t="s">
        <v>468</v>
      </c>
      <c r="L2855" s="31" t="s">
        <v>56</v>
      </c>
      <c r="M2855" s="31">
        <v>18</v>
      </c>
      <c r="N2855" s="31">
        <v>2005</v>
      </c>
      <c r="O2855" s="31">
        <v>84</v>
      </c>
      <c r="P2855" s="31"/>
      <c r="Q2855" s="31"/>
      <c r="R2855" s="33"/>
      <c r="S2855" s="34" t="str">
        <f>HYPERLINK("http://www.cnpol.ru/covers/6054.jpg","фото на сайте")</f>
        <v>фото на сайте</v>
      </c>
    </row>
    <row r="2856" spans="1:19" ht="50.1" customHeight="1">
      <c r="A2856" s="31"/>
      <c r="B2856" s="32" t="s">
        <v>10891</v>
      </c>
      <c r="C2856" s="31" t="s">
        <v>6139</v>
      </c>
      <c r="D2856" s="31" t="s">
        <v>10892</v>
      </c>
      <c r="E2856" s="31" t="s">
        <v>10893</v>
      </c>
      <c r="F2856" s="31" t="s">
        <v>31</v>
      </c>
      <c r="G2856" s="31">
        <v>88</v>
      </c>
      <c r="H2856" s="31">
        <v>10</v>
      </c>
      <c r="I2856" s="31">
        <v>48</v>
      </c>
      <c r="J2856" s="31" t="s">
        <v>10894</v>
      </c>
      <c r="K2856" s="31" t="s">
        <v>123</v>
      </c>
      <c r="L2856" s="31" t="s">
        <v>56</v>
      </c>
      <c r="M2856" s="31">
        <v>159</v>
      </c>
      <c r="N2856" s="31">
        <v>2010</v>
      </c>
      <c r="O2856" s="31">
        <v>76</v>
      </c>
      <c r="P2856" s="31"/>
      <c r="Q2856" s="31"/>
      <c r="R2856" s="33"/>
      <c r="S2856" s="34" t="str">
        <f>HYPERLINK("http://www.cnpol.ru/covers/11758.jpg","фото на сайте")</f>
        <v>фото на сайте</v>
      </c>
    </row>
    <row r="2857" spans="1:19" ht="50.1" customHeight="1">
      <c r="A2857" s="31"/>
      <c r="B2857" s="32" t="s">
        <v>10895</v>
      </c>
      <c r="C2857" s="31" t="s">
        <v>37</v>
      </c>
      <c r="D2857" s="31" t="s">
        <v>10896</v>
      </c>
      <c r="E2857" s="31" t="s">
        <v>10897</v>
      </c>
      <c r="F2857" s="31" t="s">
        <v>31</v>
      </c>
      <c r="G2857" s="31">
        <v>268</v>
      </c>
      <c r="H2857" s="31">
        <v>10</v>
      </c>
      <c r="I2857" s="31">
        <v>20</v>
      </c>
      <c r="J2857" s="31" t="s">
        <v>10898</v>
      </c>
      <c r="K2857" s="31" t="s">
        <v>130</v>
      </c>
      <c r="L2857" s="31" t="s">
        <v>56</v>
      </c>
      <c r="M2857" s="31">
        <v>286</v>
      </c>
      <c r="N2857" s="31">
        <v>2014</v>
      </c>
      <c r="O2857" s="31">
        <v>214</v>
      </c>
      <c r="P2857" s="31"/>
      <c r="Q2857" s="31"/>
      <c r="R2857" s="33"/>
      <c r="S2857" s="34" t="str">
        <f>HYPERLINK("http://www.cnpol.ru/covers/15058.jpg","фото на сайте")</f>
        <v>фото на сайте</v>
      </c>
    </row>
    <row r="2858" spans="1:19" ht="50.1" customHeight="1">
      <c r="A2858" s="31" t="s">
        <v>43</v>
      </c>
      <c r="B2858" s="32" t="s">
        <v>10899</v>
      </c>
      <c r="C2858" s="31" t="s">
        <v>390</v>
      </c>
      <c r="D2858" s="31" t="s">
        <v>1754</v>
      </c>
      <c r="E2858" s="31" t="s">
        <v>10900</v>
      </c>
      <c r="F2858" s="31">
        <v>1180</v>
      </c>
      <c r="G2858" s="31">
        <v>86</v>
      </c>
      <c r="H2858" s="31">
        <v>10</v>
      </c>
      <c r="I2858" s="31">
        <v>30</v>
      </c>
      <c r="J2858" s="31" t="s">
        <v>10901</v>
      </c>
      <c r="K2858" s="31" t="s">
        <v>123</v>
      </c>
      <c r="L2858" s="31" t="s">
        <v>56</v>
      </c>
      <c r="M2858" s="31">
        <v>159</v>
      </c>
      <c r="N2858" s="31">
        <v>2024</v>
      </c>
      <c r="O2858" s="31">
        <v>76</v>
      </c>
      <c r="P2858" s="31"/>
      <c r="Q2858" s="31"/>
      <c r="R2858" s="33" t="s">
        <v>10902</v>
      </c>
      <c r="S2858" s="34" t="str">
        <f>HYPERLINK("http://www.cnpol.ru/covers/21247.jpg","фото на сайте")</f>
        <v>фото на сайте</v>
      </c>
    </row>
    <row r="2859" spans="1:19" ht="50.1" customHeight="1">
      <c r="A2859" s="31"/>
      <c r="B2859" s="32" t="s">
        <v>10903</v>
      </c>
      <c r="C2859" s="31" t="s">
        <v>390</v>
      </c>
      <c r="D2859" s="31" t="s">
        <v>1758</v>
      </c>
      <c r="E2859" s="31" t="s">
        <v>10904</v>
      </c>
      <c r="F2859" s="31">
        <v>650</v>
      </c>
      <c r="G2859" s="31">
        <v>86</v>
      </c>
      <c r="H2859" s="31">
        <v>10</v>
      </c>
      <c r="I2859" s="31">
        <v>30</v>
      </c>
      <c r="J2859" s="31" t="s">
        <v>10905</v>
      </c>
      <c r="K2859" s="31" t="s">
        <v>123</v>
      </c>
      <c r="L2859" s="31" t="s">
        <v>56</v>
      </c>
      <c r="M2859" s="31">
        <v>160</v>
      </c>
      <c r="N2859" s="31">
        <v>2016</v>
      </c>
      <c r="O2859" s="31">
        <v>76</v>
      </c>
      <c r="P2859" s="31"/>
      <c r="Q2859" s="31"/>
      <c r="R2859" s="33"/>
      <c r="S2859" s="34" t="str">
        <f>HYPERLINK("http://www.cnpol.ru/covers/16996.jpg","фото на сайте")</f>
        <v>фото на сайте</v>
      </c>
    </row>
    <row r="2860" spans="1:19" ht="50.1" customHeight="1">
      <c r="A2860" s="31"/>
      <c r="B2860" s="32" t="s">
        <v>10906</v>
      </c>
      <c r="C2860" s="31" t="s">
        <v>385</v>
      </c>
      <c r="D2860" s="31" t="s">
        <v>386</v>
      </c>
      <c r="E2860" s="31" t="s">
        <v>10907</v>
      </c>
      <c r="F2860" s="31" t="s">
        <v>31</v>
      </c>
      <c r="G2860" s="31">
        <v>162</v>
      </c>
      <c r="H2860" s="31">
        <v>10</v>
      </c>
      <c r="I2860" s="31">
        <v>32</v>
      </c>
      <c r="J2860" s="31" t="s">
        <v>10908</v>
      </c>
      <c r="K2860" s="31" t="s">
        <v>55</v>
      </c>
      <c r="L2860" s="31" t="s">
        <v>56</v>
      </c>
      <c r="M2860" s="31">
        <v>288</v>
      </c>
      <c r="N2860" s="31">
        <v>2015</v>
      </c>
      <c r="O2860" s="31">
        <v>116</v>
      </c>
      <c r="P2860" s="31"/>
      <c r="Q2860" s="31"/>
      <c r="R2860" s="33"/>
      <c r="S2860" s="34" t="str">
        <f>HYPERLINK("http://www.cnpol.ru/covers/15912.jpg","фото на сайте")</f>
        <v>фото на сайте</v>
      </c>
    </row>
    <row r="2861" spans="1:19" ht="50.1" customHeight="1">
      <c r="A2861" s="31"/>
      <c r="B2861" s="32" t="s">
        <v>10909</v>
      </c>
      <c r="C2861" s="31" t="s">
        <v>385</v>
      </c>
      <c r="D2861" s="31" t="s">
        <v>386</v>
      </c>
      <c r="E2861" s="31" t="s">
        <v>10907</v>
      </c>
      <c r="F2861" s="31" t="s">
        <v>31</v>
      </c>
      <c r="G2861" s="31">
        <v>162</v>
      </c>
      <c r="H2861" s="31">
        <v>10</v>
      </c>
      <c r="I2861" s="31">
        <v>32</v>
      </c>
      <c r="J2861" s="31" t="s">
        <v>10910</v>
      </c>
      <c r="K2861" s="31" t="s">
        <v>55</v>
      </c>
      <c r="L2861" s="31" t="s">
        <v>56</v>
      </c>
      <c r="M2861" s="31">
        <v>288</v>
      </c>
      <c r="N2861" s="31">
        <v>2016</v>
      </c>
      <c r="O2861" s="31">
        <v>116</v>
      </c>
      <c r="P2861" s="31"/>
      <c r="Q2861" s="31"/>
      <c r="R2861" s="33"/>
      <c r="S2861" s="34" t="str">
        <f>HYPERLINK("http://www.cnpol.ru/covers/0137.jpg","фото на сайте")</f>
        <v>фото на сайте</v>
      </c>
    </row>
    <row r="2862" spans="1:19" ht="50.1" customHeight="1">
      <c r="A2862" s="31"/>
      <c r="B2862" s="32" t="s">
        <v>10911</v>
      </c>
      <c r="C2862" s="31" t="s">
        <v>10678</v>
      </c>
      <c r="D2862" s="31" t="s">
        <v>577</v>
      </c>
      <c r="E2862" s="31" t="s">
        <v>10912</v>
      </c>
      <c r="F2862" s="31" t="s">
        <v>31</v>
      </c>
      <c r="G2862" s="31">
        <v>407</v>
      </c>
      <c r="H2862" s="31">
        <v>10</v>
      </c>
      <c r="I2862" s="31">
        <v>16</v>
      </c>
      <c r="J2862" s="31" t="s">
        <v>10913</v>
      </c>
      <c r="K2862" s="31" t="s">
        <v>158</v>
      </c>
      <c r="L2862" s="31" t="s">
        <v>34</v>
      </c>
      <c r="M2862" s="31">
        <v>251</v>
      </c>
      <c r="N2862" s="31">
        <v>2014</v>
      </c>
      <c r="O2862" s="31">
        <v>198</v>
      </c>
      <c r="P2862" s="31"/>
      <c r="Q2862" s="31"/>
      <c r="R2862" s="33"/>
      <c r="S2862" s="34" t="str">
        <f>HYPERLINK("http://www.cnpol.ru/covers/15135.jpg","фото на сайте")</f>
        <v>фото на сайте</v>
      </c>
    </row>
    <row r="2863" spans="1:19" ht="50.1" customHeight="1">
      <c r="A2863" s="31"/>
      <c r="B2863" s="32" t="s">
        <v>10914</v>
      </c>
      <c r="C2863" s="31" t="s">
        <v>390</v>
      </c>
      <c r="D2863" s="31" t="s">
        <v>7469</v>
      </c>
      <c r="E2863" s="31" t="s">
        <v>10915</v>
      </c>
      <c r="F2863" s="31">
        <v>468</v>
      </c>
      <c r="G2863" s="31">
        <v>86</v>
      </c>
      <c r="H2863" s="31">
        <v>10</v>
      </c>
      <c r="I2863" s="31">
        <v>30</v>
      </c>
      <c r="J2863" s="31" t="s">
        <v>10916</v>
      </c>
      <c r="K2863" s="31" t="s">
        <v>123</v>
      </c>
      <c r="L2863" s="31" t="s">
        <v>56</v>
      </c>
      <c r="M2863" s="31">
        <v>158</v>
      </c>
      <c r="N2863" s="31">
        <v>2014</v>
      </c>
      <c r="O2863" s="31">
        <v>76</v>
      </c>
      <c r="P2863" s="31"/>
      <c r="Q2863" s="31"/>
      <c r="R2863" s="33"/>
      <c r="S2863" s="34" t="str">
        <f>HYPERLINK("http://www.cnpol.ru/covers/15617.jpg","фото на сайте")</f>
        <v>фото на сайте</v>
      </c>
    </row>
    <row r="2864" spans="1:19" ht="50.1" customHeight="1">
      <c r="A2864" s="31"/>
      <c r="B2864" s="32" t="s">
        <v>10917</v>
      </c>
      <c r="C2864" s="31" t="s">
        <v>1247</v>
      </c>
      <c r="D2864" s="31" t="s">
        <v>1248</v>
      </c>
      <c r="E2864" s="31" t="s">
        <v>10918</v>
      </c>
      <c r="F2864" s="31" t="s">
        <v>31</v>
      </c>
      <c r="G2864" s="31">
        <v>96</v>
      </c>
      <c r="H2864" s="31">
        <v>10</v>
      </c>
      <c r="I2864" s="31">
        <v>48</v>
      </c>
      <c r="J2864" s="31" t="s">
        <v>10919</v>
      </c>
      <c r="K2864" s="31" t="s">
        <v>123</v>
      </c>
      <c r="L2864" s="31" t="s">
        <v>56</v>
      </c>
      <c r="M2864" s="31">
        <v>126</v>
      </c>
      <c r="N2864" s="31">
        <v>2012</v>
      </c>
      <c r="O2864" s="31">
        <v>60</v>
      </c>
      <c r="P2864" s="31"/>
      <c r="Q2864" s="31"/>
      <c r="R2864" s="33"/>
      <c r="S2864" s="34" t="str">
        <f>HYPERLINK("http://www.cnpol.ru/covers/13371.jpg","фото на сайте")</f>
        <v>фото на сайте</v>
      </c>
    </row>
    <row r="2865" spans="1:19" ht="50.1" customHeight="1">
      <c r="A2865" s="31"/>
      <c r="B2865" s="32" t="s">
        <v>10920</v>
      </c>
      <c r="C2865" s="31" t="s">
        <v>939</v>
      </c>
      <c r="D2865" s="31" t="s">
        <v>940</v>
      </c>
      <c r="E2865" s="31" t="s">
        <v>10921</v>
      </c>
      <c r="F2865" s="31" t="s">
        <v>31</v>
      </c>
      <c r="G2865" s="31">
        <v>105</v>
      </c>
      <c r="H2865" s="31">
        <v>10</v>
      </c>
      <c r="I2865" s="31">
        <v>24</v>
      </c>
      <c r="J2865" s="31" t="s">
        <v>10922</v>
      </c>
      <c r="K2865" s="31" t="s">
        <v>130</v>
      </c>
      <c r="L2865" s="31" t="s">
        <v>56</v>
      </c>
      <c r="M2865" s="31">
        <v>251</v>
      </c>
      <c r="N2865" s="31">
        <v>2004</v>
      </c>
      <c r="O2865" s="31">
        <v>166</v>
      </c>
      <c r="P2865" s="31"/>
      <c r="Q2865" s="31"/>
      <c r="R2865" s="33"/>
      <c r="S2865" s="34" t="str">
        <f>HYPERLINK("http://www.cnpol.ru/covers/4652.jpg","фото на сайте")</f>
        <v>фото на сайте</v>
      </c>
    </row>
    <row r="2866" spans="1:19" ht="50.1" customHeight="1">
      <c r="A2866" s="31"/>
      <c r="B2866" s="32" t="s">
        <v>10923</v>
      </c>
      <c r="C2866" s="31" t="s">
        <v>1516</v>
      </c>
      <c r="D2866" s="31" t="s">
        <v>1758</v>
      </c>
      <c r="E2866" s="31" t="s">
        <v>10924</v>
      </c>
      <c r="F2866" s="31">
        <v>35</v>
      </c>
      <c r="G2866" s="31">
        <v>106</v>
      </c>
      <c r="H2866" s="31">
        <v>10</v>
      </c>
      <c r="I2866" s="31">
        <v>36</v>
      </c>
      <c r="J2866" s="31" t="s">
        <v>10925</v>
      </c>
      <c r="K2866" s="31" t="s">
        <v>123</v>
      </c>
      <c r="L2866" s="31" t="s">
        <v>56</v>
      </c>
      <c r="M2866" s="31">
        <v>160</v>
      </c>
      <c r="N2866" s="31">
        <v>2021</v>
      </c>
      <c r="O2866" s="31">
        <v>76</v>
      </c>
      <c r="P2866" s="31"/>
      <c r="Q2866" s="31"/>
      <c r="R2866" s="33"/>
      <c r="S2866" s="34" t="str">
        <f>HYPERLINK("http://www.cnpol.ru/covers/19663.jpg","фото на сайте")</f>
        <v>фото на сайте</v>
      </c>
    </row>
    <row r="2867" spans="1:19" ht="50.1" customHeight="1">
      <c r="A2867" s="31"/>
      <c r="B2867" s="32" t="s">
        <v>10926</v>
      </c>
      <c r="C2867" s="31" t="s">
        <v>546</v>
      </c>
      <c r="D2867" s="31" t="s">
        <v>1435</v>
      </c>
      <c r="E2867" s="31" t="s">
        <v>10927</v>
      </c>
      <c r="F2867" s="31">
        <v>274</v>
      </c>
      <c r="G2867" s="31">
        <v>93</v>
      </c>
      <c r="H2867" s="31">
        <v>10</v>
      </c>
      <c r="I2867" s="31">
        <v>30</v>
      </c>
      <c r="J2867" s="31" t="s">
        <v>10928</v>
      </c>
      <c r="K2867" s="31" t="s">
        <v>123</v>
      </c>
      <c r="L2867" s="31" t="s">
        <v>56</v>
      </c>
      <c r="M2867" s="31">
        <v>160</v>
      </c>
      <c r="N2867" s="31">
        <v>2018</v>
      </c>
      <c r="O2867" s="31">
        <v>76</v>
      </c>
      <c r="P2867" s="31"/>
      <c r="Q2867" s="31"/>
      <c r="R2867" s="33"/>
      <c r="S2867" s="34" t="str">
        <f>HYPERLINK("http://www.cnpol.ru/covers/18256.jpg","фото на сайте")</f>
        <v>фото на сайте</v>
      </c>
    </row>
    <row r="2868" spans="1:19" ht="50.1" customHeight="1">
      <c r="A2868" s="31"/>
      <c r="B2868" s="32" t="s">
        <v>10929</v>
      </c>
      <c r="C2868" s="31" t="s">
        <v>3422</v>
      </c>
      <c r="D2868" s="31" t="s">
        <v>4849</v>
      </c>
      <c r="E2868" s="31" t="s">
        <v>10930</v>
      </c>
      <c r="F2868" s="31" t="s">
        <v>31</v>
      </c>
      <c r="G2868" s="31">
        <v>154</v>
      </c>
      <c r="H2868" s="31">
        <v>10</v>
      </c>
      <c r="I2868" s="31">
        <v>24</v>
      </c>
      <c r="J2868" s="31" t="s">
        <v>10931</v>
      </c>
      <c r="K2868" s="31" t="s">
        <v>55</v>
      </c>
      <c r="L2868" s="31" t="s">
        <v>56</v>
      </c>
      <c r="M2868" s="31">
        <v>351</v>
      </c>
      <c r="N2868" s="31">
        <v>2008</v>
      </c>
      <c r="O2868" s="31">
        <v>144</v>
      </c>
      <c r="P2868" s="31"/>
      <c r="Q2868" s="31"/>
      <c r="R2868" s="33"/>
      <c r="S2868" s="34" t="str">
        <f>HYPERLINK("http://www.cnpol.ru/covers/10839.jpg","фото на сайте")</f>
        <v>фото на сайте</v>
      </c>
    </row>
    <row r="2869" spans="1:19" ht="50.1" customHeight="1">
      <c r="A2869" s="31"/>
      <c r="B2869" s="32" t="s">
        <v>10932</v>
      </c>
      <c r="C2869" s="31" t="s">
        <v>1940</v>
      </c>
      <c r="D2869" s="31" t="s">
        <v>949</v>
      </c>
      <c r="E2869" s="31" t="s">
        <v>10933</v>
      </c>
      <c r="F2869" s="31" t="s">
        <v>31</v>
      </c>
      <c r="G2869" s="31">
        <v>154</v>
      </c>
      <c r="H2869" s="31">
        <v>10</v>
      </c>
      <c r="I2869" s="31">
        <v>28</v>
      </c>
      <c r="J2869" s="31" t="s">
        <v>10934</v>
      </c>
      <c r="K2869" s="31" t="s">
        <v>55</v>
      </c>
      <c r="L2869" s="31" t="s">
        <v>56</v>
      </c>
      <c r="M2869" s="31">
        <v>258</v>
      </c>
      <c r="N2869" s="31">
        <v>2008</v>
      </c>
      <c r="O2869" s="31">
        <v>124</v>
      </c>
      <c r="P2869" s="31"/>
      <c r="Q2869" s="31"/>
      <c r="R2869" s="33"/>
      <c r="S2869" s="34" t="str">
        <f>HYPERLINK("http://www.cnpol.ru/covers/7942.jpg","фото на сайте")</f>
        <v>фото на сайте</v>
      </c>
    </row>
    <row r="2870" spans="1:19" ht="50.1" customHeight="1">
      <c r="A2870" s="31"/>
      <c r="B2870" s="32" t="s">
        <v>10935</v>
      </c>
      <c r="C2870" s="31" t="s">
        <v>390</v>
      </c>
      <c r="D2870" s="31" t="s">
        <v>1801</v>
      </c>
      <c r="E2870" s="31" t="s">
        <v>10936</v>
      </c>
      <c r="F2870" s="31">
        <v>760</v>
      </c>
      <c r="G2870" s="31">
        <v>86</v>
      </c>
      <c r="H2870" s="31">
        <v>10</v>
      </c>
      <c r="I2870" s="31">
        <v>30</v>
      </c>
      <c r="J2870" s="31" t="s">
        <v>10937</v>
      </c>
      <c r="K2870" s="31" t="s">
        <v>123</v>
      </c>
      <c r="L2870" s="31" t="s">
        <v>56</v>
      </c>
      <c r="M2870" s="31">
        <v>160</v>
      </c>
      <c r="N2870" s="31">
        <v>2017</v>
      </c>
      <c r="O2870" s="31">
        <v>76</v>
      </c>
      <c r="P2870" s="31"/>
      <c r="Q2870" s="31"/>
      <c r="R2870" s="33"/>
      <c r="S2870" s="34" t="str">
        <f>HYPERLINK("http://www.cnpol.ru/covers/17738.jpg","фото на сайте")</f>
        <v>фото на сайте</v>
      </c>
    </row>
    <row r="2871" spans="1:19" ht="50.1" customHeight="1">
      <c r="A2871" s="31"/>
      <c r="B2871" s="32" t="s">
        <v>10938</v>
      </c>
      <c r="C2871" s="31" t="s">
        <v>45</v>
      </c>
      <c r="D2871" s="31" t="s">
        <v>10939</v>
      </c>
      <c r="E2871" s="31" t="s">
        <v>10940</v>
      </c>
      <c r="F2871" s="31" t="s">
        <v>31</v>
      </c>
      <c r="G2871" s="31">
        <v>907</v>
      </c>
      <c r="H2871" s="31">
        <v>10</v>
      </c>
      <c r="I2871" s="31">
        <v>10</v>
      </c>
      <c r="J2871" s="31" t="s">
        <v>10941</v>
      </c>
      <c r="K2871" s="31" t="s">
        <v>33</v>
      </c>
      <c r="L2871" s="31" t="s">
        <v>34</v>
      </c>
      <c r="M2871" s="31">
        <v>480</v>
      </c>
      <c r="N2871" s="31">
        <v>2016</v>
      </c>
      <c r="O2871" s="31">
        <v>484</v>
      </c>
      <c r="P2871" s="31"/>
      <c r="Q2871" s="31"/>
      <c r="R2871" s="33"/>
      <c r="S2871" s="34" t="str">
        <f>HYPERLINK("http://www.cnpol.ru/covers/17198.jpg","фото на сайте")</f>
        <v>фото на сайте</v>
      </c>
    </row>
    <row r="2872" spans="1:19" ht="50.1" customHeight="1">
      <c r="A2872" s="31"/>
      <c r="B2872" s="32" t="s">
        <v>10942</v>
      </c>
      <c r="C2872" s="31" t="s">
        <v>5419</v>
      </c>
      <c r="D2872" s="31" t="s">
        <v>5420</v>
      </c>
      <c r="E2872" s="31" t="s">
        <v>10943</v>
      </c>
      <c r="F2872" s="31" t="s">
        <v>31</v>
      </c>
      <c r="G2872" s="31">
        <v>290</v>
      </c>
      <c r="H2872" s="31">
        <v>10</v>
      </c>
      <c r="I2872" s="31">
        <v>12</v>
      </c>
      <c r="J2872" s="31" t="s">
        <v>10944</v>
      </c>
      <c r="K2872" s="31" t="s">
        <v>130</v>
      </c>
      <c r="L2872" s="31" t="s">
        <v>56</v>
      </c>
      <c r="M2872" s="31">
        <v>352</v>
      </c>
      <c r="N2872" s="31">
        <v>2018</v>
      </c>
      <c r="O2872" s="31">
        <v>214</v>
      </c>
      <c r="P2872" s="31"/>
      <c r="Q2872" s="31"/>
      <c r="R2872" s="33"/>
      <c r="S2872" s="34" t="str">
        <f>HYPERLINK("http://www.cnpol.ru/covers/18104.jpg","фото на сайте")</f>
        <v>фото на сайте</v>
      </c>
    </row>
    <row r="2873" spans="1:19" ht="50.1" customHeight="1">
      <c r="A2873" s="31"/>
      <c r="B2873" s="32" t="s">
        <v>10945</v>
      </c>
      <c r="C2873" s="31" t="s">
        <v>28</v>
      </c>
      <c r="D2873" s="31" t="s">
        <v>202</v>
      </c>
      <c r="E2873" s="31" t="s">
        <v>10946</v>
      </c>
      <c r="F2873" s="31" t="s">
        <v>31</v>
      </c>
      <c r="G2873" s="31">
        <v>710</v>
      </c>
      <c r="H2873" s="31">
        <v>10</v>
      </c>
      <c r="I2873" s="31">
        <v>12</v>
      </c>
      <c r="J2873" s="31" t="s">
        <v>10947</v>
      </c>
      <c r="K2873" s="31" t="s">
        <v>33</v>
      </c>
      <c r="L2873" s="31" t="s">
        <v>34</v>
      </c>
      <c r="M2873" s="31">
        <v>320</v>
      </c>
      <c r="N2873" s="31">
        <v>2017</v>
      </c>
      <c r="O2873" s="31">
        <v>353</v>
      </c>
      <c r="P2873" s="31"/>
      <c r="Q2873" s="31"/>
      <c r="R2873" s="33"/>
      <c r="S2873" s="34" t="str">
        <f>HYPERLINK("http://www.cnpol.ru/covers/17734.jpg","фото на сайте")</f>
        <v>фото на сайте</v>
      </c>
    </row>
    <row r="2874" spans="1:19" ht="50.1" customHeight="1">
      <c r="A2874" s="31"/>
      <c r="B2874" s="32" t="s">
        <v>10948</v>
      </c>
      <c r="C2874" s="31" t="s">
        <v>1252</v>
      </c>
      <c r="D2874" s="31" t="s">
        <v>1253</v>
      </c>
      <c r="E2874" s="31" t="s">
        <v>10949</v>
      </c>
      <c r="F2874" s="31" t="s">
        <v>31</v>
      </c>
      <c r="G2874" s="31">
        <v>81</v>
      </c>
      <c r="H2874" s="31">
        <v>10</v>
      </c>
      <c r="I2874" s="31">
        <v>100</v>
      </c>
      <c r="J2874" s="31" t="s">
        <v>10950</v>
      </c>
      <c r="K2874" s="31" t="s">
        <v>123</v>
      </c>
      <c r="L2874" s="31" t="s">
        <v>56</v>
      </c>
      <c r="M2874" s="31">
        <v>63</v>
      </c>
      <c r="N2874" s="31">
        <v>2004</v>
      </c>
      <c r="O2874" s="31">
        <v>32</v>
      </c>
      <c r="P2874" s="31"/>
      <c r="Q2874" s="31"/>
      <c r="R2874" s="33"/>
      <c r="S2874" s="34" t="str">
        <f>HYPERLINK("http://www.cnpol.ru/covers/4814.jpg","фото на сайте")</f>
        <v>фото на сайте</v>
      </c>
    </row>
    <row r="2875" spans="1:19" ht="50.1" customHeight="1">
      <c r="A2875" s="31"/>
      <c r="B2875" s="32" t="s">
        <v>10951</v>
      </c>
      <c r="C2875" s="31" t="s">
        <v>663</v>
      </c>
      <c r="D2875" s="31" t="s">
        <v>913</v>
      </c>
      <c r="E2875" s="31" t="s">
        <v>10952</v>
      </c>
      <c r="F2875" s="31" t="s">
        <v>31</v>
      </c>
      <c r="G2875" s="35">
        <v>1076</v>
      </c>
      <c r="H2875" s="31">
        <v>10</v>
      </c>
      <c r="I2875" s="31">
        <v>8</v>
      </c>
      <c r="J2875" s="31" t="s">
        <v>10953</v>
      </c>
      <c r="K2875" s="31" t="s">
        <v>33</v>
      </c>
      <c r="L2875" s="31" t="s">
        <v>34</v>
      </c>
      <c r="M2875" s="31">
        <v>414</v>
      </c>
      <c r="N2875" s="31">
        <v>2023</v>
      </c>
      <c r="O2875" s="31">
        <v>470</v>
      </c>
      <c r="P2875" s="31"/>
      <c r="Q2875" s="31"/>
      <c r="R2875" s="33" t="s">
        <v>10954</v>
      </c>
      <c r="S2875" s="34" t="str">
        <f>HYPERLINK("http://www.cnpol.ru/covers/20487.jpg","фото на сайте")</f>
        <v>фото на сайте</v>
      </c>
    </row>
    <row r="2876" spans="1:19" ht="50.1" customHeight="1">
      <c r="A2876" s="31"/>
      <c r="B2876" s="32" t="s">
        <v>10955</v>
      </c>
      <c r="C2876" s="31" t="s">
        <v>400</v>
      </c>
      <c r="D2876" s="31" t="s">
        <v>10956</v>
      </c>
      <c r="E2876" s="31" t="s">
        <v>10957</v>
      </c>
      <c r="F2876" s="31" t="s">
        <v>31</v>
      </c>
      <c r="G2876" s="31">
        <v>503</v>
      </c>
      <c r="H2876" s="31">
        <v>10</v>
      </c>
      <c r="I2876" s="31">
        <v>14</v>
      </c>
      <c r="J2876" s="31" t="s">
        <v>10958</v>
      </c>
      <c r="K2876" s="31" t="s">
        <v>33</v>
      </c>
      <c r="L2876" s="31" t="s">
        <v>34</v>
      </c>
      <c r="M2876" s="31">
        <v>288</v>
      </c>
      <c r="N2876" s="31">
        <v>2018</v>
      </c>
      <c r="O2876" s="31">
        <v>254</v>
      </c>
      <c r="P2876" s="31"/>
      <c r="Q2876" s="31"/>
      <c r="R2876" s="33"/>
      <c r="S2876" s="34" t="str">
        <f>HYPERLINK("http://www.cnpol.ru/covers/18175.jpg","фото на сайте")</f>
        <v>фото на сайте</v>
      </c>
    </row>
    <row r="2877" spans="1:19" ht="50.1" customHeight="1">
      <c r="A2877" s="31"/>
      <c r="B2877" s="32" t="s">
        <v>10959</v>
      </c>
      <c r="C2877" s="31" t="s">
        <v>390</v>
      </c>
      <c r="D2877" s="31" t="s">
        <v>2674</v>
      </c>
      <c r="E2877" s="31" t="s">
        <v>10960</v>
      </c>
      <c r="F2877" s="31">
        <v>804</v>
      </c>
      <c r="G2877" s="31">
        <v>86</v>
      </c>
      <c r="H2877" s="31">
        <v>10</v>
      </c>
      <c r="I2877" s="31">
        <v>30</v>
      </c>
      <c r="J2877" s="31" t="s">
        <v>10961</v>
      </c>
      <c r="K2877" s="31" t="s">
        <v>123</v>
      </c>
      <c r="L2877" s="31" t="s">
        <v>56</v>
      </c>
      <c r="M2877" s="31">
        <v>160</v>
      </c>
      <c r="N2877" s="31">
        <v>2018</v>
      </c>
      <c r="O2877" s="31">
        <v>76</v>
      </c>
      <c r="P2877" s="31"/>
      <c r="Q2877" s="31"/>
      <c r="R2877" s="33"/>
      <c r="S2877" s="34" t="str">
        <f>HYPERLINK("http://www.cnpol.ru/covers/18098.jpg","фото на сайте")</f>
        <v>фото на сайте</v>
      </c>
    </row>
    <row r="2878" spans="1:19" ht="50.1" customHeight="1">
      <c r="A2878" s="31"/>
      <c r="B2878" s="32" t="s">
        <v>10962</v>
      </c>
      <c r="C2878" s="31" t="s">
        <v>479</v>
      </c>
      <c r="D2878" s="31" t="s">
        <v>10963</v>
      </c>
      <c r="E2878" s="31" t="s">
        <v>10964</v>
      </c>
      <c r="F2878" s="31" t="s">
        <v>31</v>
      </c>
      <c r="G2878" s="31">
        <v>746</v>
      </c>
      <c r="H2878" s="31">
        <v>10</v>
      </c>
      <c r="I2878" s="31">
        <v>14</v>
      </c>
      <c r="J2878" s="31" t="s">
        <v>10965</v>
      </c>
      <c r="K2878" s="31" t="s">
        <v>158</v>
      </c>
      <c r="L2878" s="31" t="s">
        <v>34</v>
      </c>
      <c r="M2878" s="31">
        <v>224</v>
      </c>
      <c r="N2878" s="31">
        <v>2017</v>
      </c>
      <c r="O2878" s="31">
        <v>272</v>
      </c>
      <c r="P2878" s="31"/>
      <c r="Q2878" s="31"/>
      <c r="R2878" s="33"/>
      <c r="S2878" s="34" t="str">
        <f>HYPERLINK("http://www.cnpol.ru/covers/17637.jpg","фото на сайте")</f>
        <v>фото на сайте</v>
      </c>
    </row>
    <row r="2879" spans="1:19" ht="50.1" customHeight="1">
      <c r="A2879" s="31"/>
      <c r="B2879" s="32" t="s">
        <v>10966</v>
      </c>
      <c r="C2879" s="31" t="s">
        <v>5756</v>
      </c>
      <c r="D2879" s="31" t="s">
        <v>5757</v>
      </c>
      <c r="E2879" s="31" t="s">
        <v>10967</v>
      </c>
      <c r="F2879" s="31" t="s">
        <v>31</v>
      </c>
      <c r="G2879" s="31">
        <v>275</v>
      </c>
      <c r="H2879" s="31">
        <v>10</v>
      </c>
      <c r="I2879" s="31">
        <v>12</v>
      </c>
      <c r="J2879" s="31" t="s">
        <v>10968</v>
      </c>
      <c r="K2879" s="31" t="s">
        <v>123</v>
      </c>
      <c r="L2879" s="31" t="s">
        <v>56</v>
      </c>
      <c r="M2879" s="31">
        <v>448</v>
      </c>
      <c r="N2879" s="31">
        <v>2019</v>
      </c>
      <c r="O2879" s="31">
        <v>206</v>
      </c>
      <c r="P2879" s="31"/>
      <c r="Q2879" s="31"/>
      <c r="R2879" s="33"/>
      <c r="S2879" s="34" t="str">
        <f>HYPERLINK("http://www.cnpol.ru/covers/18916.jpg","фото на сайте")</f>
        <v>фото на сайте</v>
      </c>
    </row>
    <row r="2880" spans="1:19" ht="50.1" customHeight="1">
      <c r="A2880" s="31"/>
      <c r="B2880" s="32" t="s">
        <v>10969</v>
      </c>
      <c r="C2880" s="31" t="s">
        <v>546</v>
      </c>
      <c r="D2880" s="31" t="s">
        <v>814</v>
      </c>
      <c r="E2880" s="31" t="s">
        <v>10970</v>
      </c>
      <c r="F2880" s="31">
        <v>292</v>
      </c>
      <c r="G2880" s="31">
        <v>93</v>
      </c>
      <c r="H2880" s="31">
        <v>10</v>
      </c>
      <c r="I2880" s="31">
        <v>30</v>
      </c>
      <c r="J2880" s="31" t="s">
        <v>10971</v>
      </c>
      <c r="K2880" s="31" t="s">
        <v>123</v>
      </c>
      <c r="L2880" s="31" t="s">
        <v>56</v>
      </c>
      <c r="M2880" s="31">
        <v>160</v>
      </c>
      <c r="N2880" s="31">
        <v>2019</v>
      </c>
      <c r="O2880" s="31">
        <v>76</v>
      </c>
      <c r="P2880" s="31"/>
      <c r="Q2880" s="31"/>
      <c r="R2880" s="33"/>
      <c r="S2880" s="34" t="str">
        <f>HYPERLINK("http://www.cnpol.ru/covers/18463.jpg","фото на сайте")</f>
        <v>фото на сайте</v>
      </c>
    </row>
    <row r="2881" spans="1:19" ht="50.1" customHeight="1">
      <c r="A2881" s="31"/>
      <c r="B2881" s="32" t="s">
        <v>10972</v>
      </c>
      <c r="C2881" s="31" t="s">
        <v>520</v>
      </c>
      <c r="D2881" s="31" t="s">
        <v>559</v>
      </c>
      <c r="E2881" s="31" t="s">
        <v>10973</v>
      </c>
      <c r="F2881" s="31">
        <v>86</v>
      </c>
      <c r="G2881" s="31">
        <v>117</v>
      </c>
      <c r="H2881" s="31">
        <v>10</v>
      </c>
      <c r="I2881" s="31">
        <v>20</v>
      </c>
      <c r="J2881" s="31" t="s">
        <v>10974</v>
      </c>
      <c r="K2881" s="31" t="s">
        <v>123</v>
      </c>
      <c r="L2881" s="31" t="s">
        <v>56</v>
      </c>
      <c r="M2881" s="31">
        <v>191</v>
      </c>
      <c r="N2881" s="31">
        <v>2021</v>
      </c>
      <c r="O2881" s="31">
        <v>90</v>
      </c>
      <c r="P2881" s="31"/>
      <c r="Q2881" s="31"/>
      <c r="R2881" s="33"/>
      <c r="S2881" s="34" t="str">
        <f>HYPERLINK("http://www.cnpol.ru/covers/19953.jpg","фото на сайте")</f>
        <v>фото на сайте</v>
      </c>
    </row>
    <row r="2882" spans="1:19" ht="50.1" customHeight="1">
      <c r="A2882" s="31"/>
      <c r="B2882" s="32" t="s">
        <v>10975</v>
      </c>
      <c r="C2882" s="31" t="s">
        <v>546</v>
      </c>
      <c r="D2882" s="31" t="s">
        <v>8716</v>
      </c>
      <c r="E2882" s="31" t="s">
        <v>10976</v>
      </c>
      <c r="F2882" s="31">
        <v>249</v>
      </c>
      <c r="G2882" s="31">
        <v>93</v>
      </c>
      <c r="H2882" s="31">
        <v>10</v>
      </c>
      <c r="I2882" s="31">
        <v>30</v>
      </c>
      <c r="J2882" s="31" t="s">
        <v>10977</v>
      </c>
      <c r="K2882" s="31" t="s">
        <v>123</v>
      </c>
      <c r="L2882" s="31" t="s">
        <v>56</v>
      </c>
      <c r="M2882" s="31">
        <v>160</v>
      </c>
      <c r="N2882" s="31">
        <v>2017</v>
      </c>
      <c r="O2882" s="31">
        <v>76</v>
      </c>
      <c r="P2882" s="31"/>
      <c r="Q2882" s="31"/>
      <c r="R2882" s="33"/>
      <c r="S2882" s="34" t="str">
        <f>HYPERLINK("http://www.cnpol.ru/covers/17863.jpg","фото на сайте")</f>
        <v>фото на сайте</v>
      </c>
    </row>
    <row r="2883" spans="1:19" ht="50.1" customHeight="1">
      <c r="A2883" s="31"/>
      <c r="B2883" s="32" t="s">
        <v>10978</v>
      </c>
      <c r="C2883" s="31" t="s">
        <v>413</v>
      </c>
      <c r="D2883" s="31" t="s">
        <v>10979</v>
      </c>
      <c r="E2883" s="31" t="s">
        <v>10980</v>
      </c>
      <c r="F2883" s="31">
        <v>100</v>
      </c>
      <c r="G2883" s="31">
        <v>117</v>
      </c>
      <c r="H2883" s="31">
        <v>10</v>
      </c>
      <c r="I2883" s="31">
        <v>36</v>
      </c>
      <c r="J2883" s="31" t="s">
        <v>10981</v>
      </c>
      <c r="K2883" s="31" t="s">
        <v>123</v>
      </c>
      <c r="L2883" s="31" t="s">
        <v>56</v>
      </c>
      <c r="M2883" s="31">
        <v>192</v>
      </c>
      <c r="N2883" s="31">
        <v>2016</v>
      </c>
      <c r="O2883" s="31">
        <v>90</v>
      </c>
      <c r="P2883" s="31"/>
      <c r="Q2883" s="31"/>
      <c r="R2883" s="33"/>
      <c r="S2883" s="34" t="str">
        <f>HYPERLINK("http://www.cnpol.ru/covers/16687.jpg","фото на сайте")</f>
        <v>фото на сайте</v>
      </c>
    </row>
    <row r="2884" spans="1:19" ht="50.1" customHeight="1">
      <c r="A2884" s="31"/>
      <c r="B2884" s="32" t="s">
        <v>10982</v>
      </c>
      <c r="C2884" s="31" t="s">
        <v>385</v>
      </c>
      <c r="D2884" s="31" t="s">
        <v>386</v>
      </c>
      <c r="E2884" s="31" t="s">
        <v>10983</v>
      </c>
      <c r="F2884" s="31" t="s">
        <v>31</v>
      </c>
      <c r="G2884" s="31">
        <v>162</v>
      </c>
      <c r="H2884" s="31">
        <v>10</v>
      </c>
      <c r="I2884" s="31">
        <v>32</v>
      </c>
      <c r="J2884" s="31" t="s">
        <v>10984</v>
      </c>
      <c r="K2884" s="31" t="s">
        <v>55</v>
      </c>
      <c r="L2884" s="31" t="s">
        <v>56</v>
      </c>
      <c r="M2884" s="31">
        <v>256</v>
      </c>
      <c r="N2884" s="31">
        <v>2016</v>
      </c>
      <c r="O2884" s="31">
        <v>110</v>
      </c>
      <c r="P2884" s="31"/>
      <c r="Q2884" s="31"/>
      <c r="R2884" s="33"/>
      <c r="S2884" s="34" t="str">
        <f>HYPERLINK("http://www.cnpol.ru/covers/0150.jpg","фото на сайте")</f>
        <v>фото на сайте</v>
      </c>
    </row>
    <row r="2885" spans="1:19" ht="50.1" customHeight="1">
      <c r="A2885" s="31"/>
      <c r="B2885" s="32" t="s">
        <v>10985</v>
      </c>
      <c r="C2885" s="31" t="s">
        <v>390</v>
      </c>
      <c r="D2885" s="31" t="s">
        <v>1801</v>
      </c>
      <c r="E2885" s="31" t="s">
        <v>10986</v>
      </c>
      <c r="F2885" s="31">
        <v>546</v>
      </c>
      <c r="G2885" s="31">
        <v>86</v>
      </c>
      <c r="H2885" s="31">
        <v>10</v>
      </c>
      <c r="I2885" s="31">
        <v>30</v>
      </c>
      <c r="J2885" s="31" t="s">
        <v>10987</v>
      </c>
      <c r="K2885" s="31" t="s">
        <v>123</v>
      </c>
      <c r="L2885" s="31" t="s">
        <v>56</v>
      </c>
      <c r="M2885" s="31">
        <v>158</v>
      </c>
      <c r="N2885" s="31">
        <v>2015</v>
      </c>
      <c r="O2885" s="31">
        <v>76</v>
      </c>
      <c r="P2885" s="31"/>
      <c r="Q2885" s="31"/>
      <c r="R2885" s="33"/>
      <c r="S2885" s="34" t="str">
        <f>HYPERLINK("http://www.cnpol.ru/covers/16213.jpg","фото на сайте")</f>
        <v>фото на сайте</v>
      </c>
    </row>
    <row r="2886" spans="1:19" ht="50.1" customHeight="1">
      <c r="A2886" s="31"/>
      <c r="B2886" s="32" t="s">
        <v>10988</v>
      </c>
      <c r="C2886" s="31" t="s">
        <v>546</v>
      </c>
      <c r="D2886" s="31" t="s">
        <v>1435</v>
      </c>
      <c r="E2886" s="31" t="s">
        <v>10989</v>
      </c>
      <c r="F2886" s="31">
        <v>404</v>
      </c>
      <c r="G2886" s="31">
        <v>93</v>
      </c>
      <c r="H2886" s="31">
        <v>10</v>
      </c>
      <c r="I2886" s="31">
        <v>30</v>
      </c>
      <c r="J2886" s="31" t="s">
        <v>10990</v>
      </c>
      <c r="K2886" s="31" t="s">
        <v>123</v>
      </c>
      <c r="L2886" s="31" t="s">
        <v>56</v>
      </c>
      <c r="M2886" s="31">
        <v>159</v>
      </c>
      <c r="N2886" s="31">
        <v>2022</v>
      </c>
      <c r="O2886" s="31">
        <v>76</v>
      </c>
      <c r="P2886" s="31"/>
      <c r="Q2886" s="31"/>
      <c r="R2886" s="33"/>
      <c r="S2886" s="34" t="str">
        <f>HYPERLINK("http://www.cnpol.ru/covers/20221.jpg","фото на сайте")</f>
        <v>фото на сайте</v>
      </c>
    </row>
    <row r="2887" spans="1:19" ht="50.1" customHeight="1">
      <c r="A2887" s="31"/>
      <c r="B2887" s="32" t="s">
        <v>10991</v>
      </c>
      <c r="C2887" s="31" t="s">
        <v>520</v>
      </c>
      <c r="D2887" s="31" t="s">
        <v>10992</v>
      </c>
      <c r="E2887" s="31" t="s">
        <v>10993</v>
      </c>
      <c r="F2887" s="31">
        <v>53</v>
      </c>
      <c r="G2887" s="31">
        <v>117</v>
      </c>
      <c r="H2887" s="31">
        <v>10</v>
      </c>
      <c r="I2887" s="31">
        <v>30</v>
      </c>
      <c r="J2887" s="31" t="s">
        <v>10994</v>
      </c>
      <c r="K2887" s="31" t="s">
        <v>123</v>
      </c>
      <c r="L2887" s="31" t="s">
        <v>56</v>
      </c>
      <c r="M2887" s="31">
        <v>192</v>
      </c>
      <c r="N2887" s="31">
        <v>2018</v>
      </c>
      <c r="O2887" s="31">
        <v>90</v>
      </c>
      <c r="P2887" s="31"/>
      <c r="Q2887" s="31"/>
      <c r="R2887" s="33"/>
      <c r="S2887" s="34" t="str">
        <f>HYPERLINK("http://www.cnpol.ru/covers/17917.jpg","фото на сайте")</f>
        <v>фото на сайте</v>
      </c>
    </row>
    <row r="2888" spans="1:19" ht="50.1" customHeight="1">
      <c r="A2888" s="31"/>
      <c r="B2888" s="32" t="s">
        <v>10995</v>
      </c>
      <c r="C2888" s="31" t="s">
        <v>1338</v>
      </c>
      <c r="D2888" s="31" t="s">
        <v>2090</v>
      </c>
      <c r="E2888" s="31" t="s">
        <v>10996</v>
      </c>
      <c r="F2888" s="31" t="s">
        <v>31</v>
      </c>
      <c r="G2888" s="31">
        <v>154</v>
      </c>
      <c r="H2888" s="31">
        <v>10</v>
      </c>
      <c r="I2888" s="31">
        <v>16</v>
      </c>
      <c r="J2888" s="31" t="s">
        <v>10997</v>
      </c>
      <c r="K2888" s="31" t="s">
        <v>55</v>
      </c>
      <c r="L2888" s="31" t="s">
        <v>56</v>
      </c>
      <c r="M2888" s="31">
        <v>442</v>
      </c>
      <c r="N2888" s="31">
        <v>2008</v>
      </c>
      <c r="O2888" s="31">
        <v>186</v>
      </c>
      <c r="P2888" s="31"/>
      <c r="Q2888" s="31"/>
      <c r="R2888" s="33"/>
      <c r="S2888" s="34" t="str">
        <f>HYPERLINK("http://www.cnpol.ru/covers/8850.jpg","фото на сайте")</f>
        <v>фото на сайте</v>
      </c>
    </row>
    <row r="2889" spans="1:19" ht="50.1" customHeight="1">
      <c r="A2889" s="31"/>
      <c r="B2889" s="32" t="s">
        <v>10998</v>
      </c>
      <c r="C2889" s="31" t="s">
        <v>520</v>
      </c>
      <c r="D2889" s="31" t="s">
        <v>2156</v>
      </c>
      <c r="E2889" s="31" t="s">
        <v>10999</v>
      </c>
      <c r="F2889" s="31">
        <v>56</v>
      </c>
      <c r="G2889" s="31">
        <v>117</v>
      </c>
      <c r="H2889" s="31">
        <v>10</v>
      </c>
      <c r="I2889" s="31">
        <v>30</v>
      </c>
      <c r="J2889" s="31" t="s">
        <v>11000</v>
      </c>
      <c r="K2889" s="31" t="s">
        <v>123</v>
      </c>
      <c r="L2889" s="31" t="s">
        <v>56</v>
      </c>
      <c r="M2889" s="31">
        <v>192</v>
      </c>
      <c r="N2889" s="31">
        <v>2018</v>
      </c>
      <c r="O2889" s="31">
        <v>90</v>
      </c>
      <c r="P2889" s="31"/>
      <c r="Q2889" s="31"/>
      <c r="R2889" s="33"/>
      <c r="S2889" s="34" t="str">
        <f>HYPERLINK("http://www.cnpol.ru/covers/18141.jpg","фото на сайте")</f>
        <v>фото на сайте</v>
      </c>
    </row>
    <row r="2890" spans="1:19" ht="50.1" customHeight="1">
      <c r="A2890" s="31"/>
      <c r="B2890" s="32" t="s">
        <v>11001</v>
      </c>
      <c r="C2890" s="31" t="s">
        <v>3434</v>
      </c>
      <c r="D2890" s="31" t="s">
        <v>11002</v>
      </c>
      <c r="E2890" s="31" t="s">
        <v>11003</v>
      </c>
      <c r="F2890" s="31" t="s">
        <v>31</v>
      </c>
      <c r="G2890" s="31">
        <v>353</v>
      </c>
      <c r="H2890" s="31">
        <v>10</v>
      </c>
      <c r="I2890" s="31">
        <v>14</v>
      </c>
      <c r="J2890" s="31" t="s">
        <v>11004</v>
      </c>
      <c r="K2890" s="31" t="s">
        <v>33</v>
      </c>
      <c r="L2890" s="31" t="s">
        <v>34</v>
      </c>
      <c r="M2890" s="31">
        <v>315</v>
      </c>
      <c r="N2890" s="31">
        <v>2014</v>
      </c>
      <c r="O2890" s="31">
        <v>272</v>
      </c>
      <c r="P2890" s="31"/>
      <c r="Q2890" s="31"/>
      <c r="R2890" s="33"/>
      <c r="S2890" s="34" t="str">
        <f>HYPERLINK("http://www.cnpol.ru/covers/15353.jpg","фото на сайте")</f>
        <v>фото на сайте</v>
      </c>
    </row>
    <row r="2891" spans="1:19" ht="50.1" customHeight="1">
      <c r="A2891" s="31"/>
      <c r="B2891" s="32" t="s">
        <v>11005</v>
      </c>
      <c r="C2891" s="31" t="s">
        <v>418</v>
      </c>
      <c r="D2891" s="31" t="s">
        <v>1356</v>
      </c>
      <c r="E2891" s="31" t="s">
        <v>11006</v>
      </c>
      <c r="F2891" s="31">
        <v>36</v>
      </c>
      <c r="G2891" s="31">
        <v>153</v>
      </c>
      <c r="H2891" s="31">
        <v>10</v>
      </c>
      <c r="I2891" s="31">
        <v>32</v>
      </c>
      <c r="J2891" s="31" t="s">
        <v>11007</v>
      </c>
      <c r="K2891" s="31" t="s">
        <v>300</v>
      </c>
      <c r="L2891" s="31" t="s">
        <v>56</v>
      </c>
      <c r="M2891" s="31">
        <v>256</v>
      </c>
      <c r="N2891" s="31">
        <v>2014</v>
      </c>
      <c r="O2891" s="31">
        <v>118</v>
      </c>
      <c r="P2891" s="31"/>
      <c r="Q2891" s="31"/>
      <c r="R2891" s="33"/>
      <c r="S2891" s="34" t="str">
        <f>HYPERLINK("http://www.cnpol.ru/covers/14767.jpg","фото на сайте")</f>
        <v>фото на сайте</v>
      </c>
    </row>
    <row r="2892" spans="1:19" ht="50.1" customHeight="1">
      <c r="A2892" s="31"/>
      <c r="B2892" s="32" t="s">
        <v>11008</v>
      </c>
      <c r="C2892" s="31" t="s">
        <v>390</v>
      </c>
      <c r="D2892" s="31" t="s">
        <v>4570</v>
      </c>
      <c r="E2892" s="31" t="s">
        <v>11009</v>
      </c>
      <c r="F2892" s="31">
        <v>339</v>
      </c>
      <c r="G2892" s="31">
        <v>86</v>
      </c>
      <c r="H2892" s="31">
        <v>10</v>
      </c>
      <c r="I2892" s="31">
        <v>30</v>
      </c>
      <c r="J2892" s="31" t="s">
        <v>11010</v>
      </c>
      <c r="K2892" s="31" t="s">
        <v>123</v>
      </c>
      <c r="L2892" s="31" t="s">
        <v>56</v>
      </c>
      <c r="M2892" s="31">
        <v>158</v>
      </c>
      <c r="N2892" s="31">
        <v>2013</v>
      </c>
      <c r="O2892" s="31">
        <v>76</v>
      </c>
      <c r="P2892" s="31"/>
      <c r="Q2892" s="31"/>
      <c r="R2892" s="33"/>
      <c r="S2892" s="34" t="str">
        <f>HYPERLINK("http://www.cnpol.ru/covers/14481.jpg","фото на сайте")</f>
        <v>фото на сайте</v>
      </c>
    </row>
    <row r="2893" spans="1:19" ht="50.1" customHeight="1">
      <c r="A2893" s="31" t="s">
        <v>43</v>
      </c>
      <c r="B2893" s="32" t="s">
        <v>11011</v>
      </c>
      <c r="C2893" s="31" t="s">
        <v>9651</v>
      </c>
      <c r="D2893" s="31" t="s">
        <v>11012</v>
      </c>
      <c r="E2893" s="31" t="s">
        <v>11013</v>
      </c>
      <c r="F2893" s="31" t="s">
        <v>31</v>
      </c>
      <c r="G2893" s="31">
        <v>753</v>
      </c>
      <c r="H2893" s="31">
        <v>10</v>
      </c>
      <c r="I2893" s="31">
        <v>10</v>
      </c>
      <c r="J2893" s="31" t="s">
        <v>11014</v>
      </c>
      <c r="K2893" s="31" t="s">
        <v>33</v>
      </c>
      <c r="L2893" s="31" t="s">
        <v>34</v>
      </c>
      <c r="M2893" s="31">
        <v>223</v>
      </c>
      <c r="N2893" s="31">
        <v>2025</v>
      </c>
      <c r="O2893" s="31">
        <v>255</v>
      </c>
      <c r="P2893" s="31"/>
      <c r="Q2893" s="31"/>
      <c r="R2893" s="33" t="s">
        <v>11015</v>
      </c>
      <c r="S2893" s="34" t="str">
        <f>HYPERLINK("http://www.cnpol.ru/covers/21755.jpg","фото на сайте")</f>
        <v>фото на сайте</v>
      </c>
    </row>
    <row r="2894" spans="1:19" ht="50.1" customHeight="1">
      <c r="A2894" s="31"/>
      <c r="B2894" s="32" t="s">
        <v>11016</v>
      </c>
      <c r="C2894" s="31" t="s">
        <v>6252</v>
      </c>
      <c r="D2894" s="31" t="s">
        <v>11017</v>
      </c>
      <c r="E2894" s="31" t="s">
        <v>11018</v>
      </c>
      <c r="F2894" s="31" t="s">
        <v>31</v>
      </c>
      <c r="G2894" s="35">
        <v>2489</v>
      </c>
      <c r="H2894" s="31">
        <v>10</v>
      </c>
      <c r="I2894" s="31">
        <v>6</v>
      </c>
      <c r="J2894" s="31" t="s">
        <v>11019</v>
      </c>
      <c r="K2894" s="31" t="s">
        <v>319</v>
      </c>
      <c r="L2894" s="31" t="s">
        <v>34</v>
      </c>
      <c r="M2894" s="31">
        <v>240</v>
      </c>
      <c r="N2894" s="31">
        <v>2003</v>
      </c>
      <c r="O2894" s="31">
        <v>730</v>
      </c>
      <c r="P2894" s="31"/>
      <c r="Q2894" s="31"/>
      <c r="R2894" s="33"/>
      <c r="S2894" s="34" t="str">
        <f>HYPERLINK("http://www.cnpol.ru/covers/4203.jpg","фото на сайте")</f>
        <v>фото на сайте</v>
      </c>
    </row>
    <row r="2895" spans="1:19" ht="50.1" customHeight="1">
      <c r="A2895" s="31"/>
      <c r="B2895" s="32" t="s">
        <v>11020</v>
      </c>
      <c r="C2895" s="31" t="s">
        <v>385</v>
      </c>
      <c r="D2895" s="31" t="s">
        <v>386</v>
      </c>
      <c r="E2895" s="31" t="s">
        <v>11021</v>
      </c>
      <c r="F2895" s="31" t="s">
        <v>31</v>
      </c>
      <c r="G2895" s="31">
        <v>162</v>
      </c>
      <c r="H2895" s="31">
        <v>10</v>
      </c>
      <c r="I2895" s="31">
        <v>32</v>
      </c>
      <c r="J2895" s="31" t="s">
        <v>11022</v>
      </c>
      <c r="K2895" s="31" t="s">
        <v>55</v>
      </c>
      <c r="L2895" s="31" t="s">
        <v>56</v>
      </c>
      <c r="M2895" s="31">
        <v>256</v>
      </c>
      <c r="N2895" s="31">
        <v>2016</v>
      </c>
      <c r="O2895" s="31">
        <v>98</v>
      </c>
      <c r="P2895" s="31"/>
      <c r="Q2895" s="31"/>
      <c r="R2895" s="33"/>
      <c r="S2895" s="34" t="str">
        <f>HYPERLINK("http://www.cnpol.ru/covers/0122.jpg","фото на сайте")</f>
        <v>фото на сайте</v>
      </c>
    </row>
    <row r="2896" spans="1:19" ht="50.1" customHeight="1">
      <c r="A2896" s="31"/>
      <c r="B2896" s="32" t="s">
        <v>11023</v>
      </c>
      <c r="C2896" s="31" t="s">
        <v>1594</v>
      </c>
      <c r="D2896" s="31" t="s">
        <v>1595</v>
      </c>
      <c r="E2896" s="31" t="s">
        <v>11024</v>
      </c>
      <c r="F2896" s="31" t="s">
        <v>31</v>
      </c>
      <c r="G2896" s="31">
        <v>169</v>
      </c>
      <c r="H2896" s="31">
        <v>10</v>
      </c>
      <c r="I2896" s="31">
        <v>11</v>
      </c>
      <c r="J2896" s="31" t="s">
        <v>11025</v>
      </c>
      <c r="K2896" s="31" t="s">
        <v>55</v>
      </c>
      <c r="L2896" s="31" t="s">
        <v>56</v>
      </c>
      <c r="M2896" s="31">
        <v>288</v>
      </c>
      <c r="N2896" s="31">
        <v>2021</v>
      </c>
      <c r="O2896" s="31">
        <v>124</v>
      </c>
      <c r="P2896" s="31"/>
      <c r="Q2896" s="31"/>
      <c r="R2896" s="33"/>
      <c r="S2896" s="34" t="str">
        <f>HYPERLINK("http://www.cnpol.ru/covers/19718.jpg","фото на сайте")</f>
        <v>фото на сайте</v>
      </c>
    </row>
    <row r="2897" spans="1:19" ht="50.1" customHeight="1">
      <c r="A2897" s="31"/>
      <c r="B2897" s="32" t="s">
        <v>11026</v>
      </c>
      <c r="C2897" s="31" t="s">
        <v>390</v>
      </c>
      <c r="D2897" s="31" t="s">
        <v>10788</v>
      </c>
      <c r="E2897" s="31" t="s">
        <v>11027</v>
      </c>
      <c r="F2897" s="31">
        <v>470</v>
      </c>
      <c r="G2897" s="31">
        <v>86</v>
      </c>
      <c r="H2897" s="31">
        <v>10</v>
      </c>
      <c r="I2897" s="31">
        <v>30</v>
      </c>
      <c r="J2897" s="31" t="s">
        <v>11028</v>
      </c>
      <c r="K2897" s="31" t="s">
        <v>123</v>
      </c>
      <c r="L2897" s="31" t="s">
        <v>56</v>
      </c>
      <c r="M2897" s="31">
        <v>158</v>
      </c>
      <c r="N2897" s="31">
        <v>2014</v>
      </c>
      <c r="O2897" s="31">
        <v>74</v>
      </c>
      <c r="P2897" s="31"/>
      <c r="Q2897" s="31"/>
      <c r="R2897" s="33"/>
      <c r="S2897" s="34" t="str">
        <f>HYPERLINK("http://www.cnpol.ru/covers/15639.jpg","фото на сайте")</f>
        <v>фото на сайте</v>
      </c>
    </row>
    <row r="2898" spans="1:19" ht="50.1" customHeight="1">
      <c r="A2898" s="31" t="s">
        <v>43</v>
      </c>
      <c r="B2898" s="32" t="s">
        <v>11029</v>
      </c>
      <c r="C2898" s="31" t="s">
        <v>546</v>
      </c>
      <c r="D2898" s="31" t="s">
        <v>1599</v>
      </c>
      <c r="E2898" s="31" t="s">
        <v>11030</v>
      </c>
      <c r="F2898" s="31">
        <v>448</v>
      </c>
      <c r="G2898" s="31">
        <v>93</v>
      </c>
      <c r="H2898" s="31">
        <v>10</v>
      </c>
      <c r="I2898" s="31">
        <v>30</v>
      </c>
      <c r="J2898" s="31" t="s">
        <v>11031</v>
      </c>
      <c r="K2898" s="31" t="s">
        <v>123</v>
      </c>
      <c r="L2898" s="31" t="s">
        <v>56</v>
      </c>
      <c r="M2898" s="31">
        <v>159</v>
      </c>
      <c r="N2898" s="31">
        <v>2024</v>
      </c>
      <c r="O2898" s="31">
        <v>76</v>
      </c>
      <c r="P2898" s="31"/>
      <c r="Q2898" s="31"/>
      <c r="R2898" s="33" t="s">
        <v>11032</v>
      </c>
      <c r="S2898" s="34" t="str">
        <f>HYPERLINK("http://www.cnpol.ru/covers/21249.jpg","фото на сайте")</f>
        <v>фото на сайте</v>
      </c>
    </row>
    <row r="2899" spans="1:19" ht="50.1" customHeight="1">
      <c r="A2899" s="31"/>
      <c r="B2899" s="32" t="s">
        <v>11033</v>
      </c>
      <c r="C2899" s="31" t="s">
        <v>546</v>
      </c>
      <c r="D2899" s="31" t="s">
        <v>1581</v>
      </c>
      <c r="E2899" s="31" t="s">
        <v>11034</v>
      </c>
      <c r="F2899" s="31">
        <v>211</v>
      </c>
      <c r="G2899" s="31">
        <v>93</v>
      </c>
      <c r="H2899" s="31">
        <v>10</v>
      </c>
      <c r="I2899" s="31">
        <v>30</v>
      </c>
      <c r="J2899" s="31" t="s">
        <v>11035</v>
      </c>
      <c r="K2899" s="31" t="s">
        <v>123</v>
      </c>
      <c r="L2899" s="31" t="s">
        <v>56</v>
      </c>
      <c r="M2899" s="31">
        <v>160</v>
      </c>
      <c r="N2899" s="31">
        <v>2017</v>
      </c>
      <c r="O2899" s="31">
        <v>76</v>
      </c>
      <c r="P2899" s="31"/>
      <c r="Q2899" s="31"/>
      <c r="R2899" s="33"/>
      <c r="S2899" s="34" t="str">
        <f>HYPERLINK("http://www.cnpol.ru/covers/17362.jpg","фото на сайте")</f>
        <v>фото на сайте</v>
      </c>
    </row>
    <row r="2900" spans="1:19" ht="50.1" customHeight="1">
      <c r="A2900" s="31"/>
      <c r="B2900" s="32" t="s">
        <v>11036</v>
      </c>
      <c r="C2900" s="31" t="s">
        <v>390</v>
      </c>
      <c r="D2900" s="31" t="s">
        <v>10815</v>
      </c>
      <c r="E2900" s="31" t="s">
        <v>11037</v>
      </c>
      <c r="F2900" s="31">
        <v>1100</v>
      </c>
      <c r="G2900" s="31">
        <v>86</v>
      </c>
      <c r="H2900" s="31">
        <v>10</v>
      </c>
      <c r="I2900" s="31">
        <v>30</v>
      </c>
      <c r="J2900" s="31" t="s">
        <v>11038</v>
      </c>
      <c r="K2900" s="31" t="s">
        <v>123</v>
      </c>
      <c r="L2900" s="31" t="s">
        <v>56</v>
      </c>
      <c r="M2900" s="31">
        <v>159</v>
      </c>
      <c r="N2900" s="31">
        <v>2022</v>
      </c>
      <c r="O2900" s="31">
        <v>76</v>
      </c>
      <c r="P2900" s="31"/>
      <c r="Q2900" s="31"/>
      <c r="R2900" s="33"/>
      <c r="S2900" s="34" t="str">
        <f>HYPERLINK("http://www.cnpol.ru/covers/20316.jpg","фото на сайте")</f>
        <v>фото на сайте</v>
      </c>
    </row>
    <row r="2901" spans="1:19" ht="50.1" customHeight="1">
      <c r="A2901" s="31" t="s">
        <v>43</v>
      </c>
      <c r="B2901" s="32" t="s">
        <v>11039</v>
      </c>
      <c r="C2901" s="31" t="s">
        <v>37</v>
      </c>
      <c r="D2901" s="31" t="s">
        <v>11040</v>
      </c>
      <c r="E2901" s="31" t="s">
        <v>11041</v>
      </c>
      <c r="F2901" s="31" t="s">
        <v>31</v>
      </c>
      <c r="G2901" s="31">
        <v>575</v>
      </c>
      <c r="H2901" s="31">
        <v>10</v>
      </c>
      <c r="I2901" s="31">
        <v>10</v>
      </c>
      <c r="J2901" s="31" t="s">
        <v>11042</v>
      </c>
      <c r="K2901" s="31" t="s">
        <v>33</v>
      </c>
      <c r="L2901" s="31" t="s">
        <v>34</v>
      </c>
      <c r="M2901" s="31">
        <v>479</v>
      </c>
      <c r="N2901" s="31">
        <v>2024</v>
      </c>
      <c r="O2901" s="31">
        <v>376</v>
      </c>
      <c r="P2901" s="31"/>
      <c r="Q2901" s="31"/>
      <c r="R2901" s="33" t="s">
        <v>11043</v>
      </c>
      <c r="S2901" s="34" t="str">
        <f>HYPERLINK("http://www.cnpol.ru/covers/21086.jpg","фото на сайте")</f>
        <v>фото на сайте</v>
      </c>
    </row>
    <row r="2902" spans="1:19" ht="50.1" customHeight="1">
      <c r="A2902" s="31" t="s">
        <v>35</v>
      </c>
      <c r="B2902" s="32" t="s">
        <v>11044</v>
      </c>
      <c r="C2902" s="31" t="s">
        <v>37</v>
      </c>
      <c r="D2902" s="31" t="s">
        <v>11045</v>
      </c>
      <c r="E2902" s="31" t="s">
        <v>11046</v>
      </c>
      <c r="F2902" s="31" t="s">
        <v>31</v>
      </c>
      <c r="G2902" s="31">
        <v>961</v>
      </c>
      <c r="H2902" s="31">
        <v>10</v>
      </c>
      <c r="I2902" s="31">
        <v>6</v>
      </c>
      <c r="J2902" s="31" t="s">
        <v>11047</v>
      </c>
      <c r="K2902" s="31" t="s">
        <v>33</v>
      </c>
      <c r="L2902" s="31" t="s">
        <v>34</v>
      </c>
      <c r="M2902" s="31">
        <v>352</v>
      </c>
      <c r="N2902" s="31">
        <v>2025</v>
      </c>
      <c r="O2902" s="31" t="s">
        <v>220</v>
      </c>
      <c r="P2902" s="31"/>
      <c r="Q2902" s="31"/>
      <c r="R2902" s="33" t="s">
        <v>11048</v>
      </c>
      <c r="S2902" s="34" t="str">
        <f>HYPERLINK("http://www.cnpol.ru/covers/21863.jpg","фото на сайте")</f>
        <v>фото на сайте</v>
      </c>
    </row>
    <row r="2903" spans="1:19" ht="50.1" customHeight="1">
      <c r="A2903" s="31"/>
      <c r="B2903" s="32" t="s">
        <v>11049</v>
      </c>
      <c r="C2903" s="31" t="s">
        <v>1102</v>
      </c>
      <c r="D2903" s="31" t="s">
        <v>1103</v>
      </c>
      <c r="E2903" s="31" t="s">
        <v>11050</v>
      </c>
      <c r="F2903" s="31" t="s">
        <v>31</v>
      </c>
      <c r="G2903" s="31">
        <v>593</v>
      </c>
      <c r="H2903" s="31">
        <v>10</v>
      </c>
      <c r="I2903" s="31">
        <v>16</v>
      </c>
      <c r="J2903" s="31" t="s">
        <v>11051</v>
      </c>
      <c r="K2903" s="31" t="s">
        <v>33</v>
      </c>
      <c r="L2903" s="31" t="s">
        <v>34</v>
      </c>
      <c r="M2903" s="31">
        <v>288</v>
      </c>
      <c r="N2903" s="31">
        <v>2017</v>
      </c>
      <c r="O2903" s="31">
        <v>236</v>
      </c>
      <c r="P2903" s="31"/>
      <c r="Q2903" s="31"/>
      <c r="R2903" s="33"/>
      <c r="S2903" s="34" t="str">
        <f>HYPERLINK("http://www.cnpol.ru/covers/17860.jpg","фото на сайте")</f>
        <v>фото на сайте</v>
      </c>
    </row>
    <row r="2904" spans="1:19" ht="50.1" customHeight="1">
      <c r="A2904" s="31" t="s">
        <v>43</v>
      </c>
      <c r="B2904" s="32" t="s">
        <v>11052</v>
      </c>
      <c r="C2904" s="31" t="s">
        <v>143</v>
      </c>
      <c r="D2904" s="31" t="s">
        <v>11053</v>
      </c>
      <c r="E2904" s="31" t="s">
        <v>11054</v>
      </c>
      <c r="F2904" s="31" t="s">
        <v>31</v>
      </c>
      <c r="G2904" s="31">
        <v>692</v>
      </c>
      <c r="H2904" s="31">
        <v>10</v>
      </c>
      <c r="I2904" s="31">
        <v>18</v>
      </c>
      <c r="J2904" s="31" t="s">
        <v>11055</v>
      </c>
      <c r="K2904" s="31" t="s">
        <v>33</v>
      </c>
      <c r="L2904" s="31" t="s">
        <v>34</v>
      </c>
      <c r="M2904" s="31">
        <v>191</v>
      </c>
      <c r="N2904" s="31">
        <v>2024</v>
      </c>
      <c r="O2904" s="31">
        <v>265</v>
      </c>
      <c r="P2904" s="31"/>
      <c r="Q2904" s="31"/>
      <c r="R2904" s="33" t="s">
        <v>11056</v>
      </c>
      <c r="S2904" s="34" t="str">
        <f>HYPERLINK("http://www.cnpol.ru/covers/21021.jpg","фото на сайте")</f>
        <v>фото на сайте</v>
      </c>
    </row>
    <row r="2905" spans="1:19" ht="50.1" customHeight="1">
      <c r="A2905" s="31" t="s">
        <v>43</v>
      </c>
      <c r="B2905" s="32" t="s">
        <v>11057</v>
      </c>
      <c r="C2905" s="31" t="s">
        <v>37</v>
      </c>
      <c r="D2905" s="31" t="s">
        <v>11058</v>
      </c>
      <c r="E2905" s="31" t="s">
        <v>11059</v>
      </c>
      <c r="F2905" s="31" t="s">
        <v>31</v>
      </c>
      <c r="G2905" s="31">
        <v>851</v>
      </c>
      <c r="H2905" s="31">
        <v>10</v>
      </c>
      <c r="I2905" s="31">
        <v>14</v>
      </c>
      <c r="J2905" s="31" t="s">
        <v>11060</v>
      </c>
      <c r="K2905" s="31" t="s">
        <v>33</v>
      </c>
      <c r="L2905" s="31" t="s">
        <v>34</v>
      </c>
      <c r="M2905" s="31">
        <v>286</v>
      </c>
      <c r="N2905" s="31">
        <v>2025</v>
      </c>
      <c r="O2905" s="31">
        <v>261</v>
      </c>
      <c r="P2905" s="31"/>
      <c r="Q2905" s="31"/>
      <c r="R2905" s="33" t="s">
        <v>11061</v>
      </c>
      <c r="S2905" s="34" t="str">
        <f>HYPERLINK("http://www.cnpol.ru/covers/21664.jpg","фото на сайте")</f>
        <v>фото на сайте</v>
      </c>
    </row>
    <row r="2906" spans="1:19" ht="50.1" customHeight="1">
      <c r="A2906" s="31" t="s">
        <v>43</v>
      </c>
      <c r="B2906" s="32" t="s">
        <v>11062</v>
      </c>
      <c r="C2906" s="31" t="s">
        <v>779</v>
      </c>
      <c r="D2906" s="31" t="s">
        <v>11063</v>
      </c>
      <c r="E2906" s="31" t="s">
        <v>11064</v>
      </c>
      <c r="F2906" s="31" t="s">
        <v>31</v>
      </c>
      <c r="G2906" s="31">
        <v>759</v>
      </c>
      <c r="H2906" s="31">
        <v>10</v>
      </c>
      <c r="I2906" s="31">
        <v>10</v>
      </c>
      <c r="J2906" s="31" t="s">
        <v>11065</v>
      </c>
      <c r="K2906" s="31" t="s">
        <v>33</v>
      </c>
      <c r="L2906" s="31" t="s">
        <v>34</v>
      </c>
      <c r="M2906" s="31">
        <v>220</v>
      </c>
      <c r="N2906" s="31">
        <v>2025</v>
      </c>
      <c r="O2906" s="31">
        <v>144</v>
      </c>
      <c r="P2906" s="31"/>
      <c r="Q2906" s="31"/>
      <c r="R2906" s="33" t="s">
        <v>11066</v>
      </c>
      <c r="S2906" s="34" t="str">
        <f>HYPERLINK("http://www.cnpol.ru/covers/21578.jpg","фото на сайте")</f>
        <v>фото на сайте</v>
      </c>
    </row>
    <row r="2907" spans="1:19" ht="50.1" customHeight="1">
      <c r="A2907" s="31" t="s">
        <v>43</v>
      </c>
      <c r="B2907" s="32" t="s">
        <v>11067</v>
      </c>
      <c r="C2907" s="31" t="s">
        <v>779</v>
      </c>
      <c r="D2907" s="31" t="s">
        <v>9160</v>
      </c>
      <c r="E2907" s="31" t="s">
        <v>11068</v>
      </c>
      <c r="F2907" s="31" t="s">
        <v>31</v>
      </c>
      <c r="G2907" s="31">
        <v>649</v>
      </c>
      <c r="H2907" s="31">
        <v>10</v>
      </c>
      <c r="I2907" s="31">
        <v>20</v>
      </c>
      <c r="J2907" s="31" t="s">
        <v>11069</v>
      </c>
      <c r="K2907" s="31" t="s">
        <v>33</v>
      </c>
      <c r="L2907" s="31" t="s">
        <v>34</v>
      </c>
      <c r="M2907" s="31">
        <v>157</v>
      </c>
      <c r="N2907" s="31">
        <v>2025</v>
      </c>
      <c r="O2907" s="31">
        <v>201</v>
      </c>
      <c r="P2907" s="31"/>
      <c r="Q2907" s="31"/>
      <c r="R2907" s="33" t="s">
        <v>11070</v>
      </c>
      <c r="S2907" s="34" t="str">
        <f>HYPERLINK("http://www.cnpol.ru/covers/21619.jpg","фото на сайте")</f>
        <v>фото на сайте</v>
      </c>
    </row>
    <row r="2908" spans="1:19" ht="50.1" customHeight="1">
      <c r="A2908" s="31"/>
      <c r="B2908" s="32" t="s">
        <v>11071</v>
      </c>
      <c r="C2908" s="31" t="s">
        <v>37</v>
      </c>
      <c r="D2908" s="31" t="s">
        <v>11072</v>
      </c>
      <c r="E2908" s="31" t="s">
        <v>11073</v>
      </c>
      <c r="F2908" s="31" t="s">
        <v>31</v>
      </c>
      <c r="G2908" s="31">
        <v>710</v>
      </c>
      <c r="H2908" s="31">
        <v>10</v>
      </c>
      <c r="I2908" s="31">
        <v>14</v>
      </c>
      <c r="J2908" s="31" t="s">
        <v>11074</v>
      </c>
      <c r="K2908" s="31" t="s">
        <v>33</v>
      </c>
      <c r="L2908" s="31" t="s">
        <v>34</v>
      </c>
      <c r="M2908" s="31">
        <v>445</v>
      </c>
      <c r="N2908" s="31">
        <v>2013</v>
      </c>
      <c r="O2908" s="31">
        <v>458</v>
      </c>
      <c r="P2908" s="31"/>
      <c r="Q2908" s="31"/>
      <c r="R2908" s="33"/>
      <c r="S2908" s="34" t="str">
        <f>HYPERLINK("http://www.cnpol.ru/covers/14540.jpg","фото на сайте")</f>
        <v>фото на сайте</v>
      </c>
    </row>
    <row r="2909" spans="1:19" ht="50.1" customHeight="1">
      <c r="A2909" s="31"/>
      <c r="B2909" s="32" t="s">
        <v>11075</v>
      </c>
      <c r="C2909" s="31" t="s">
        <v>779</v>
      </c>
      <c r="D2909" s="31" t="s">
        <v>7746</v>
      </c>
      <c r="E2909" s="31" t="s">
        <v>11076</v>
      </c>
      <c r="F2909" s="31" t="s">
        <v>31</v>
      </c>
      <c r="G2909" s="35">
        <v>1064</v>
      </c>
      <c r="H2909" s="31">
        <v>10</v>
      </c>
      <c r="I2909" s="31">
        <v>12</v>
      </c>
      <c r="J2909" s="31" t="s">
        <v>11077</v>
      </c>
      <c r="K2909" s="31" t="s">
        <v>33</v>
      </c>
      <c r="L2909" s="31" t="s">
        <v>34</v>
      </c>
      <c r="M2909" s="31">
        <v>378</v>
      </c>
      <c r="N2909" s="31">
        <v>2022</v>
      </c>
      <c r="O2909" s="31">
        <v>360</v>
      </c>
      <c r="P2909" s="31"/>
      <c r="Q2909" s="31"/>
      <c r="R2909" s="33"/>
      <c r="S2909" s="34" t="str">
        <f>HYPERLINK("http://www.cnpol.ru/covers/20279.jpg","фото на сайте")</f>
        <v>фото на сайте</v>
      </c>
    </row>
    <row r="2910" spans="1:19" ht="50.1" customHeight="1">
      <c r="A2910" s="31"/>
      <c r="B2910" s="32" t="s">
        <v>11078</v>
      </c>
      <c r="C2910" s="31" t="s">
        <v>37</v>
      </c>
      <c r="D2910" s="31" t="s">
        <v>11079</v>
      </c>
      <c r="E2910" s="31" t="s">
        <v>11080</v>
      </c>
      <c r="F2910" s="31" t="s">
        <v>31</v>
      </c>
      <c r="G2910" s="31">
        <v>807</v>
      </c>
      <c r="H2910" s="31">
        <v>10</v>
      </c>
      <c r="I2910" s="31">
        <v>8</v>
      </c>
      <c r="J2910" s="31" t="s">
        <v>11081</v>
      </c>
      <c r="K2910" s="31" t="s">
        <v>33</v>
      </c>
      <c r="L2910" s="31" t="s">
        <v>34</v>
      </c>
      <c r="M2910" s="31">
        <v>512</v>
      </c>
      <c r="N2910" s="31">
        <v>2019</v>
      </c>
      <c r="O2910" s="31">
        <v>484</v>
      </c>
      <c r="P2910" s="31"/>
      <c r="Q2910" s="31"/>
      <c r="R2910" s="33"/>
      <c r="S2910" s="34" t="str">
        <f>HYPERLINK("http://www.cnpol.ru/covers/18683.jpg","фото на сайте")</f>
        <v>фото на сайте</v>
      </c>
    </row>
    <row r="2911" spans="1:19" ht="50.1" customHeight="1">
      <c r="A2911" s="31"/>
      <c r="B2911" s="32" t="s">
        <v>11082</v>
      </c>
      <c r="C2911" s="31" t="s">
        <v>1003</v>
      </c>
      <c r="D2911" s="31" t="s">
        <v>1004</v>
      </c>
      <c r="E2911" s="31" t="s">
        <v>11083</v>
      </c>
      <c r="F2911" s="31" t="s">
        <v>31</v>
      </c>
      <c r="G2911" s="31">
        <v>122</v>
      </c>
      <c r="H2911" s="31">
        <v>10</v>
      </c>
      <c r="I2911" s="31">
        <v>30</v>
      </c>
      <c r="J2911" s="31" t="s">
        <v>11084</v>
      </c>
      <c r="K2911" s="31" t="s">
        <v>123</v>
      </c>
      <c r="L2911" s="31" t="s">
        <v>56</v>
      </c>
      <c r="M2911" s="31">
        <v>128</v>
      </c>
      <c r="N2911" s="31">
        <v>2021</v>
      </c>
      <c r="O2911" s="31">
        <v>86</v>
      </c>
      <c r="P2911" s="31"/>
      <c r="Q2911" s="31"/>
      <c r="R2911" s="33"/>
      <c r="S2911" s="34" t="str">
        <f>HYPERLINK("http://www.cnpol.ru/covers/19854.jpg","фото на сайте")</f>
        <v>фото на сайте</v>
      </c>
    </row>
    <row r="2912" spans="1:19" ht="50.1" customHeight="1">
      <c r="A2912" s="31"/>
      <c r="B2912" s="32" t="s">
        <v>11085</v>
      </c>
      <c r="C2912" s="31" t="s">
        <v>1323</v>
      </c>
      <c r="D2912" s="31" t="s">
        <v>2347</v>
      </c>
      <c r="E2912" s="31" t="s">
        <v>11086</v>
      </c>
      <c r="F2912" s="31" t="s">
        <v>31</v>
      </c>
      <c r="G2912" s="31">
        <v>169</v>
      </c>
      <c r="H2912" s="31">
        <v>10</v>
      </c>
      <c r="I2912" s="31">
        <v>20</v>
      </c>
      <c r="J2912" s="31" t="s">
        <v>11087</v>
      </c>
      <c r="K2912" s="31" t="s">
        <v>55</v>
      </c>
      <c r="L2912" s="31" t="s">
        <v>56</v>
      </c>
      <c r="M2912" s="31">
        <v>320</v>
      </c>
      <c r="N2912" s="31">
        <v>2020</v>
      </c>
      <c r="O2912" s="31">
        <v>136</v>
      </c>
      <c r="P2912" s="31"/>
      <c r="Q2912" s="31"/>
      <c r="R2912" s="33"/>
      <c r="S2912" s="34" t="str">
        <f>HYPERLINK("http://www.cnpol.ru/covers/19485.jpg","фото на сайте")</f>
        <v>фото на сайте</v>
      </c>
    </row>
    <row r="2913" spans="1:19" ht="50.1" customHeight="1">
      <c r="A2913" s="31"/>
      <c r="B2913" s="32" t="s">
        <v>11088</v>
      </c>
      <c r="C2913" s="31" t="s">
        <v>302</v>
      </c>
      <c r="D2913" s="31" t="s">
        <v>872</v>
      </c>
      <c r="E2913" s="31" t="s">
        <v>11089</v>
      </c>
      <c r="F2913" s="31" t="s">
        <v>31</v>
      </c>
      <c r="G2913" s="31">
        <v>917</v>
      </c>
      <c r="H2913" s="31">
        <v>10</v>
      </c>
      <c r="I2913" s="31">
        <v>16</v>
      </c>
      <c r="J2913" s="31" t="s">
        <v>11090</v>
      </c>
      <c r="K2913" s="31" t="s">
        <v>41</v>
      </c>
      <c r="L2913" s="31" t="s">
        <v>304</v>
      </c>
      <c r="M2913" s="31">
        <v>320</v>
      </c>
      <c r="N2913" s="31">
        <v>2021</v>
      </c>
      <c r="O2913" s="31">
        <v>428</v>
      </c>
      <c r="P2913" s="31"/>
      <c r="Q2913" s="31"/>
      <c r="R2913" s="33"/>
      <c r="S2913" s="34" t="str">
        <f>HYPERLINK("http://www.cnpol.ru/covers/19832.jpg","фото на сайте")</f>
        <v>фото на сайте</v>
      </c>
    </row>
    <row r="2914" spans="1:19" ht="50.1" customHeight="1">
      <c r="A2914" s="31" t="s">
        <v>35</v>
      </c>
      <c r="B2914" s="32" t="s">
        <v>11091</v>
      </c>
      <c r="C2914" s="31" t="s">
        <v>297</v>
      </c>
      <c r="D2914" s="31" t="s">
        <v>872</v>
      </c>
      <c r="E2914" s="31" t="s">
        <v>11089</v>
      </c>
      <c r="F2914" s="31" t="s">
        <v>31</v>
      </c>
      <c r="G2914" s="31">
        <v>300</v>
      </c>
      <c r="H2914" s="31">
        <v>10</v>
      </c>
      <c r="I2914" s="31">
        <v>9</v>
      </c>
      <c r="J2914" s="31" t="s">
        <v>11092</v>
      </c>
      <c r="K2914" s="31" t="s">
        <v>130</v>
      </c>
      <c r="L2914" s="31" t="s">
        <v>56</v>
      </c>
      <c r="M2914" s="31">
        <v>287</v>
      </c>
      <c r="N2914" s="31">
        <v>2023</v>
      </c>
      <c r="O2914" s="31" t="s">
        <v>220</v>
      </c>
      <c r="P2914" s="31"/>
      <c r="Q2914" s="31"/>
      <c r="R2914" s="33" t="s">
        <v>11093</v>
      </c>
      <c r="S2914" s="34" t="str">
        <f>HYPERLINK("http://www.cnpol.ru/covers/21710.jpg","фото на сайте")</f>
        <v>фото на сайте</v>
      </c>
    </row>
    <row r="2915" spans="1:19" ht="50.1" customHeight="1">
      <c r="A2915" s="31" t="s">
        <v>35</v>
      </c>
      <c r="B2915" s="32" t="s">
        <v>11094</v>
      </c>
      <c r="C2915" s="31" t="s">
        <v>37</v>
      </c>
      <c r="D2915" s="31" t="s">
        <v>11095</v>
      </c>
      <c r="E2915" s="31" t="s">
        <v>11096</v>
      </c>
      <c r="F2915" s="31" t="s">
        <v>31</v>
      </c>
      <c r="G2915" s="35">
        <v>1139</v>
      </c>
      <c r="H2915" s="31">
        <v>10</v>
      </c>
      <c r="I2915" s="31">
        <v>8</v>
      </c>
      <c r="J2915" s="31" t="s">
        <v>11097</v>
      </c>
      <c r="K2915" s="31" t="s">
        <v>33</v>
      </c>
      <c r="L2915" s="31" t="s">
        <v>34</v>
      </c>
      <c r="M2915" s="31">
        <v>639</v>
      </c>
      <c r="N2915" s="31">
        <v>2024</v>
      </c>
      <c r="O2915" s="31">
        <v>600</v>
      </c>
      <c r="P2915" s="31"/>
      <c r="Q2915" s="31"/>
      <c r="R2915" s="33" t="s">
        <v>11098</v>
      </c>
      <c r="S2915" s="34" t="str">
        <f>HYPERLINK("http://www.cnpol.ru/covers/21392.jpg","фото на сайте")</f>
        <v>фото на сайте</v>
      </c>
    </row>
    <row r="2916" spans="1:19" ht="50.1" customHeight="1">
      <c r="A2916" s="31" t="s">
        <v>35</v>
      </c>
      <c r="B2916" s="32" t="s">
        <v>11099</v>
      </c>
      <c r="C2916" s="31" t="s">
        <v>11100</v>
      </c>
      <c r="D2916" s="31" t="s">
        <v>11095</v>
      </c>
      <c r="E2916" s="31" t="s">
        <v>11101</v>
      </c>
      <c r="F2916" s="31" t="s">
        <v>31</v>
      </c>
      <c r="G2916" s="35">
        <v>1139</v>
      </c>
      <c r="H2916" s="31">
        <v>10</v>
      </c>
      <c r="I2916" s="31">
        <v>8</v>
      </c>
      <c r="J2916" s="31" t="s">
        <v>11102</v>
      </c>
      <c r="K2916" s="31" t="s">
        <v>33</v>
      </c>
      <c r="L2916" s="31" t="s">
        <v>34</v>
      </c>
      <c r="M2916" s="31">
        <v>639</v>
      </c>
      <c r="N2916" s="31">
        <v>2024</v>
      </c>
      <c r="O2916" s="31" t="s">
        <v>220</v>
      </c>
      <c r="P2916" s="31"/>
      <c r="Q2916" s="31"/>
      <c r="R2916" s="33" t="s">
        <v>11098</v>
      </c>
      <c r="S2916" s="34" t="str">
        <f>HYPERLINK("http://www.cnpol.ru/covers/21393.jpg","фото на сайте")</f>
        <v>фото на сайте</v>
      </c>
    </row>
    <row r="2917" spans="1:19" ht="50.1" customHeight="1">
      <c r="A2917" s="31"/>
      <c r="B2917" s="32" t="s">
        <v>11103</v>
      </c>
      <c r="C2917" s="31" t="s">
        <v>546</v>
      </c>
      <c r="D2917" s="31" t="s">
        <v>1581</v>
      </c>
      <c r="E2917" s="31" t="s">
        <v>11104</v>
      </c>
      <c r="F2917" s="31">
        <v>257</v>
      </c>
      <c r="G2917" s="31">
        <v>93</v>
      </c>
      <c r="H2917" s="31">
        <v>10</v>
      </c>
      <c r="I2917" s="31">
        <v>30</v>
      </c>
      <c r="J2917" s="31" t="s">
        <v>11105</v>
      </c>
      <c r="K2917" s="31" t="s">
        <v>123</v>
      </c>
      <c r="L2917" s="31" t="s">
        <v>56</v>
      </c>
      <c r="M2917" s="31">
        <v>160</v>
      </c>
      <c r="N2917" s="31">
        <v>2018</v>
      </c>
      <c r="O2917" s="31">
        <v>76</v>
      </c>
      <c r="P2917" s="31"/>
      <c r="Q2917" s="31"/>
      <c r="R2917" s="33"/>
      <c r="S2917" s="34" t="str">
        <f>HYPERLINK("http://www.cnpol.ru/covers/17986.jpg","фото на сайте")</f>
        <v>фото на сайте</v>
      </c>
    </row>
    <row r="2918" spans="1:19" ht="50.1" customHeight="1">
      <c r="A2918" s="31"/>
      <c r="B2918" s="32" t="s">
        <v>11106</v>
      </c>
      <c r="C2918" s="31" t="s">
        <v>546</v>
      </c>
      <c r="D2918" s="31" t="s">
        <v>547</v>
      </c>
      <c r="E2918" s="31" t="s">
        <v>11107</v>
      </c>
      <c r="F2918" s="31">
        <v>382</v>
      </c>
      <c r="G2918" s="31">
        <v>93</v>
      </c>
      <c r="H2918" s="31">
        <v>10</v>
      </c>
      <c r="I2918" s="31">
        <v>30</v>
      </c>
      <c r="J2918" s="31" t="s">
        <v>11108</v>
      </c>
      <c r="K2918" s="31" t="s">
        <v>123</v>
      </c>
      <c r="L2918" s="31" t="s">
        <v>56</v>
      </c>
      <c r="M2918" s="31">
        <v>160</v>
      </c>
      <c r="N2918" s="31">
        <v>2021</v>
      </c>
      <c r="O2918" s="31">
        <v>76</v>
      </c>
      <c r="P2918" s="31"/>
      <c r="Q2918" s="31"/>
      <c r="R2918" s="33"/>
      <c r="S2918" s="34" t="str">
        <f>HYPERLINK("http://www.cnpol.ru/covers/19796.jpg","фото на сайте")</f>
        <v>фото на сайте</v>
      </c>
    </row>
    <row r="2919" spans="1:19" ht="50.1" customHeight="1">
      <c r="A2919" s="31"/>
      <c r="B2919" s="32" t="s">
        <v>11109</v>
      </c>
      <c r="C2919" s="31" t="s">
        <v>400</v>
      </c>
      <c r="D2919" s="31" t="s">
        <v>11110</v>
      </c>
      <c r="E2919" s="31" t="s">
        <v>11111</v>
      </c>
      <c r="F2919" s="31" t="s">
        <v>31</v>
      </c>
      <c r="G2919" s="31">
        <v>503</v>
      </c>
      <c r="H2919" s="31">
        <v>10</v>
      </c>
      <c r="I2919" s="31">
        <v>14</v>
      </c>
      <c r="J2919" s="31" t="s">
        <v>11112</v>
      </c>
      <c r="K2919" s="31" t="s">
        <v>33</v>
      </c>
      <c r="L2919" s="31" t="s">
        <v>34</v>
      </c>
      <c r="M2919" s="31">
        <v>288</v>
      </c>
      <c r="N2919" s="31">
        <v>2021</v>
      </c>
      <c r="O2919" s="31">
        <v>256</v>
      </c>
      <c r="P2919" s="31"/>
      <c r="Q2919" s="31"/>
      <c r="R2919" s="33"/>
      <c r="S2919" s="34" t="str">
        <f>HYPERLINK("http://www.cnpol.ru/covers/19595.jpg","фото на сайте")</f>
        <v>фото на сайте</v>
      </c>
    </row>
    <row r="2920" spans="1:19" ht="50.1" customHeight="1">
      <c r="A2920" s="31" t="s">
        <v>35</v>
      </c>
      <c r="B2920" s="32" t="s">
        <v>11113</v>
      </c>
      <c r="C2920" s="31" t="s">
        <v>7286</v>
      </c>
      <c r="D2920" s="31" t="s">
        <v>11114</v>
      </c>
      <c r="E2920" s="31" t="s">
        <v>11115</v>
      </c>
      <c r="F2920" s="31" t="s">
        <v>31</v>
      </c>
      <c r="G2920" s="35">
        <v>1099</v>
      </c>
      <c r="H2920" s="31">
        <v>10</v>
      </c>
      <c r="I2920" s="31">
        <v>5</v>
      </c>
      <c r="J2920" s="31" t="s">
        <v>11116</v>
      </c>
      <c r="K2920" s="31" t="s">
        <v>41</v>
      </c>
      <c r="L2920" s="31" t="s">
        <v>34</v>
      </c>
      <c r="M2920" s="31">
        <v>380</v>
      </c>
      <c r="N2920" s="31">
        <v>2025</v>
      </c>
      <c r="O2920" s="31">
        <v>480</v>
      </c>
      <c r="P2920" s="31"/>
      <c r="Q2920" s="31"/>
      <c r="R2920" s="33" t="s">
        <v>11117</v>
      </c>
      <c r="S2920" s="34" t="str">
        <f>HYPERLINK("http://www.cnpol.ru/covers/21610.jpg","фото на сайте")</f>
        <v>фото на сайте</v>
      </c>
    </row>
    <row r="2921" spans="1:19" ht="50.1" customHeight="1">
      <c r="A2921" s="31"/>
      <c r="B2921" s="32" t="s">
        <v>11118</v>
      </c>
      <c r="C2921" s="31" t="s">
        <v>584</v>
      </c>
      <c r="D2921" s="31" t="s">
        <v>11119</v>
      </c>
      <c r="E2921" s="31" t="s">
        <v>11120</v>
      </c>
      <c r="F2921" s="31" t="s">
        <v>31</v>
      </c>
      <c r="G2921" s="31">
        <v>88</v>
      </c>
      <c r="H2921" s="31">
        <v>10</v>
      </c>
      <c r="I2921" s="31">
        <v>32</v>
      </c>
      <c r="J2921" s="31" t="s">
        <v>11121</v>
      </c>
      <c r="K2921" s="31" t="s">
        <v>55</v>
      </c>
      <c r="L2921" s="31" t="s">
        <v>56</v>
      </c>
      <c r="M2921" s="31">
        <v>254</v>
      </c>
      <c r="N2921" s="31">
        <v>2010</v>
      </c>
      <c r="O2921" s="31">
        <v>112</v>
      </c>
      <c r="P2921" s="31"/>
      <c r="Q2921" s="31"/>
      <c r="R2921" s="33"/>
      <c r="S2921" s="34" t="str">
        <f>HYPERLINK("http://www.cnpol.ru/covers/11937.jpg","фото на сайте")</f>
        <v>фото на сайте</v>
      </c>
    </row>
    <row r="2922" spans="1:19" ht="50.1" customHeight="1">
      <c r="A2922" s="31"/>
      <c r="B2922" s="32" t="s">
        <v>11122</v>
      </c>
      <c r="C2922" s="31" t="s">
        <v>400</v>
      </c>
      <c r="D2922" s="31" t="s">
        <v>460</v>
      </c>
      <c r="E2922" s="31" t="s">
        <v>11123</v>
      </c>
      <c r="F2922" s="31" t="s">
        <v>31</v>
      </c>
      <c r="G2922" s="31">
        <v>503</v>
      </c>
      <c r="H2922" s="31">
        <v>10</v>
      </c>
      <c r="I2922" s="31">
        <v>14</v>
      </c>
      <c r="J2922" s="31" t="s">
        <v>11124</v>
      </c>
      <c r="K2922" s="31" t="s">
        <v>33</v>
      </c>
      <c r="L2922" s="31" t="s">
        <v>34</v>
      </c>
      <c r="M2922" s="31">
        <v>285</v>
      </c>
      <c r="N2922" s="31">
        <v>2014</v>
      </c>
      <c r="O2922" s="31">
        <v>248</v>
      </c>
      <c r="P2922" s="31"/>
      <c r="Q2922" s="31"/>
      <c r="R2922" s="33"/>
      <c r="S2922" s="34" t="str">
        <f>HYPERLINK("http://www.cnpol.ru/covers/15140.jpg","фото на сайте")</f>
        <v>фото на сайте</v>
      </c>
    </row>
    <row r="2923" spans="1:19" ht="50.1" customHeight="1">
      <c r="A2923" s="31"/>
      <c r="B2923" s="32" t="s">
        <v>11125</v>
      </c>
      <c r="C2923" s="31" t="s">
        <v>8066</v>
      </c>
      <c r="D2923" s="31" t="s">
        <v>11126</v>
      </c>
      <c r="E2923" s="31" t="s">
        <v>11127</v>
      </c>
      <c r="F2923" s="31" t="s">
        <v>31</v>
      </c>
      <c r="G2923" s="31">
        <v>503</v>
      </c>
      <c r="H2923" s="31">
        <v>10</v>
      </c>
      <c r="I2923" s="31">
        <v>16</v>
      </c>
      <c r="J2923" s="31" t="s">
        <v>11128</v>
      </c>
      <c r="K2923" s="31" t="s">
        <v>194</v>
      </c>
      <c r="L2923" s="31" t="s">
        <v>34</v>
      </c>
      <c r="M2923" s="31">
        <v>160</v>
      </c>
      <c r="N2923" s="31">
        <v>2017</v>
      </c>
      <c r="O2923" s="31">
        <v>181</v>
      </c>
      <c r="P2923" s="31"/>
      <c r="Q2923" s="31"/>
      <c r="R2923" s="33"/>
      <c r="S2923" s="34" t="str">
        <f>HYPERLINK("http://www.cnpol.ru/covers/17825.jpg","фото на сайте")</f>
        <v>фото на сайте</v>
      </c>
    </row>
    <row r="2924" spans="1:19" ht="50.1" customHeight="1">
      <c r="A2924" s="31"/>
      <c r="B2924" s="32" t="s">
        <v>11129</v>
      </c>
      <c r="C2924" s="31" t="s">
        <v>390</v>
      </c>
      <c r="D2924" s="31" t="s">
        <v>3507</v>
      </c>
      <c r="E2924" s="31" t="s">
        <v>11130</v>
      </c>
      <c r="F2924" s="31">
        <v>929</v>
      </c>
      <c r="G2924" s="31">
        <v>86</v>
      </c>
      <c r="H2924" s="31">
        <v>10</v>
      </c>
      <c r="I2924" s="31">
        <v>30</v>
      </c>
      <c r="J2924" s="31" t="s">
        <v>11131</v>
      </c>
      <c r="K2924" s="31" t="s">
        <v>123</v>
      </c>
      <c r="L2924" s="31" t="s">
        <v>56</v>
      </c>
      <c r="M2924" s="31">
        <v>160</v>
      </c>
      <c r="N2924" s="31">
        <v>2019</v>
      </c>
      <c r="O2924" s="31">
        <v>76</v>
      </c>
      <c r="P2924" s="31"/>
      <c r="Q2924" s="31"/>
      <c r="R2924" s="33"/>
      <c r="S2924" s="34" t="str">
        <f>HYPERLINK("http://www.cnpol.ru/covers/18885.jpg","фото на сайте")</f>
        <v>фото на сайте</v>
      </c>
    </row>
    <row r="2925" spans="1:19" ht="50.1" customHeight="1">
      <c r="A2925" s="31"/>
      <c r="B2925" s="32" t="s">
        <v>11132</v>
      </c>
      <c r="C2925" s="31" t="s">
        <v>4799</v>
      </c>
      <c r="D2925" s="31" t="s">
        <v>7349</v>
      </c>
      <c r="E2925" s="31" t="s">
        <v>11133</v>
      </c>
      <c r="F2925" s="31" t="s">
        <v>31</v>
      </c>
      <c r="G2925" s="31">
        <v>194</v>
      </c>
      <c r="H2925" s="31">
        <v>10</v>
      </c>
      <c r="I2925" s="31">
        <v>8</v>
      </c>
      <c r="J2925" s="31" t="s">
        <v>11134</v>
      </c>
      <c r="K2925" s="31" t="s">
        <v>300</v>
      </c>
      <c r="L2925" s="31" t="s">
        <v>56</v>
      </c>
      <c r="M2925" s="31">
        <v>415</v>
      </c>
      <c r="N2925" s="31">
        <v>2012</v>
      </c>
      <c r="O2925" s="31">
        <v>202</v>
      </c>
      <c r="P2925" s="31"/>
      <c r="Q2925" s="31"/>
      <c r="R2925" s="33"/>
      <c r="S2925" s="34" t="str">
        <f>HYPERLINK("http://www.cnpol.ru/covers/13465.jpg","фото на сайте")</f>
        <v>фото на сайте</v>
      </c>
    </row>
    <row r="2926" spans="1:19" ht="50.1" customHeight="1">
      <c r="A2926" s="31"/>
      <c r="B2926" s="32" t="s">
        <v>11135</v>
      </c>
      <c r="C2926" s="31" t="s">
        <v>126</v>
      </c>
      <c r="D2926" s="31" t="s">
        <v>3340</v>
      </c>
      <c r="E2926" s="31" t="s">
        <v>11136</v>
      </c>
      <c r="F2926" s="31" t="s">
        <v>31</v>
      </c>
      <c r="G2926" s="31">
        <v>162</v>
      </c>
      <c r="H2926" s="31">
        <v>10</v>
      </c>
      <c r="I2926" s="31">
        <v>32</v>
      </c>
      <c r="J2926" s="31" t="s">
        <v>11137</v>
      </c>
      <c r="K2926" s="31" t="s">
        <v>130</v>
      </c>
      <c r="L2926" s="31" t="s">
        <v>56</v>
      </c>
      <c r="M2926" s="31">
        <v>159</v>
      </c>
      <c r="N2926" s="31">
        <v>2014</v>
      </c>
      <c r="O2926" s="31">
        <v>104</v>
      </c>
      <c r="P2926" s="31"/>
      <c r="Q2926" s="31"/>
      <c r="R2926" s="33"/>
      <c r="S2926" s="34" t="str">
        <f>HYPERLINK("http://www.cnpol.ru/covers/15480.jpg","фото на сайте")</f>
        <v>фото на сайте</v>
      </c>
    </row>
    <row r="2927" spans="1:19" ht="50.1" customHeight="1">
      <c r="A2927" s="31"/>
      <c r="B2927" s="32" t="s">
        <v>11138</v>
      </c>
      <c r="C2927" s="31" t="s">
        <v>385</v>
      </c>
      <c r="D2927" s="31" t="s">
        <v>386</v>
      </c>
      <c r="E2927" s="31" t="s">
        <v>11139</v>
      </c>
      <c r="F2927" s="31" t="s">
        <v>31</v>
      </c>
      <c r="G2927" s="31">
        <v>162</v>
      </c>
      <c r="H2927" s="31">
        <v>10</v>
      </c>
      <c r="I2927" s="31">
        <v>24</v>
      </c>
      <c r="J2927" s="31" t="s">
        <v>11140</v>
      </c>
      <c r="K2927" s="31" t="s">
        <v>55</v>
      </c>
      <c r="L2927" s="31" t="s">
        <v>56</v>
      </c>
      <c r="M2927" s="31">
        <v>252</v>
      </c>
      <c r="N2927" s="31">
        <v>2012</v>
      </c>
      <c r="O2927" s="31">
        <v>100</v>
      </c>
      <c r="P2927" s="31"/>
      <c r="Q2927" s="31"/>
      <c r="R2927" s="33"/>
      <c r="S2927" s="34" t="str">
        <f>HYPERLINK("http://www.cnpol.ru/covers/13675.jpg","фото на сайте")</f>
        <v>фото на сайте</v>
      </c>
    </row>
    <row r="2928" spans="1:19" ht="50.1" customHeight="1">
      <c r="A2928" s="31"/>
      <c r="B2928" s="32" t="s">
        <v>11141</v>
      </c>
      <c r="C2928" s="31" t="s">
        <v>385</v>
      </c>
      <c r="D2928" s="31" t="s">
        <v>386</v>
      </c>
      <c r="E2928" s="31" t="s">
        <v>11139</v>
      </c>
      <c r="F2928" s="31" t="s">
        <v>31</v>
      </c>
      <c r="G2928" s="31">
        <v>162</v>
      </c>
      <c r="H2928" s="31">
        <v>10</v>
      </c>
      <c r="I2928" s="31">
        <v>32</v>
      </c>
      <c r="J2928" s="31" t="s">
        <v>11142</v>
      </c>
      <c r="K2928" s="31" t="s">
        <v>55</v>
      </c>
      <c r="L2928" s="31" t="s">
        <v>56</v>
      </c>
      <c r="M2928" s="31">
        <v>250</v>
      </c>
      <c r="N2928" s="31">
        <v>2016</v>
      </c>
      <c r="O2928" s="31">
        <v>100</v>
      </c>
      <c r="P2928" s="31"/>
      <c r="Q2928" s="31"/>
      <c r="R2928" s="33"/>
      <c r="S2928" s="34" t="str">
        <f>HYPERLINK("http://www.cnpol.ru/covers/0107.jpg","фото на сайте")</f>
        <v>фото на сайте</v>
      </c>
    </row>
    <row r="2929" spans="1:19" ht="50.1" customHeight="1">
      <c r="A2929" s="31"/>
      <c r="B2929" s="32" t="s">
        <v>11143</v>
      </c>
      <c r="C2929" s="31" t="s">
        <v>413</v>
      </c>
      <c r="D2929" s="31" t="s">
        <v>4721</v>
      </c>
      <c r="E2929" s="31" t="s">
        <v>11144</v>
      </c>
      <c r="F2929" s="31">
        <v>92</v>
      </c>
      <c r="G2929" s="31">
        <v>117</v>
      </c>
      <c r="H2929" s="31">
        <v>10</v>
      </c>
      <c r="I2929" s="31">
        <v>36</v>
      </c>
      <c r="J2929" s="31" t="s">
        <v>11145</v>
      </c>
      <c r="K2929" s="31" t="s">
        <v>123</v>
      </c>
      <c r="L2929" s="31" t="s">
        <v>56</v>
      </c>
      <c r="M2929" s="31">
        <v>192</v>
      </c>
      <c r="N2929" s="31">
        <v>2016</v>
      </c>
      <c r="O2929" s="31">
        <v>90</v>
      </c>
      <c r="P2929" s="31"/>
      <c r="Q2929" s="31"/>
      <c r="R2929" s="33"/>
      <c r="S2929" s="34" t="str">
        <f>HYPERLINK("http://www.cnpol.ru/covers/16575.jpg","фото на сайте")</f>
        <v>фото на сайте</v>
      </c>
    </row>
    <row r="2930" spans="1:19" ht="50.1" customHeight="1">
      <c r="A2930" s="31"/>
      <c r="B2930" s="32" t="s">
        <v>11146</v>
      </c>
      <c r="C2930" s="31" t="s">
        <v>302</v>
      </c>
      <c r="D2930" s="31" t="s">
        <v>5115</v>
      </c>
      <c r="E2930" s="31" t="s">
        <v>11147</v>
      </c>
      <c r="F2930" s="31" t="s">
        <v>31</v>
      </c>
      <c r="G2930" s="31">
        <v>917</v>
      </c>
      <c r="H2930" s="31">
        <v>10</v>
      </c>
      <c r="I2930" s="31">
        <v>16</v>
      </c>
      <c r="J2930" s="31" t="s">
        <v>11148</v>
      </c>
      <c r="K2930" s="31" t="s">
        <v>41</v>
      </c>
      <c r="L2930" s="31" t="s">
        <v>304</v>
      </c>
      <c r="M2930" s="31">
        <v>256</v>
      </c>
      <c r="N2930" s="31">
        <v>2020</v>
      </c>
      <c r="O2930" s="31">
        <v>368</v>
      </c>
      <c r="P2930" s="31"/>
      <c r="Q2930" s="31"/>
      <c r="R2930" s="33"/>
      <c r="S2930" s="34" t="str">
        <f>HYPERLINK("http://www.cnpol.ru/covers/19508.jpg","фото на сайте")</f>
        <v>фото на сайте</v>
      </c>
    </row>
    <row r="2931" spans="1:19" ht="50.1" customHeight="1">
      <c r="A2931" s="31" t="s">
        <v>35</v>
      </c>
      <c r="B2931" s="32" t="s">
        <v>11149</v>
      </c>
      <c r="C2931" s="31" t="s">
        <v>297</v>
      </c>
      <c r="D2931" s="31" t="s">
        <v>5115</v>
      </c>
      <c r="E2931" s="31" t="s">
        <v>11147</v>
      </c>
      <c r="F2931" s="31" t="s">
        <v>31</v>
      </c>
      <c r="G2931" s="31">
        <v>300</v>
      </c>
      <c r="H2931" s="31">
        <v>10</v>
      </c>
      <c r="I2931" s="31">
        <v>30</v>
      </c>
      <c r="J2931" s="31" t="s">
        <v>11150</v>
      </c>
      <c r="K2931" s="31" t="s">
        <v>300</v>
      </c>
      <c r="L2931" s="31" t="s">
        <v>56</v>
      </c>
      <c r="M2931" s="31">
        <v>222</v>
      </c>
      <c r="N2931" s="31">
        <v>2025</v>
      </c>
      <c r="O2931" s="31" t="s">
        <v>220</v>
      </c>
      <c r="P2931" s="31"/>
      <c r="Q2931" s="31"/>
      <c r="R2931" s="33" t="s">
        <v>11151</v>
      </c>
      <c r="S2931" s="34" t="str">
        <f>HYPERLINK("http://www.cnpol.ru/covers/21779.jpg","фото на сайте")</f>
        <v>фото на сайте</v>
      </c>
    </row>
    <row r="2932" spans="1:19" ht="50.1" customHeight="1">
      <c r="A2932" s="31"/>
      <c r="B2932" s="32" t="s">
        <v>11152</v>
      </c>
      <c r="C2932" s="31" t="s">
        <v>11153</v>
      </c>
      <c r="D2932" s="31" t="s">
        <v>1722</v>
      </c>
      <c r="E2932" s="31" t="s">
        <v>11154</v>
      </c>
      <c r="F2932" s="31" t="s">
        <v>31</v>
      </c>
      <c r="G2932" s="31">
        <v>155</v>
      </c>
      <c r="H2932" s="31">
        <v>10</v>
      </c>
      <c r="I2932" s="31">
        <v>56</v>
      </c>
      <c r="J2932" s="31" t="s">
        <v>11155</v>
      </c>
      <c r="K2932" s="31" t="s">
        <v>1725</v>
      </c>
      <c r="L2932" s="31" t="s">
        <v>1726</v>
      </c>
      <c r="M2932" s="31">
        <v>16</v>
      </c>
      <c r="N2932" s="31">
        <v>2008</v>
      </c>
      <c r="O2932" s="31">
        <v>122</v>
      </c>
      <c r="P2932" s="31"/>
      <c r="Q2932" s="31"/>
      <c r="R2932" s="33"/>
      <c r="S2932" s="34" t="str">
        <f>HYPERLINK("http://www.cnpol.ru/covers/7305.jpg","фото на сайте")</f>
        <v>фото на сайте</v>
      </c>
    </row>
    <row r="2933" spans="1:19" ht="50.1" customHeight="1">
      <c r="A2933" s="31"/>
      <c r="B2933" s="32" t="s">
        <v>11156</v>
      </c>
      <c r="C2933" s="31" t="s">
        <v>1373</v>
      </c>
      <c r="D2933" s="31" t="s">
        <v>11157</v>
      </c>
      <c r="E2933" s="31" t="s">
        <v>11158</v>
      </c>
      <c r="F2933" s="31" t="s">
        <v>31</v>
      </c>
      <c r="G2933" s="31">
        <v>389</v>
      </c>
      <c r="H2933" s="31">
        <v>10</v>
      </c>
      <c r="I2933" s="31">
        <v>12</v>
      </c>
      <c r="J2933" s="31" t="s">
        <v>11159</v>
      </c>
      <c r="K2933" s="31" t="s">
        <v>1377</v>
      </c>
      <c r="L2933" s="31" t="s">
        <v>34</v>
      </c>
      <c r="M2933" s="31">
        <v>557</v>
      </c>
      <c r="N2933" s="31">
        <v>2002</v>
      </c>
      <c r="O2933" s="31">
        <v>412</v>
      </c>
      <c r="P2933" s="31"/>
      <c r="Q2933" s="31"/>
      <c r="R2933" s="33"/>
      <c r="S2933" s="34" t="str">
        <f>HYPERLINK("http://www.cnpol.ru/covers/3184.jpg","фото на сайте")</f>
        <v>фото на сайте</v>
      </c>
    </row>
    <row r="2934" spans="1:19" ht="50.1" customHeight="1">
      <c r="A2934" s="31"/>
      <c r="B2934" s="32" t="s">
        <v>11160</v>
      </c>
      <c r="C2934" s="31" t="s">
        <v>413</v>
      </c>
      <c r="D2934" s="31" t="s">
        <v>8716</v>
      </c>
      <c r="E2934" s="31" t="s">
        <v>11161</v>
      </c>
      <c r="F2934" s="31">
        <v>131</v>
      </c>
      <c r="G2934" s="31">
        <v>117</v>
      </c>
      <c r="H2934" s="31">
        <v>10</v>
      </c>
      <c r="I2934" s="31">
        <v>36</v>
      </c>
      <c r="J2934" s="31" t="s">
        <v>11162</v>
      </c>
      <c r="K2934" s="31" t="s">
        <v>123</v>
      </c>
      <c r="L2934" s="31" t="s">
        <v>56</v>
      </c>
      <c r="M2934" s="31">
        <v>192</v>
      </c>
      <c r="N2934" s="31">
        <v>2016</v>
      </c>
      <c r="O2934" s="31">
        <v>90</v>
      </c>
      <c r="P2934" s="31"/>
      <c r="Q2934" s="31"/>
      <c r="R2934" s="33"/>
      <c r="S2934" s="34" t="str">
        <f>HYPERLINK("http://www.cnpol.ru/covers/17143.jpg","фото на сайте")</f>
        <v>фото на сайте</v>
      </c>
    </row>
    <row r="2935" spans="1:19" ht="50.1" customHeight="1">
      <c r="A2935" s="31"/>
      <c r="B2935" s="32" t="s">
        <v>11163</v>
      </c>
      <c r="C2935" s="31" t="s">
        <v>390</v>
      </c>
      <c r="D2935" s="31" t="s">
        <v>2511</v>
      </c>
      <c r="E2935" s="31" t="s">
        <v>11164</v>
      </c>
      <c r="F2935" s="31">
        <v>412</v>
      </c>
      <c r="G2935" s="31">
        <v>86</v>
      </c>
      <c r="H2935" s="31">
        <v>10</v>
      </c>
      <c r="I2935" s="31">
        <v>30</v>
      </c>
      <c r="J2935" s="31" t="s">
        <v>11165</v>
      </c>
      <c r="K2935" s="31" t="s">
        <v>123</v>
      </c>
      <c r="L2935" s="31" t="s">
        <v>56</v>
      </c>
      <c r="M2935" s="31">
        <v>158</v>
      </c>
      <c r="N2935" s="31">
        <v>2014</v>
      </c>
      <c r="O2935" s="31">
        <v>76</v>
      </c>
      <c r="P2935" s="31"/>
      <c r="Q2935" s="31"/>
      <c r="R2935" s="33"/>
      <c r="S2935" s="34" t="str">
        <f>HYPERLINK("http://www.cnpol.ru/covers/15201.jpg","фото на сайте")</f>
        <v>фото на сайте</v>
      </c>
    </row>
    <row r="2936" spans="1:19" ht="50.1" customHeight="1">
      <c r="A2936" s="31"/>
      <c r="B2936" s="32" t="s">
        <v>11166</v>
      </c>
      <c r="C2936" s="31" t="s">
        <v>546</v>
      </c>
      <c r="D2936" s="31" t="s">
        <v>11167</v>
      </c>
      <c r="E2936" s="31" t="s">
        <v>11168</v>
      </c>
      <c r="F2936" s="31">
        <v>184</v>
      </c>
      <c r="G2936" s="31">
        <v>93</v>
      </c>
      <c r="H2936" s="31">
        <v>10</v>
      </c>
      <c r="I2936" s="31">
        <v>30</v>
      </c>
      <c r="J2936" s="31" t="s">
        <v>11169</v>
      </c>
      <c r="K2936" s="31" t="s">
        <v>123</v>
      </c>
      <c r="L2936" s="31" t="s">
        <v>56</v>
      </c>
      <c r="M2936" s="31">
        <v>158</v>
      </c>
      <c r="N2936" s="31">
        <v>2016</v>
      </c>
      <c r="O2936" s="31">
        <v>72</v>
      </c>
      <c r="P2936" s="31"/>
      <c r="Q2936" s="31"/>
      <c r="R2936" s="33"/>
      <c r="S2936" s="34" t="str">
        <f>HYPERLINK("http://www.cnpol.ru/covers/16978.jpg","фото на сайте")</f>
        <v>фото на сайте</v>
      </c>
    </row>
    <row r="2937" spans="1:19" ht="50.1" customHeight="1">
      <c r="A2937" s="31"/>
      <c r="B2937" s="32" t="s">
        <v>11170</v>
      </c>
      <c r="C2937" s="31" t="s">
        <v>413</v>
      </c>
      <c r="D2937" s="31" t="s">
        <v>6002</v>
      </c>
      <c r="E2937" s="31" t="s">
        <v>11171</v>
      </c>
      <c r="F2937" s="31">
        <v>174</v>
      </c>
      <c r="G2937" s="31">
        <v>117</v>
      </c>
      <c r="H2937" s="31">
        <v>10</v>
      </c>
      <c r="I2937" s="31">
        <v>30</v>
      </c>
      <c r="J2937" s="31" t="s">
        <v>11172</v>
      </c>
      <c r="K2937" s="31" t="s">
        <v>123</v>
      </c>
      <c r="L2937" s="31" t="s">
        <v>56</v>
      </c>
      <c r="M2937" s="31">
        <v>192</v>
      </c>
      <c r="N2937" s="31">
        <v>2020</v>
      </c>
      <c r="O2937" s="31">
        <v>90</v>
      </c>
      <c r="P2937" s="31"/>
      <c r="Q2937" s="31"/>
      <c r="R2937" s="33"/>
      <c r="S2937" s="34" t="str">
        <f>HYPERLINK("http://www.cnpol.ru/covers/19125.jpg","фото на сайте")</f>
        <v>фото на сайте</v>
      </c>
    </row>
    <row r="2938" spans="1:19" ht="50.1" customHeight="1">
      <c r="A2938" s="31"/>
      <c r="B2938" s="32" t="s">
        <v>11173</v>
      </c>
      <c r="C2938" s="31" t="s">
        <v>546</v>
      </c>
      <c r="D2938" s="31" t="s">
        <v>2177</v>
      </c>
      <c r="E2938" s="31" t="s">
        <v>11174</v>
      </c>
      <c r="F2938" s="31">
        <v>213</v>
      </c>
      <c r="G2938" s="31">
        <v>93</v>
      </c>
      <c r="H2938" s="31">
        <v>10</v>
      </c>
      <c r="I2938" s="31">
        <v>30</v>
      </c>
      <c r="J2938" s="31" t="s">
        <v>11175</v>
      </c>
      <c r="K2938" s="31" t="s">
        <v>123</v>
      </c>
      <c r="L2938" s="31" t="s">
        <v>56</v>
      </c>
      <c r="M2938" s="31">
        <v>160</v>
      </c>
      <c r="N2938" s="31">
        <v>2017</v>
      </c>
      <c r="O2938" s="31">
        <v>76</v>
      </c>
      <c r="P2938" s="31"/>
      <c r="Q2938" s="31"/>
      <c r="R2938" s="33"/>
      <c r="S2938" s="34" t="str">
        <f>HYPERLINK("http://www.cnpol.ru/covers/17397.jpg","фото на сайте")</f>
        <v>фото на сайте</v>
      </c>
    </row>
    <row r="2939" spans="1:19" ht="50.1" customHeight="1">
      <c r="A2939" s="31"/>
      <c r="B2939" s="32" t="s">
        <v>11176</v>
      </c>
      <c r="C2939" s="31" t="s">
        <v>390</v>
      </c>
      <c r="D2939" s="31" t="s">
        <v>859</v>
      </c>
      <c r="E2939" s="31" t="s">
        <v>11177</v>
      </c>
      <c r="F2939" s="31">
        <v>670</v>
      </c>
      <c r="G2939" s="31">
        <v>86</v>
      </c>
      <c r="H2939" s="31">
        <v>10</v>
      </c>
      <c r="I2939" s="31">
        <v>30</v>
      </c>
      <c r="J2939" s="31" t="s">
        <v>11178</v>
      </c>
      <c r="K2939" s="31" t="s">
        <v>123</v>
      </c>
      <c r="L2939" s="31" t="s">
        <v>56</v>
      </c>
      <c r="M2939" s="31">
        <v>160</v>
      </c>
      <c r="N2939" s="31">
        <v>2016</v>
      </c>
      <c r="O2939" s="31">
        <v>76</v>
      </c>
      <c r="P2939" s="31"/>
      <c r="Q2939" s="31"/>
      <c r="R2939" s="33"/>
      <c r="S2939" s="34" t="str">
        <f>HYPERLINK("http://www.cnpol.ru/covers/17154.jpg","фото на сайте")</f>
        <v>фото на сайте</v>
      </c>
    </row>
    <row r="2940" spans="1:19" ht="50.1" customHeight="1">
      <c r="A2940" s="31"/>
      <c r="B2940" s="32" t="s">
        <v>11179</v>
      </c>
      <c r="C2940" s="31" t="s">
        <v>546</v>
      </c>
      <c r="D2940" s="31" t="s">
        <v>4094</v>
      </c>
      <c r="E2940" s="31" t="s">
        <v>11180</v>
      </c>
      <c r="F2940" s="31">
        <v>435</v>
      </c>
      <c r="G2940" s="31">
        <v>93</v>
      </c>
      <c r="H2940" s="31">
        <v>10</v>
      </c>
      <c r="I2940" s="31">
        <v>30</v>
      </c>
      <c r="J2940" s="31" t="s">
        <v>11181</v>
      </c>
      <c r="K2940" s="31" t="s">
        <v>123</v>
      </c>
      <c r="L2940" s="31" t="s">
        <v>56</v>
      </c>
      <c r="M2940" s="31">
        <v>159</v>
      </c>
      <c r="N2940" s="31">
        <v>2023</v>
      </c>
      <c r="O2940" s="31">
        <v>76</v>
      </c>
      <c r="P2940" s="31"/>
      <c r="Q2940" s="31"/>
      <c r="R2940" s="33" t="s">
        <v>11182</v>
      </c>
      <c r="S2940" s="34" t="str">
        <f>HYPERLINK("http://www.cnpol.ru/covers/20852.jpg","фото на сайте")</f>
        <v>фото на сайте</v>
      </c>
    </row>
    <row r="2941" spans="1:19" ht="50.1" customHeight="1">
      <c r="A2941" s="31" t="s">
        <v>35</v>
      </c>
      <c r="B2941" s="32" t="s">
        <v>11183</v>
      </c>
      <c r="C2941" s="31" t="s">
        <v>37</v>
      </c>
      <c r="D2941" s="31" t="s">
        <v>11184</v>
      </c>
      <c r="E2941" s="31" t="s">
        <v>11185</v>
      </c>
      <c r="F2941" s="31" t="s">
        <v>31</v>
      </c>
      <c r="G2941" s="31">
        <v>985</v>
      </c>
      <c r="H2941" s="31">
        <v>10</v>
      </c>
      <c r="I2941" s="31">
        <v>5</v>
      </c>
      <c r="J2941" s="31" t="s">
        <v>11186</v>
      </c>
      <c r="K2941" s="31" t="s">
        <v>33</v>
      </c>
      <c r="L2941" s="31" t="s">
        <v>34</v>
      </c>
      <c r="M2941" s="31">
        <v>350</v>
      </c>
      <c r="N2941" s="31">
        <v>2025</v>
      </c>
      <c r="O2941" s="31">
        <v>340</v>
      </c>
      <c r="P2941" s="31"/>
      <c r="Q2941" s="31"/>
      <c r="R2941" s="33" t="s">
        <v>11187</v>
      </c>
      <c r="S2941" s="34" t="str">
        <f>HYPERLINK("http://www.cnpol.ru/covers/21693.jpg","фото на сайте")</f>
        <v>фото на сайте</v>
      </c>
    </row>
    <row r="2942" spans="1:19" ht="50.1" customHeight="1">
      <c r="A2942" s="31"/>
      <c r="B2942" s="32" t="s">
        <v>11188</v>
      </c>
      <c r="C2942" s="31" t="s">
        <v>45</v>
      </c>
      <c r="D2942" s="31" t="s">
        <v>11189</v>
      </c>
      <c r="E2942" s="31" t="s">
        <v>11190</v>
      </c>
      <c r="F2942" s="31" t="s">
        <v>31</v>
      </c>
      <c r="G2942" s="31">
        <v>791</v>
      </c>
      <c r="H2942" s="31">
        <v>10</v>
      </c>
      <c r="I2942" s="31">
        <v>8</v>
      </c>
      <c r="J2942" s="31" t="s">
        <v>11191</v>
      </c>
      <c r="K2942" s="31" t="s">
        <v>1938</v>
      </c>
      <c r="L2942" s="31" t="s">
        <v>34</v>
      </c>
      <c r="M2942" s="31">
        <v>607</v>
      </c>
      <c r="N2942" s="31">
        <v>2014</v>
      </c>
      <c r="O2942" s="31">
        <v>560</v>
      </c>
      <c r="P2942" s="31"/>
      <c r="Q2942" s="31"/>
      <c r="R2942" s="33"/>
      <c r="S2942" s="34" t="str">
        <f>HYPERLINK("http://www.cnpol.ru/covers/15686.jpg","фото на сайте")</f>
        <v>фото на сайте</v>
      </c>
    </row>
    <row r="2943" spans="1:19" ht="50.1" customHeight="1">
      <c r="A2943" s="31"/>
      <c r="B2943" s="32" t="s">
        <v>11192</v>
      </c>
      <c r="C2943" s="31" t="s">
        <v>206</v>
      </c>
      <c r="D2943" s="31" t="s">
        <v>11193</v>
      </c>
      <c r="E2943" s="31" t="s">
        <v>11194</v>
      </c>
      <c r="F2943" s="31" t="s">
        <v>31</v>
      </c>
      <c r="G2943" s="31">
        <v>321</v>
      </c>
      <c r="H2943" s="31">
        <v>10</v>
      </c>
      <c r="I2943" s="31">
        <v>16</v>
      </c>
      <c r="J2943" s="31" t="s">
        <v>11195</v>
      </c>
      <c r="K2943" s="31" t="s">
        <v>123</v>
      </c>
      <c r="L2943" s="31" t="s">
        <v>210</v>
      </c>
      <c r="M2943" s="31">
        <v>238</v>
      </c>
      <c r="N2943" s="31">
        <v>2007</v>
      </c>
      <c r="O2943" s="31">
        <v>170</v>
      </c>
      <c r="P2943" s="31"/>
      <c r="Q2943" s="31"/>
      <c r="R2943" s="33"/>
      <c r="S2943" s="34" t="str">
        <f>HYPERLINK("http://www.cnpol.ru/covers/7283.jpg","фото на сайте")</f>
        <v>фото на сайте</v>
      </c>
    </row>
    <row r="2944" spans="1:19" ht="50.1" customHeight="1">
      <c r="A2944" s="31"/>
      <c r="B2944" s="32" t="s">
        <v>11196</v>
      </c>
      <c r="C2944" s="31" t="s">
        <v>297</v>
      </c>
      <c r="D2944" s="31" t="s">
        <v>11197</v>
      </c>
      <c r="E2944" s="31" t="s">
        <v>11198</v>
      </c>
      <c r="F2944" s="31" t="s">
        <v>31</v>
      </c>
      <c r="G2944" s="31">
        <v>300</v>
      </c>
      <c r="H2944" s="31">
        <v>10</v>
      </c>
      <c r="I2944" s="31">
        <v>14</v>
      </c>
      <c r="J2944" s="31" t="s">
        <v>11199</v>
      </c>
      <c r="K2944" s="31" t="s">
        <v>300</v>
      </c>
      <c r="L2944" s="31" t="s">
        <v>56</v>
      </c>
      <c r="M2944" s="31">
        <v>448</v>
      </c>
      <c r="N2944" s="31">
        <v>2017</v>
      </c>
      <c r="O2944" s="31">
        <v>220</v>
      </c>
      <c r="P2944" s="31"/>
      <c r="Q2944" s="31"/>
      <c r="R2944" s="33"/>
      <c r="S2944" s="34" t="str">
        <f>HYPERLINK("http://www.cnpol.ru/covers/17614.jpg","фото на сайте")</f>
        <v>фото на сайте</v>
      </c>
    </row>
    <row r="2945" spans="1:19" ht="50.1" customHeight="1">
      <c r="A2945" s="31"/>
      <c r="B2945" s="32" t="s">
        <v>11200</v>
      </c>
      <c r="C2945" s="31" t="s">
        <v>2631</v>
      </c>
      <c r="D2945" s="31" t="s">
        <v>11201</v>
      </c>
      <c r="E2945" s="31" t="s">
        <v>11202</v>
      </c>
      <c r="F2945" s="31" t="s">
        <v>31</v>
      </c>
      <c r="G2945" s="35">
        <v>1095</v>
      </c>
      <c r="H2945" s="31">
        <v>10</v>
      </c>
      <c r="I2945" s="31">
        <v>10</v>
      </c>
      <c r="J2945" s="31" t="s">
        <v>11203</v>
      </c>
      <c r="K2945" s="31" t="s">
        <v>41</v>
      </c>
      <c r="L2945" s="31" t="s">
        <v>34</v>
      </c>
      <c r="M2945" s="31">
        <v>528</v>
      </c>
      <c r="N2945" s="31">
        <v>2015</v>
      </c>
      <c r="O2945" s="31">
        <v>620</v>
      </c>
      <c r="P2945" s="31"/>
      <c r="Q2945" s="31"/>
      <c r="R2945" s="33"/>
      <c r="S2945" s="34" t="str">
        <f>HYPERLINK("http://www.cnpol.ru/covers/16319.jpg","фото на сайте")</f>
        <v>фото на сайте</v>
      </c>
    </row>
    <row r="2946" spans="1:19" ht="50.1" customHeight="1">
      <c r="A2946" s="31"/>
      <c r="B2946" s="32" t="s">
        <v>11204</v>
      </c>
      <c r="C2946" s="31" t="s">
        <v>45</v>
      </c>
      <c r="D2946" s="31" t="s">
        <v>6933</v>
      </c>
      <c r="E2946" s="31" t="s">
        <v>11205</v>
      </c>
      <c r="F2946" s="31" t="s">
        <v>31</v>
      </c>
      <c r="G2946" s="35">
        <v>1344</v>
      </c>
      <c r="H2946" s="31">
        <v>10</v>
      </c>
      <c r="I2946" s="31">
        <v>5</v>
      </c>
      <c r="J2946" s="31" t="s">
        <v>11206</v>
      </c>
      <c r="K2946" s="31" t="s">
        <v>147</v>
      </c>
      <c r="L2946" s="31" t="s">
        <v>34</v>
      </c>
      <c r="M2946" s="31">
        <v>415</v>
      </c>
      <c r="N2946" s="31">
        <v>2023</v>
      </c>
      <c r="O2946" s="31">
        <v>792</v>
      </c>
      <c r="P2946" s="31"/>
      <c r="Q2946" s="31"/>
      <c r="R2946" s="33" t="s">
        <v>11207</v>
      </c>
      <c r="S2946" s="34" t="str">
        <f>HYPERLINK("http://www.cnpol.ru/covers/20788.jpg","фото на сайте")</f>
        <v>фото на сайте</v>
      </c>
    </row>
    <row r="2947" spans="1:19" ht="50.1" customHeight="1">
      <c r="A2947" s="31"/>
      <c r="B2947" s="32" t="s">
        <v>11208</v>
      </c>
      <c r="C2947" s="31" t="s">
        <v>1668</v>
      </c>
      <c r="D2947" s="31" t="s">
        <v>1669</v>
      </c>
      <c r="E2947" s="31" t="s">
        <v>11209</v>
      </c>
      <c r="F2947" s="31" t="s">
        <v>31</v>
      </c>
      <c r="G2947" s="31">
        <v>575</v>
      </c>
      <c r="H2947" s="31">
        <v>10</v>
      </c>
      <c r="I2947" s="31">
        <v>12</v>
      </c>
      <c r="J2947" s="31" t="s">
        <v>11210</v>
      </c>
      <c r="K2947" s="31" t="s">
        <v>1159</v>
      </c>
      <c r="L2947" s="31" t="s">
        <v>34</v>
      </c>
      <c r="M2947" s="31">
        <v>351</v>
      </c>
      <c r="N2947" s="31">
        <v>2023</v>
      </c>
      <c r="O2947" s="31">
        <v>350</v>
      </c>
      <c r="P2947" s="31"/>
      <c r="Q2947" s="31"/>
      <c r="R2947" s="33" t="s">
        <v>11211</v>
      </c>
      <c r="S2947" s="34" t="str">
        <f>HYPERLINK("http://www.cnpol.ru/covers/20505.jpg","фото на сайте")</f>
        <v>фото на сайте</v>
      </c>
    </row>
    <row r="2948" spans="1:19" ht="50.1" customHeight="1">
      <c r="A2948" s="31" t="s">
        <v>43</v>
      </c>
      <c r="B2948" s="32" t="s">
        <v>11212</v>
      </c>
      <c r="C2948" s="31" t="s">
        <v>171</v>
      </c>
      <c r="D2948" s="31" t="s">
        <v>172</v>
      </c>
      <c r="E2948" s="31" t="s">
        <v>11213</v>
      </c>
      <c r="F2948" s="31" t="s">
        <v>31</v>
      </c>
      <c r="G2948" s="35">
        <v>1649</v>
      </c>
      <c r="H2948" s="31">
        <v>10</v>
      </c>
      <c r="I2948" s="31">
        <v>5</v>
      </c>
      <c r="J2948" s="31" t="s">
        <v>11214</v>
      </c>
      <c r="K2948" s="31" t="s">
        <v>41</v>
      </c>
      <c r="L2948" s="31" t="s">
        <v>34</v>
      </c>
      <c r="M2948" s="31">
        <v>623</v>
      </c>
      <c r="N2948" s="31">
        <v>2024</v>
      </c>
      <c r="O2948" s="31">
        <v>725</v>
      </c>
      <c r="P2948" s="31"/>
      <c r="Q2948" s="31"/>
      <c r="R2948" s="33" t="s">
        <v>11215</v>
      </c>
      <c r="S2948" s="34" t="str">
        <f>HYPERLINK("http://www.cnpol.ru/covers/21088.jpg","фото на сайте")</f>
        <v>фото на сайте</v>
      </c>
    </row>
    <row r="2949" spans="1:19" ht="50.1" customHeight="1">
      <c r="A2949" s="31"/>
      <c r="B2949" s="32" t="s">
        <v>11216</v>
      </c>
      <c r="C2949" s="31" t="s">
        <v>380</v>
      </c>
      <c r="D2949" s="31" t="s">
        <v>5406</v>
      </c>
      <c r="E2949" s="31" t="s">
        <v>11217</v>
      </c>
      <c r="F2949" s="31" t="s">
        <v>31</v>
      </c>
      <c r="G2949" s="31">
        <v>988</v>
      </c>
      <c r="H2949" s="31">
        <v>10</v>
      </c>
      <c r="I2949" s="31">
        <v>12</v>
      </c>
      <c r="J2949" s="31" t="s">
        <v>11218</v>
      </c>
      <c r="K2949" s="31" t="s">
        <v>41</v>
      </c>
      <c r="L2949" s="31" t="s">
        <v>304</v>
      </c>
      <c r="M2949" s="31">
        <v>352</v>
      </c>
      <c r="N2949" s="31">
        <v>2018</v>
      </c>
      <c r="O2949" s="31">
        <v>486</v>
      </c>
      <c r="P2949" s="31"/>
      <c r="Q2949" s="31"/>
      <c r="R2949" s="33"/>
      <c r="S2949" s="34" t="str">
        <f>HYPERLINK("http://www.cnpol.ru/covers/18262.jpg","фото на сайте")</f>
        <v>фото на сайте</v>
      </c>
    </row>
    <row r="2950" spans="1:19" ht="50.1" customHeight="1">
      <c r="A2950" s="31"/>
      <c r="B2950" s="32" t="s">
        <v>11219</v>
      </c>
      <c r="C2950" s="31" t="s">
        <v>37</v>
      </c>
      <c r="D2950" s="31" t="s">
        <v>11220</v>
      </c>
      <c r="E2950" s="31" t="s">
        <v>11221</v>
      </c>
      <c r="F2950" s="31" t="s">
        <v>31</v>
      </c>
      <c r="G2950" s="35">
        <v>1221</v>
      </c>
      <c r="H2950" s="31">
        <v>10</v>
      </c>
      <c r="I2950" s="31">
        <v>6</v>
      </c>
      <c r="J2950" s="31" t="s">
        <v>11222</v>
      </c>
      <c r="K2950" s="31" t="s">
        <v>41</v>
      </c>
      <c r="L2950" s="31" t="s">
        <v>34</v>
      </c>
      <c r="M2950" s="31">
        <v>943</v>
      </c>
      <c r="N2950" s="31">
        <v>2023</v>
      </c>
      <c r="O2950" s="31">
        <v>850</v>
      </c>
      <c r="P2950" s="31"/>
      <c r="Q2950" s="31"/>
      <c r="R2950" s="33" t="s">
        <v>11223</v>
      </c>
      <c r="S2950" s="34" t="str">
        <f>HYPERLINK("http://www.cnpol.ru/covers/20523.jpg","фото на сайте")</f>
        <v>фото на сайте</v>
      </c>
    </row>
    <row r="2951" spans="1:19" ht="50.1" customHeight="1">
      <c r="A2951" s="31" t="s">
        <v>35</v>
      </c>
      <c r="B2951" s="32" t="s">
        <v>11224</v>
      </c>
      <c r="C2951" s="31" t="s">
        <v>2631</v>
      </c>
      <c r="D2951" s="31" t="s">
        <v>9354</v>
      </c>
      <c r="E2951" s="31" t="s">
        <v>11225</v>
      </c>
      <c r="F2951" s="31" t="s">
        <v>31</v>
      </c>
      <c r="G2951" s="35">
        <v>2083</v>
      </c>
      <c r="H2951" s="31">
        <v>10</v>
      </c>
      <c r="I2951" s="31">
        <v>4</v>
      </c>
      <c r="J2951" s="31" t="s">
        <v>11226</v>
      </c>
      <c r="K2951" s="31" t="s">
        <v>147</v>
      </c>
      <c r="L2951" s="31" t="s">
        <v>34</v>
      </c>
      <c r="M2951" s="31">
        <v>687</v>
      </c>
      <c r="N2951" s="31">
        <v>2025</v>
      </c>
      <c r="O2951" s="31" t="s">
        <v>220</v>
      </c>
      <c r="P2951" s="31"/>
      <c r="Q2951" s="31"/>
      <c r="R2951" s="33" t="s">
        <v>11227</v>
      </c>
      <c r="S2951" s="34" t="str">
        <f>HYPERLINK("http://www.cnpol.ru/covers/21591.jpg","фото на сайте")</f>
        <v>фото на сайте</v>
      </c>
    </row>
    <row r="2952" spans="1:19" ht="50.1" customHeight="1">
      <c r="A2952" s="31"/>
      <c r="B2952" s="32" t="s">
        <v>11228</v>
      </c>
      <c r="C2952" s="31" t="s">
        <v>1781</v>
      </c>
      <c r="D2952" s="31" t="s">
        <v>11229</v>
      </c>
      <c r="E2952" s="31" t="s">
        <v>11230</v>
      </c>
      <c r="F2952" s="31" t="s">
        <v>31</v>
      </c>
      <c r="G2952" s="31">
        <v>559</v>
      </c>
      <c r="H2952" s="31">
        <v>10</v>
      </c>
      <c r="I2952" s="31">
        <v>14</v>
      </c>
      <c r="J2952" s="31" t="s">
        <v>11231</v>
      </c>
      <c r="K2952" s="31" t="s">
        <v>33</v>
      </c>
      <c r="L2952" s="31" t="s">
        <v>34</v>
      </c>
      <c r="M2952" s="31">
        <v>480</v>
      </c>
      <c r="N2952" s="31">
        <v>2017</v>
      </c>
      <c r="O2952" s="31">
        <v>396</v>
      </c>
      <c r="P2952" s="31"/>
      <c r="Q2952" s="31"/>
      <c r="R2952" s="33"/>
      <c r="S2952" s="34" t="str">
        <f>HYPERLINK("http://www.cnpol.ru/covers/17417.jpg","фото на сайте")</f>
        <v>фото на сайте</v>
      </c>
    </row>
    <row r="2953" spans="1:19" ht="50.1" customHeight="1">
      <c r="A2953" s="31"/>
      <c r="B2953" s="32" t="s">
        <v>11232</v>
      </c>
      <c r="C2953" s="31" t="s">
        <v>1781</v>
      </c>
      <c r="D2953" s="31" t="s">
        <v>11233</v>
      </c>
      <c r="E2953" s="31" t="s">
        <v>11234</v>
      </c>
      <c r="F2953" s="31" t="s">
        <v>31</v>
      </c>
      <c r="G2953" s="31">
        <v>559</v>
      </c>
      <c r="H2953" s="31">
        <v>10</v>
      </c>
      <c r="I2953" s="31">
        <v>10</v>
      </c>
      <c r="J2953" s="31" t="s">
        <v>11235</v>
      </c>
      <c r="K2953" s="31" t="s">
        <v>33</v>
      </c>
      <c r="L2953" s="31" t="s">
        <v>34</v>
      </c>
      <c r="M2953" s="31">
        <v>480</v>
      </c>
      <c r="N2953" s="31">
        <v>2017</v>
      </c>
      <c r="O2953" s="31">
        <v>378</v>
      </c>
      <c r="P2953" s="31"/>
      <c r="Q2953" s="31"/>
      <c r="R2953" s="33"/>
      <c r="S2953" s="34" t="str">
        <f>HYPERLINK("http://www.cnpol.ru/covers/17793.jpg","фото на сайте")</f>
        <v>фото на сайте</v>
      </c>
    </row>
    <row r="2954" spans="1:19" ht="50.1" customHeight="1">
      <c r="A2954" s="31" t="s">
        <v>35</v>
      </c>
      <c r="B2954" s="32" t="s">
        <v>11236</v>
      </c>
      <c r="C2954" s="31" t="s">
        <v>380</v>
      </c>
      <c r="D2954" s="31" t="s">
        <v>11237</v>
      </c>
      <c r="E2954" s="31" t="s">
        <v>11238</v>
      </c>
      <c r="F2954" s="31" t="s">
        <v>31</v>
      </c>
      <c r="G2954" s="35">
        <v>1649</v>
      </c>
      <c r="H2954" s="31">
        <v>10</v>
      </c>
      <c r="I2954" s="31">
        <v>8</v>
      </c>
      <c r="J2954" s="31" t="s">
        <v>11239</v>
      </c>
      <c r="K2954" s="31" t="s">
        <v>41</v>
      </c>
      <c r="L2954" s="31" t="s">
        <v>304</v>
      </c>
      <c r="M2954" s="31">
        <v>671</v>
      </c>
      <c r="N2954" s="31">
        <v>2024</v>
      </c>
      <c r="O2954" s="31">
        <v>478</v>
      </c>
      <c r="P2954" s="31"/>
      <c r="Q2954" s="31"/>
      <c r="R2954" s="33" t="s">
        <v>11240</v>
      </c>
      <c r="S2954" s="34" t="str">
        <f>HYPERLINK("http://www.cnpol.ru/covers/21340.jpg","фото на сайте")</f>
        <v>фото на сайте</v>
      </c>
    </row>
    <row r="2955" spans="1:19" ht="50.1" customHeight="1">
      <c r="A2955" s="31"/>
      <c r="B2955" s="32" t="s">
        <v>11241</v>
      </c>
      <c r="C2955" s="31" t="s">
        <v>390</v>
      </c>
      <c r="D2955" s="31" t="s">
        <v>5994</v>
      </c>
      <c r="E2955" s="31" t="s">
        <v>11242</v>
      </c>
      <c r="F2955" s="31">
        <v>705</v>
      </c>
      <c r="G2955" s="31">
        <v>86</v>
      </c>
      <c r="H2955" s="31">
        <v>10</v>
      </c>
      <c r="I2955" s="31">
        <v>30</v>
      </c>
      <c r="J2955" s="31" t="s">
        <v>11243</v>
      </c>
      <c r="K2955" s="31" t="s">
        <v>123</v>
      </c>
      <c r="L2955" s="31" t="s">
        <v>56</v>
      </c>
      <c r="M2955" s="31">
        <v>160</v>
      </c>
      <c r="N2955" s="31">
        <v>2017</v>
      </c>
      <c r="O2955" s="31">
        <v>76</v>
      </c>
      <c r="P2955" s="31"/>
      <c r="Q2955" s="31"/>
      <c r="R2955" s="33"/>
      <c r="S2955" s="34" t="str">
        <f>HYPERLINK("http://www.cnpol.ru/covers/17396.jpg","фото на сайте")</f>
        <v>фото на сайте</v>
      </c>
    </row>
    <row r="2956" spans="1:19" ht="50.1" customHeight="1">
      <c r="A2956" s="31" t="s">
        <v>43</v>
      </c>
      <c r="B2956" s="32" t="s">
        <v>11244</v>
      </c>
      <c r="C2956" s="31" t="s">
        <v>37</v>
      </c>
      <c r="D2956" s="31" t="s">
        <v>11245</v>
      </c>
      <c r="E2956" s="31" t="s">
        <v>11246</v>
      </c>
      <c r="F2956" s="31" t="s">
        <v>31</v>
      </c>
      <c r="G2956" s="35">
        <v>1149</v>
      </c>
      <c r="H2956" s="31">
        <v>10</v>
      </c>
      <c r="I2956" s="31">
        <v>8</v>
      </c>
      <c r="J2956" s="31" t="s">
        <v>11247</v>
      </c>
      <c r="K2956" s="31" t="s">
        <v>33</v>
      </c>
      <c r="L2956" s="31" t="s">
        <v>34</v>
      </c>
      <c r="M2956" s="31">
        <v>447</v>
      </c>
      <c r="N2956" s="31">
        <v>2024</v>
      </c>
      <c r="O2956" s="31">
        <v>388</v>
      </c>
      <c r="P2956" s="31"/>
      <c r="Q2956" s="31"/>
      <c r="R2956" s="33" t="s">
        <v>11248</v>
      </c>
      <c r="S2956" s="34" t="str">
        <f>HYPERLINK("http://www.cnpol.ru/covers/21265.jpg","фото на сайте")</f>
        <v>фото на сайте</v>
      </c>
    </row>
    <row r="2957" spans="1:19" ht="50.1" customHeight="1">
      <c r="A2957" s="31" t="s">
        <v>35</v>
      </c>
      <c r="B2957" s="32" t="s">
        <v>11249</v>
      </c>
      <c r="C2957" s="31" t="s">
        <v>1016</v>
      </c>
      <c r="D2957" s="31" t="s">
        <v>4354</v>
      </c>
      <c r="E2957" s="31" t="s">
        <v>11250</v>
      </c>
      <c r="F2957" s="31" t="s">
        <v>31</v>
      </c>
      <c r="G2957" s="35">
        <v>1015</v>
      </c>
      <c r="H2957" s="31">
        <v>10</v>
      </c>
      <c r="I2957" s="31">
        <v>10</v>
      </c>
      <c r="J2957" s="31" t="s">
        <v>11251</v>
      </c>
      <c r="K2957" s="31" t="s">
        <v>33</v>
      </c>
      <c r="L2957" s="31" t="s">
        <v>34</v>
      </c>
      <c r="M2957" s="31">
        <v>351</v>
      </c>
      <c r="N2957" s="31">
        <v>2025</v>
      </c>
      <c r="O2957" s="31">
        <v>310</v>
      </c>
      <c r="P2957" s="31"/>
      <c r="Q2957" s="31"/>
      <c r="R2957" s="33" t="s">
        <v>11252</v>
      </c>
      <c r="S2957" s="34" t="str">
        <f>HYPERLINK("http://www.cnpol.ru/covers/21414.jpg","фото на сайте")</f>
        <v>фото на сайте</v>
      </c>
    </row>
    <row r="2958" spans="1:19" ht="50.1" customHeight="1">
      <c r="A2958" s="31"/>
      <c r="B2958" s="32" t="s">
        <v>11253</v>
      </c>
      <c r="C2958" s="31" t="s">
        <v>413</v>
      </c>
      <c r="D2958" s="31" t="s">
        <v>1774</v>
      </c>
      <c r="E2958" s="31" t="s">
        <v>11254</v>
      </c>
      <c r="F2958" s="31">
        <v>94</v>
      </c>
      <c r="G2958" s="31">
        <v>117</v>
      </c>
      <c r="H2958" s="31">
        <v>10</v>
      </c>
      <c r="I2958" s="31">
        <v>36</v>
      </c>
      <c r="J2958" s="31" t="s">
        <v>11255</v>
      </c>
      <c r="K2958" s="31" t="s">
        <v>123</v>
      </c>
      <c r="L2958" s="31" t="s">
        <v>56</v>
      </c>
      <c r="M2958" s="31">
        <v>192</v>
      </c>
      <c r="N2958" s="31">
        <v>2016</v>
      </c>
      <c r="O2958" s="31">
        <v>90</v>
      </c>
      <c r="P2958" s="31"/>
      <c r="Q2958" s="31"/>
      <c r="R2958" s="33"/>
      <c r="S2958" s="34" t="str">
        <f>HYPERLINK("http://www.cnpol.ru/covers/16588.jpg","фото на сайте")</f>
        <v>фото на сайте</v>
      </c>
    </row>
    <row r="2959" spans="1:19" ht="50.1" customHeight="1">
      <c r="A2959" s="31"/>
      <c r="B2959" s="32" t="s">
        <v>11256</v>
      </c>
      <c r="C2959" s="31" t="s">
        <v>390</v>
      </c>
      <c r="D2959" s="31" t="s">
        <v>3606</v>
      </c>
      <c r="E2959" s="31" t="s">
        <v>11257</v>
      </c>
      <c r="F2959" s="31">
        <v>1008</v>
      </c>
      <c r="G2959" s="31">
        <v>86</v>
      </c>
      <c r="H2959" s="31">
        <v>10</v>
      </c>
      <c r="I2959" s="31">
        <v>30</v>
      </c>
      <c r="J2959" s="31" t="s">
        <v>11258</v>
      </c>
      <c r="K2959" s="31" t="s">
        <v>123</v>
      </c>
      <c r="L2959" s="31" t="s">
        <v>56</v>
      </c>
      <c r="M2959" s="31">
        <v>160</v>
      </c>
      <c r="N2959" s="31">
        <v>2020</v>
      </c>
      <c r="O2959" s="31">
        <v>76</v>
      </c>
      <c r="P2959" s="31"/>
      <c r="Q2959" s="31"/>
      <c r="R2959" s="33"/>
      <c r="S2959" s="34" t="str">
        <f>HYPERLINK("http://www.cnpol.ru/covers/19426.jpg","фото на сайте")</f>
        <v>фото на сайте</v>
      </c>
    </row>
    <row r="2960" spans="1:19" ht="50.1" customHeight="1">
      <c r="A2960" s="31"/>
      <c r="B2960" s="32" t="s">
        <v>11259</v>
      </c>
      <c r="C2960" s="31" t="s">
        <v>390</v>
      </c>
      <c r="D2960" s="31" t="s">
        <v>961</v>
      </c>
      <c r="E2960" s="31" t="s">
        <v>11260</v>
      </c>
      <c r="F2960" s="31">
        <v>390</v>
      </c>
      <c r="G2960" s="31">
        <v>86</v>
      </c>
      <c r="H2960" s="31">
        <v>10</v>
      </c>
      <c r="I2960" s="31">
        <v>30</v>
      </c>
      <c r="J2960" s="31" t="s">
        <v>11261</v>
      </c>
      <c r="K2960" s="31" t="s">
        <v>123</v>
      </c>
      <c r="L2960" s="31" t="s">
        <v>56</v>
      </c>
      <c r="M2960" s="31">
        <v>158</v>
      </c>
      <c r="N2960" s="31">
        <v>2014</v>
      </c>
      <c r="O2960" s="31">
        <v>76</v>
      </c>
      <c r="P2960" s="31"/>
      <c r="Q2960" s="31"/>
      <c r="R2960" s="33"/>
      <c r="S2960" s="34" t="str">
        <f>HYPERLINK("http://www.cnpol.ru/covers/14938.jpg","фото на сайте")</f>
        <v>фото на сайте</v>
      </c>
    </row>
    <row r="2961" spans="1:19" ht="50.1" customHeight="1">
      <c r="A2961" s="31"/>
      <c r="B2961" s="32" t="s">
        <v>11262</v>
      </c>
      <c r="C2961" s="31" t="s">
        <v>413</v>
      </c>
      <c r="D2961" s="31" t="s">
        <v>2210</v>
      </c>
      <c r="E2961" s="31" t="s">
        <v>11263</v>
      </c>
      <c r="F2961" s="31">
        <v>80</v>
      </c>
      <c r="G2961" s="31">
        <v>117</v>
      </c>
      <c r="H2961" s="31">
        <v>10</v>
      </c>
      <c r="I2961" s="31">
        <v>36</v>
      </c>
      <c r="J2961" s="31" t="s">
        <v>11264</v>
      </c>
      <c r="K2961" s="31" t="s">
        <v>123</v>
      </c>
      <c r="L2961" s="31" t="s">
        <v>56</v>
      </c>
      <c r="M2961" s="31">
        <v>189</v>
      </c>
      <c r="N2961" s="31">
        <v>2015</v>
      </c>
      <c r="O2961" s="31">
        <v>90</v>
      </c>
      <c r="P2961" s="31"/>
      <c r="Q2961" s="31"/>
      <c r="R2961" s="33"/>
      <c r="S2961" s="34" t="str">
        <f>HYPERLINK("http://www.cnpol.ru/covers/16360.jpg","фото на сайте")</f>
        <v>фото на сайте</v>
      </c>
    </row>
    <row r="2962" spans="1:19" ht="50.1" customHeight="1">
      <c r="A2962" s="31"/>
      <c r="B2962" s="32" t="s">
        <v>11265</v>
      </c>
      <c r="C2962" s="31" t="s">
        <v>520</v>
      </c>
      <c r="D2962" s="31" t="s">
        <v>559</v>
      </c>
      <c r="E2962" s="31" t="s">
        <v>11266</v>
      </c>
      <c r="F2962" s="31">
        <v>7</v>
      </c>
      <c r="G2962" s="31">
        <v>117</v>
      </c>
      <c r="H2962" s="31">
        <v>10</v>
      </c>
      <c r="I2962" s="31">
        <v>30</v>
      </c>
      <c r="J2962" s="31" t="s">
        <v>11267</v>
      </c>
      <c r="K2962" s="31" t="s">
        <v>123</v>
      </c>
      <c r="L2962" s="31" t="s">
        <v>56</v>
      </c>
      <c r="M2962" s="31">
        <v>190</v>
      </c>
      <c r="N2962" s="31">
        <v>2015</v>
      </c>
      <c r="O2962" s="31">
        <v>90</v>
      </c>
      <c r="P2962" s="31"/>
      <c r="Q2962" s="31"/>
      <c r="R2962" s="33"/>
      <c r="S2962" s="34" t="str">
        <f>HYPERLINK("http://www.cnpol.ru/covers/16184.jpg","фото на сайте")</f>
        <v>фото на сайте</v>
      </c>
    </row>
    <row r="2963" spans="1:19" ht="50.1" customHeight="1">
      <c r="A2963" s="31"/>
      <c r="B2963" s="32" t="s">
        <v>11268</v>
      </c>
      <c r="C2963" s="31" t="s">
        <v>11269</v>
      </c>
      <c r="D2963" s="31" t="s">
        <v>5935</v>
      </c>
      <c r="E2963" s="31" t="s">
        <v>11270</v>
      </c>
      <c r="F2963" s="31" t="s">
        <v>31</v>
      </c>
      <c r="G2963" s="31">
        <v>219</v>
      </c>
      <c r="H2963" s="31">
        <v>10</v>
      </c>
      <c r="I2963" s="31">
        <v>14</v>
      </c>
      <c r="J2963" s="31" t="s">
        <v>11271</v>
      </c>
      <c r="K2963" s="31" t="s">
        <v>33</v>
      </c>
      <c r="L2963" s="31" t="s">
        <v>34</v>
      </c>
      <c r="M2963" s="31">
        <v>364</v>
      </c>
      <c r="N2963" s="31">
        <v>2004</v>
      </c>
      <c r="O2963" s="31" t="s">
        <v>220</v>
      </c>
      <c r="P2963" s="31"/>
      <c r="Q2963" s="31"/>
      <c r="R2963" s="33"/>
      <c r="S2963" s="34" t="str">
        <f>HYPERLINK("http://www.cnpol.ru/covers/4521.jpg","фото на сайте")</f>
        <v>фото на сайте</v>
      </c>
    </row>
    <row r="2964" spans="1:19" ht="50.1" customHeight="1">
      <c r="A2964" s="31"/>
      <c r="B2964" s="32" t="s">
        <v>11272</v>
      </c>
      <c r="C2964" s="31" t="s">
        <v>5934</v>
      </c>
      <c r="D2964" s="31" t="s">
        <v>5935</v>
      </c>
      <c r="E2964" s="31" t="s">
        <v>11270</v>
      </c>
      <c r="F2964" s="31" t="s">
        <v>31</v>
      </c>
      <c r="G2964" s="31">
        <v>154</v>
      </c>
      <c r="H2964" s="31">
        <v>10</v>
      </c>
      <c r="I2964" s="31">
        <v>24</v>
      </c>
      <c r="J2964" s="31" t="s">
        <v>11273</v>
      </c>
      <c r="K2964" s="31" t="s">
        <v>55</v>
      </c>
      <c r="L2964" s="31" t="s">
        <v>56</v>
      </c>
      <c r="M2964" s="31">
        <v>318</v>
      </c>
      <c r="N2964" s="31">
        <v>2004</v>
      </c>
      <c r="O2964" s="31">
        <v>128</v>
      </c>
      <c r="P2964" s="31"/>
      <c r="Q2964" s="31"/>
      <c r="R2964" s="33"/>
      <c r="S2964" s="34" t="str">
        <f>HYPERLINK("http://www.cnpol.ru/covers/4905.jpg","фото на сайте")</f>
        <v>фото на сайте</v>
      </c>
    </row>
    <row r="2965" spans="1:19" ht="50.1" customHeight="1">
      <c r="A2965" s="31"/>
      <c r="B2965" s="32" t="s">
        <v>11274</v>
      </c>
      <c r="C2965" s="31" t="s">
        <v>390</v>
      </c>
      <c r="D2965" s="31" t="s">
        <v>2106</v>
      </c>
      <c r="E2965" s="31" t="s">
        <v>11275</v>
      </c>
      <c r="F2965" s="31">
        <v>644</v>
      </c>
      <c r="G2965" s="31">
        <v>86</v>
      </c>
      <c r="H2965" s="31">
        <v>10</v>
      </c>
      <c r="I2965" s="31">
        <v>30</v>
      </c>
      <c r="J2965" s="31" t="s">
        <v>11276</v>
      </c>
      <c r="K2965" s="31" t="s">
        <v>123</v>
      </c>
      <c r="L2965" s="31" t="s">
        <v>56</v>
      </c>
      <c r="M2965" s="31">
        <v>160</v>
      </c>
      <c r="N2965" s="31">
        <v>2016</v>
      </c>
      <c r="O2965" s="31">
        <v>76</v>
      </c>
      <c r="P2965" s="31"/>
      <c r="Q2965" s="31"/>
      <c r="R2965" s="33"/>
      <c r="S2965" s="34" t="str">
        <f>HYPERLINK("http://www.cnpol.ru/covers/16963.jpg","фото на сайте")</f>
        <v>фото на сайте</v>
      </c>
    </row>
    <row r="2966" spans="1:19" ht="50.1" customHeight="1">
      <c r="A2966" s="31"/>
      <c r="B2966" s="32" t="s">
        <v>11277</v>
      </c>
      <c r="C2966" s="31" t="s">
        <v>418</v>
      </c>
      <c r="D2966" s="31" t="s">
        <v>3904</v>
      </c>
      <c r="E2966" s="31" t="s">
        <v>11278</v>
      </c>
      <c r="F2966" s="31">
        <v>59</v>
      </c>
      <c r="G2966" s="31">
        <v>153</v>
      </c>
      <c r="H2966" s="31">
        <v>10</v>
      </c>
      <c r="I2966" s="31">
        <v>30</v>
      </c>
      <c r="J2966" s="31" t="s">
        <v>11279</v>
      </c>
      <c r="K2966" s="31" t="s">
        <v>123</v>
      </c>
      <c r="L2966" s="31" t="s">
        <v>56</v>
      </c>
      <c r="M2966" s="31">
        <v>254</v>
      </c>
      <c r="N2966" s="31">
        <v>2014</v>
      </c>
      <c r="O2966" s="31">
        <v>120</v>
      </c>
      <c r="P2966" s="31"/>
      <c r="Q2966" s="31"/>
      <c r="R2966" s="33"/>
      <c r="S2966" s="34" t="str">
        <f>HYPERLINK("http://www.cnpol.ru/covers/15673.jpg","фото на сайте")</f>
        <v>фото на сайте</v>
      </c>
    </row>
    <row r="2967" spans="1:19" ht="50.1" customHeight="1">
      <c r="A2967" s="31"/>
      <c r="B2967" s="32" t="s">
        <v>11280</v>
      </c>
      <c r="C2967" s="31" t="s">
        <v>390</v>
      </c>
      <c r="D2967" s="31" t="s">
        <v>1774</v>
      </c>
      <c r="E2967" s="31" t="s">
        <v>11281</v>
      </c>
      <c r="F2967" s="31">
        <v>1030</v>
      </c>
      <c r="G2967" s="31">
        <v>86</v>
      </c>
      <c r="H2967" s="31">
        <v>10</v>
      </c>
      <c r="I2967" s="31">
        <v>30</v>
      </c>
      <c r="J2967" s="31" t="s">
        <v>11282</v>
      </c>
      <c r="K2967" s="31" t="s">
        <v>123</v>
      </c>
      <c r="L2967" s="31" t="s">
        <v>56</v>
      </c>
      <c r="M2967" s="31">
        <v>160</v>
      </c>
      <c r="N2967" s="31">
        <v>2021</v>
      </c>
      <c r="O2967" s="31">
        <v>76</v>
      </c>
      <c r="P2967" s="31"/>
      <c r="Q2967" s="31"/>
      <c r="R2967" s="33"/>
      <c r="S2967" s="34" t="str">
        <f>HYPERLINK("http://www.cnpol.ru/covers/19614.jpg","фото на сайте")</f>
        <v>фото на сайте</v>
      </c>
    </row>
    <row r="2968" spans="1:19" ht="50.1" customHeight="1">
      <c r="A2968" s="31"/>
      <c r="B2968" s="32" t="s">
        <v>11283</v>
      </c>
      <c r="C2968" s="31" t="s">
        <v>390</v>
      </c>
      <c r="D2968" s="31" t="s">
        <v>1431</v>
      </c>
      <c r="E2968" s="31" t="s">
        <v>11284</v>
      </c>
      <c r="F2968" s="31">
        <v>1136</v>
      </c>
      <c r="G2968" s="31">
        <v>86</v>
      </c>
      <c r="H2968" s="31">
        <v>10</v>
      </c>
      <c r="I2968" s="31">
        <v>30</v>
      </c>
      <c r="J2968" s="31" t="s">
        <v>11285</v>
      </c>
      <c r="K2968" s="31" t="s">
        <v>123</v>
      </c>
      <c r="L2968" s="31" t="s">
        <v>56</v>
      </c>
      <c r="M2968" s="31">
        <v>159</v>
      </c>
      <c r="N2968" s="31">
        <v>2023</v>
      </c>
      <c r="O2968" s="31">
        <v>76</v>
      </c>
      <c r="P2968" s="31"/>
      <c r="Q2968" s="31"/>
      <c r="R2968" s="33" t="s">
        <v>11286</v>
      </c>
      <c r="S2968" s="34" t="str">
        <f>HYPERLINK("http://www.cnpol.ru/covers/20630.jpg","фото на сайте")</f>
        <v>фото на сайте</v>
      </c>
    </row>
    <row r="2969" spans="1:19" ht="50.1" customHeight="1">
      <c r="A2969" s="31"/>
      <c r="B2969" s="32" t="s">
        <v>11287</v>
      </c>
      <c r="C2969" s="31" t="s">
        <v>390</v>
      </c>
      <c r="D2969" s="31" t="s">
        <v>4543</v>
      </c>
      <c r="E2969" s="31" t="s">
        <v>11288</v>
      </c>
      <c r="F2969" s="31">
        <v>1037</v>
      </c>
      <c r="G2969" s="31">
        <v>86</v>
      </c>
      <c r="H2969" s="31">
        <v>10</v>
      </c>
      <c r="I2969" s="31">
        <v>30</v>
      </c>
      <c r="J2969" s="31" t="s">
        <v>11289</v>
      </c>
      <c r="K2969" s="31" t="s">
        <v>123</v>
      </c>
      <c r="L2969" s="31" t="s">
        <v>56</v>
      </c>
      <c r="M2969" s="31">
        <v>160</v>
      </c>
      <c r="N2969" s="31">
        <v>2021</v>
      </c>
      <c r="O2969" s="31">
        <v>76</v>
      </c>
      <c r="P2969" s="31"/>
      <c r="Q2969" s="31"/>
      <c r="R2969" s="33"/>
      <c r="S2969" s="34" t="str">
        <f>HYPERLINK("http://www.cnpol.ru/covers/19670.jpg","фото на сайте")</f>
        <v>фото на сайте</v>
      </c>
    </row>
    <row r="2970" spans="1:19" ht="50.1" customHeight="1">
      <c r="A2970" s="31"/>
      <c r="B2970" s="32" t="s">
        <v>11290</v>
      </c>
      <c r="C2970" s="31" t="s">
        <v>385</v>
      </c>
      <c r="D2970" s="31" t="s">
        <v>386</v>
      </c>
      <c r="E2970" s="31" t="s">
        <v>11291</v>
      </c>
      <c r="F2970" s="31" t="s">
        <v>31</v>
      </c>
      <c r="G2970" s="31">
        <v>162</v>
      </c>
      <c r="H2970" s="31">
        <v>10</v>
      </c>
      <c r="I2970" s="31">
        <v>32</v>
      </c>
      <c r="J2970" s="31" t="s">
        <v>11292</v>
      </c>
      <c r="K2970" s="31" t="s">
        <v>55</v>
      </c>
      <c r="L2970" s="31" t="s">
        <v>56</v>
      </c>
      <c r="M2970" s="31">
        <v>250</v>
      </c>
      <c r="N2970" s="31">
        <v>2016</v>
      </c>
      <c r="O2970" s="31">
        <v>110</v>
      </c>
      <c r="P2970" s="31"/>
      <c r="Q2970" s="31"/>
      <c r="R2970" s="33"/>
      <c r="S2970" s="34" t="str">
        <f>HYPERLINK("http://www.cnpol.ru/covers/0110.jpg","фото на сайте")</f>
        <v>фото на сайте</v>
      </c>
    </row>
    <row r="2971" spans="1:19" ht="50.1" customHeight="1">
      <c r="A2971" s="31"/>
      <c r="B2971" s="32" t="s">
        <v>11293</v>
      </c>
      <c r="C2971" s="31" t="s">
        <v>1301</v>
      </c>
      <c r="D2971" s="31" t="s">
        <v>10177</v>
      </c>
      <c r="E2971" s="31" t="s">
        <v>11294</v>
      </c>
      <c r="F2971" s="31" t="s">
        <v>31</v>
      </c>
      <c r="G2971" s="35">
        <v>1284</v>
      </c>
      <c r="H2971" s="31">
        <v>10</v>
      </c>
      <c r="I2971" s="31">
        <v>8</v>
      </c>
      <c r="J2971" s="31" t="s">
        <v>11295</v>
      </c>
      <c r="K2971" s="31" t="s">
        <v>33</v>
      </c>
      <c r="L2971" s="31" t="s">
        <v>34</v>
      </c>
      <c r="M2971" s="31">
        <v>544</v>
      </c>
      <c r="N2971" s="31">
        <v>2022</v>
      </c>
      <c r="O2971" s="31">
        <v>560</v>
      </c>
      <c r="P2971" s="31"/>
      <c r="Q2971" s="31"/>
      <c r="R2971" s="33" t="s">
        <v>11296</v>
      </c>
      <c r="S2971" s="34" t="str">
        <f>HYPERLINK("http://www.cnpol.ru/covers/20406.jpg","фото на сайте")</f>
        <v>фото на сайте</v>
      </c>
    </row>
    <row r="2972" spans="1:19" ht="50.1" customHeight="1">
      <c r="A2972" s="31"/>
      <c r="B2972" s="32" t="s">
        <v>11297</v>
      </c>
      <c r="C2972" s="31" t="s">
        <v>546</v>
      </c>
      <c r="D2972" s="31" t="s">
        <v>3610</v>
      </c>
      <c r="E2972" s="31" t="s">
        <v>11298</v>
      </c>
      <c r="F2972" s="31">
        <v>364</v>
      </c>
      <c r="G2972" s="31">
        <v>93</v>
      </c>
      <c r="H2972" s="31">
        <v>10</v>
      </c>
      <c r="I2972" s="31">
        <v>30</v>
      </c>
      <c r="J2972" s="31" t="s">
        <v>11299</v>
      </c>
      <c r="K2972" s="31" t="s">
        <v>123</v>
      </c>
      <c r="L2972" s="31" t="s">
        <v>56</v>
      </c>
      <c r="M2972" s="31">
        <v>160</v>
      </c>
      <c r="N2972" s="31">
        <v>2020</v>
      </c>
      <c r="O2972" s="31">
        <v>76</v>
      </c>
      <c r="P2972" s="31"/>
      <c r="Q2972" s="31"/>
      <c r="R2972" s="33"/>
      <c r="S2972" s="34" t="str">
        <f>HYPERLINK("http://www.cnpol.ru/covers/19464.jpg","фото на сайте")</f>
        <v>фото на сайте</v>
      </c>
    </row>
    <row r="2973" spans="1:19" ht="50.1" customHeight="1">
      <c r="A2973" s="31"/>
      <c r="B2973" s="32" t="s">
        <v>11300</v>
      </c>
      <c r="C2973" s="31" t="s">
        <v>993</v>
      </c>
      <c r="D2973" s="31" t="s">
        <v>11301</v>
      </c>
      <c r="E2973" s="31" t="s">
        <v>11302</v>
      </c>
      <c r="F2973" s="31" t="s">
        <v>31</v>
      </c>
      <c r="G2973" s="31">
        <v>88</v>
      </c>
      <c r="H2973" s="31">
        <v>10</v>
      </c>
      <c r="I2973" s="31">
        <v>40</v>
      </c>
      <c r="J2973" s="31" t="s">
        <v>11303</v>
      </c>
      <c r="K2973" s="31" t="s">
        <v>123</v>
      </c>
      <c r="L2973" s="31" t="s">
        <v>56</v>
      </c>
      <c r="M2973" s="31">
        <v>125</v>
      </c>
      <c r="N2973" s="31">
        <v>2008</v>
      </c>
      <c r="O2973" s="31">
        <v>62</v>
      </c>
      <c r="P2973" s="31"/>
      <c r="Q2973" s="31"/>
      <c r="R2973" s="33"/>
      <c r="S2973" s="34" t="str">
        <f>HYPERLINK("http://www.cnpol.ru/covers/8816.jpg","фото на сайте")</f>
        <v>фото на сайте</v>
      </c>
    </row>
    <row r="2974" spans="1:19" ht="50.1" customHeight="1">
      <c r="A2974" s="31"/>
      <c r="B2974" s="32" t="s">
        <v>11304</v>
      </c>
      <c r="C2974" s="31" t="s">
        <v>413</v>
      </c>
      <c r="D2974" s="31" t="s">
        <v>814</v>
      </c>
      <c r="E2974" s="31" t="s">
        <v>11305</v>
      </c>
      <c r="F2974" s="31">
        <v>171</v>
      </c>
      <c r="G2974" s="31">
        <v>117</v>
      </c>
      <c r="H2974" s="31">
        <v>10</v>
      </c>
      <c r="I2974" s="31">
        <v>30</v>
      </c>
      <c r="J2974" s="31" t="s">
        <v>11306</v>
      </c>
      <c r="K2974" s="31" t="s">
        <v>123</v>
      </c>
      <c r="L2974" s="31" t="s">
        <v>56</v>
      </c>
      <c r="M2974" s="31">
        <v>192</v>
      </c>
      <c r="N2974" s="31">
        <v>2019</v>
      </c>
      <c r="O2974" s="31">
        <v>90</v>
      </c>
      <c r="P2974" s="31"/>
      <c r="Q2974" s="31"/>
      <c r="R2974" s="33"/>
      <c r="S2974" s="34" t="str">
        <f>HYPERLINK("http://www.cnpol.ru/covers/18964.jpg","фото на сайте")</f>
        <v>фото на сайте</v>
      </c>
    </row>
    <row r="2975" spans="1:19" ht="50.1" customHeight="1">
      <c r="A2975" s="31"/>
      <c r="B2975" s="32" t="s">
        <v>11307</v>
      </c>
      <c r="C2975" s="31" t="s">
        <v>546</v>
      </c>
      <c r="D2975" s="31" t="s">
        <v>1850</v>
      </c>
      <c r="E2975" s="31" t="s">
        <v>11305</v>
      </c>
      <c r="F2975" s="31">
        <v>394</v>
      </c>
      <c r="G2975" s="31">
        <v>93</v>
      </c>
      <c r="H2975" s="31">
        <v>10</v>
      </c>
      <c r="I2975" s="31">
        <v>30</v>
      </c>
      <c r="J2975" s="31" t="s">
        <v>11308</v>
      </c>
      <c r="K2975" s="31" t="s">
        <v>123</v>
      </c>
      <c r="L2975" s="31" t="s">
        <v>56</v>
      </c>
      <c r="M2975" s="31">
        <v>159</v>
      </c>
      <c r="N2975" s="31">
        <v>2021</v>
      </c>
      <c r="O2975" s="31">
        <v>76</v>
      </c>
      <c r="P2975" s="31"/>
      <c r="Q2975" s="31"/>
      <c r="R2975" s="33"/>
      <c r="S2975" s="34" t="str">
        <f>HYPERLINK("http://www.cnpol.ru/covers/20002.jpg","фото на сайте")</f>
        <v>фото на сайте</v>
      </c>
    </row>
    <row r="2976" spans="1:19" ht="50.1" customHeight="1">
      <c r="A2976" s="31"/>
      <c r="B2976" s="32" t="s">
        <v>11309</v>
      </c>
      <c r="C2976" s="31" t="s">
        <v>390</v>
      </c>
      <c r="D2976" s="31" t="s">
        <v>3095</v>
      </c>
      <c r="E2976" s="31" t="s">
        <v>11310</v>
      </c>
      <c r="F2976" s="31">
        <v>874</v>
      </c>
      <c r="G2976" s="31">
        <v>86</v>
      </c>
      <c r="H2976" s="31">
        <v>10</v>
      </c>
      <c r="I2976" s="31">
        <v>30</v>
      </c>
      <c r="J2976" s="31" t="s">
        <v>11311</v>
      </c>
      <c r="K2976" s="31" t="s">
        <v>123</v>
      </c>
      <c r="L2976" s="31" t="s">
        <v>56</v>
      </c>
      <c r="M2976" s="31">
        <v>160</v>
      </c>
      <c r="N2976" s="31">
        <v>2019</v>
      </c>
      <c r="O2976" s="31">
        <v>76</v>
      </c>
      <c r="P2976" s="31"/>
      <c r="Q2976" s="31"/>
      <c r="R2976" s="33"/>
      <c r="S2976" s="34" t="str">
        <f>HYPERLINK("http://www.cnpol.ru/covers/18537.jpg","фото на сайте")</f>
        <v>фото на сайте</v>
      </c>
    </row>
    <row r="2977" spans="1:19" ht="50.1" customHeight="1">
      <c r="A2977" s="31"/>
      <c r="B2977" s="32" t="s">
        <v>11312</v>
      </c>
      <c r="C2977" s="31" t="s">
        <v>390</v>
      </c>
      <c r="D2977" s="31" t="s">
        <v>4657</v>
      </c>
      <c r="E2977" s="31" t="s">
        <v>11313</v>
      </c>
      <c r="F2977" s="31">
        <v>659</v>
      </c>
      <c r="G2977" s="31">
        <v>86</v>
      </c>
      <c r="H2977" s="31">
        <v>10</v>
      </c>
      <c r="I2977" s="31">
        <v>30</v>
      </c>
      <c r="J2977" s="31" t="s">
        <v>11314</v>
      </c>
      <c r="K2977" s="31" t="s">
        <v>123</v>
      </c>
      <c r="L2977" s="31" t="s">
        <v>56</v>
      </c>
      <c r="M2977" s="31">
        <v>160</v>
      </c>
      <c r="N2977" s="31">
        <v>2016</v>
      </c>
      <c r="O2977" s="31">
        <v>76</v>
      </c>
      <c r="P2977" s="31"/>
      <c r="Q2977" s="31"/>
      <c r="R2977" s="33"/>
      <c r="S2977" s="34" t="str">
        <f>HYPERLINK("http://www.cnpol.ru/covers/17059.jpg","фото на сайте")</f>
        <v>фото на сайте</v>
      </c>
    </row>
    <row r="2978" spans="1:19" ht="50.1" customHeight="1">
      <c r="A2978" s="31"/>
      <c r="B2978" s="32" t="s">
        <v>11315</v>
      </c>
      <c r="C2978" s="31" t="s">
        <v>390</v>
      </c>
      <c r="D2978" s="31" t="s">
        <v>11316</v>
      </c>
      <c r="E2978" s="31" t="s">
        <v>11317</v>
      </c>
      <c r="F2978" s="31">
        <v>969</v>
      </c>
      <c r="G2978" s="31">
        <v>86</v>
      </c>
      <c r="H2978" s="31">
        <v>10</v>
      </c>
      <c r="I2978" s="31">
        <v>30</v>
      </c>
      <c r="J2978" s="31" t="s">
        <v>11318</v>
      </c>
      <c r="K2978" s="31" t="s">
        <v>123</v>
      </c>
      <c r="L2978" s="31" t="s">
        <v>56</v>
      </c>
      <c r="M2978" s="31">
        <v>160</v>
      </c>
      <c r="N2978" s="31">
        <v>2020</v>
      </c>
      <c r="O2978" s="31">
        <v>76</v>
      </c>
      <c r="P2978" s="31"/>
      <c r="Q2978" s="31"/>
      <c r="R2978" s="33"/>
      <c r="S2978" s="34" t="str">
        <f>HYPERLINK("http://www.cnpol.ru/covers/19114.jpg","фото на сайте")</f>
        <v>фото на сайте</v>
      </c>
    </row>
    <row r="2979" spans="1:19" ht="50.1" customHeight="1">
      <c r="A2979" s="31"/>
      <c r="B2979" s="32" t="s">
        <v>11319</v>
      </c>
      <c r="C2979" s="31" t="s">
        <v>413</v>
      </c>
      <c r="D2979" s="31" t="s">
        <v>5994</v>
      </c>
      <c r="E2979" s="31" t="s">
        <v>11320</v>
      </c>
      <c r="F2979" s="31">
        <v>70</v>
      </c>
      <c r="G2979" s="31">
        <v>117</v>
      </c>
      <c r="H2979" s="31">
        <v>10</v>
      </c>
      <c r="I2979" s="31">
        <v>36</v>
      </c>
      <c r="J2979" s="31" t="s">
        <v>11321</v>
      </c>
      <c r="K2979" s="31" t="s">
        <v>123</v>
      </c>
      <c r="L2979" s="31" t="s">
        <v>56</v>
      </c>
      <c r="M2979" s="31">
        <v>190</v>
      </c>
      <c r="N2979" s="31">
        <v>2015</v>
      </c>
      <c r="O2979" s="31">
        <v>90</v>
      </c>
      <c r="P2979" s="31"/>
      <c r="Q2979" s="31"/>
      <c r="R2979" s="33"/>
      <c r="S2979" s="34" t="str">
        <f>HYPERLINK("http://www.cnpol.ru/covers/16189.jpg","фото на сайте")</f>
        <v>фото на сайте</v>
      </c>
    </row>
    <row r="2980" spans="1:19" ht="50.1" customHeight="1">
      <c r="A2980" s="31"/>
      <c r="B2980" s="32" t="s">
        <v>11322</v>
      </c>
      <c r="C2980" s="31" t="s">
        <v>400</v>
      </c>
      <c r="D2980" s="31" t="s">
        <v>5829</v>
      </c>
      <c r="E2980" s="31" t="s">
        <v>11323</v>
      </c>
      <c r="F2980" s="31" t="s">
        <v>31</v>
      </c>
      <c r="G2980" s="31">
        <v>503</v>
      </c>
      <c r="H2980" s="31">
        <v>10</v>
      </c>
      <c r="I2980" s="31">
        <v>16</v>
      </c>
      <c r="J2980" s="31" t="s">
        <v>11324</v>
      </c>
      <c r="K2980" s="31" t="s">
        <v>33</v>
      </c>
      <c r="L2980" s="31" t="s">
        <v>34</v>
      </c>
      <c r="M2980" s="31">
        <v>288</v>
      </c>
      <c r="N2980" s="31">
        <v>2017</v>
      </c>
      <c r="O2980" s="31">
        <v>258</v>
      </c>
      <c r="P2980" s="31"/>
      <c r="Q2980" s="31"/>
      <c r="R2980" s="33"/>
      <c r="S2980" s="34" t="str">
        <f>HYPERLINK("http://www.cnpol.ru/covers/17377.jpg","фото на сайте")</f>
        <v>фото на сайте</v>
      </c>
    </row>
    <row r="2981" spans="1:19" ht="50.1" customHeight="1">
      <c r="A2981" s="31"/>
      <c r="B2981" s="32" t="s">
        <v>11325</v>
      </c>
      <c r="C2981" s="31" t="s">
        <v>302</v>
      </c>
      <c r="D2981" s="31" t="s">
        <v>872</v>
      </c>
      <c r="E2981" s="31" t="s">
        <v>11326</v>
      </c>
      <c r="F2981" s="31" t="s">
        <v>31</v>
      </c>
      <c r="G2981" s="31">
        <v>917</v>
      </c>
      <c r="H2981" s="31">
        <v>10</v>
      </c>
      <c r="I2981" s="31">
        <v>14</v>
      </c>
      <c r="J2981" s="31" t="s">
        <v>11327</v>
      </c>
      <c r="K2981" s="31" t="s">
        <v>41</v>
      </c>
      <c r="L2981" s="31" t="s">
        <v>304</v>
      </c>
      <c r="M2981" s="31">
        <v>366</v>
      </c>
      <c r="N2981" s="31">
        <v>2023</v>
      </c>
      <c r="O2981" s="31">
        <v>493</v>
      </c>
      <c r="P2981" s="31"/>
      <c r="Q2981" s="31"/>
      <c r="R2981" s="33" t="s">
        <v>11328</v>
      </c>
      <c r="S2981" s="34" t="str">
        <f>HYPERLINK("http://www.cnpol.ru/covers/20881.jpg","фото на сайте")</f>
        <v>фото на сайте</v>
      </c>
    </row>
    <row r="2982" spans="1:19" ht="50.1" customHeight="1">
      <c r="A2982" s="31" t="s">
        <v>35</v>
      </c>
      <c r="B2982" s="32" t="s">
        <v>11329</v>
      </c>
      <c r="C2982" s="31" t="s">
        <v>297</v>
      </c>
      <c r="D2982" s="31" t="s">
        <v>872</v>
      </c>
      <c r="E2982" s="31" t="s">
        <v>11326</v>
      </c>
      <c r="F2982" s="31" t="s">
        <v>31</v>
      </c>
      <c r="G2982" s="31">
        <v>341</v>
      </c>
      <c r="H2982" s="31">
        <v>10</v>
      </c>
      <c r="I2982" s="31">
        <v>8</v>
      </c>
      <c r="J2982" s="31" t="s">
        <v>11330</v>
      </c>
      <c r="K2982" s="31" t="s">
        <v>300</v>
      </c>
      <c r="L2982" s="31" t="s">
        <v>56</v>
      </c>
      <c r="M2982" s="31">
        <v>383</v>
      </c>
      <c r="N2982" s="31">
        <v>2023</v>
      </c>
      <c r="O2982" s="31" t="s">
        <v>220</v>
      </c>
      <c r="P2982" s="31"/>
      <c r="Q2982" s="31"/>
      <c r="R2982" s="33" t="s">
        <v>11331</v>
      </c>
      <c r="S2982" s="34" t="str">
        <f>HYPERLINK("http://www.cnpol.ru/covers/21614.jpg","фото на сайте")</f>
        <v>фото на сайте</v>
      </c>
    </row>
    <row r="2983" spans="1:19" ht="50.1" customHeight="1">
      <c r="A2983" s="31"/>
      <c r="B2983" s="32" t="s">
        <v>11332</v>
      </c>
      <c r="C2983" s="31" t="s">
        <v>400</v>
      </c>
      <c r="D2983" s="31" t="s">
        <v>785</v>
      </c>
      <c r="E2983" s="31" t="s">
        <v>11333</v>
      </c>
      <c r="F2983" s="31" t="s">
        <v>31</v>
      </c>
      <c r="G2983" s="31">
        <v>503</v>
      </c>
      <c r="H2983" s="31">
        <v>10</v>
      </c>
      <c r="I2983" s="31">
        <v>14</v>
      </c>
      <c r="J2983" s="31" t="s">
        <v>11334</v>
      </c>
      <c r="K2983" s="31" t="s">
        <v>33</v>
      </c>
      <c r="L2983" s="31" t="s">
        <v>34</v>
      </c>
      <c r="M2983" s="31">
        <v>288</v>
      </c>
      <c r="N2983" s="31">
        <v>2016</v>
      </c>
      <c r="O2983" s="31">
        <v>230</v>
      </c>
      <c r="P2983" s="31"/>
      <c r="Q2983" s="31"/>
      <c r="R2983" s="33"/>
      <c r="S2983" s="34" t="str">
        <f>HYPERLINK("http://www.cnpol.ru/covers/17170.jpg","фото на сайте")</f>
        <v>фото на сайте</v>
      </c>
    </row>
    <row r="2984" spans="1:19" ht="50.1" customHeight="1">
      <c r="A2984" s="31"/>
      <c r="B2984" s="32" t="s">
        <v>11335</v>
      </c>
      <c r="C2984" s="31" t="s">
        <v>1623</v>
      </c>
      <c r="D2984" s="31" t="s">
        <v>1908</v>
      </c>
      <c r="E2984" s="31" t="s">
        <v>11336</v>
      </c>
      <c r="F2984" s="31" t="s">
        <v>31</v>
      </c>
      <c r="G2984" s="31">
        <v>169</v>
      </c>
      <c r="H2984" s="31">
        <v>10</v>
      </c>
      <c r="I2984" s="31">
        <v>16</v>
      </c>
      <c r="J2984" s="31" t="s">
        <v>11337</v>
      </c>
      <c r="K2984" s="31" t="s">
        <v>55</v>
      </c>
      <c r="L2984" s="31" t="s">
        <v>56</v>
      </c>
      <c r="M2984" s="31">
        <v>318</v>
      </c>
      <c r="N2984" s="31">
        <v>2021</v>
      </c>
      <c r="O2984" s="31">
        <v>132</v>
      </c>
      <c r="P2984" s="31"/>
      <c r="Q2984" s="31"/>
      <c r="R2984" s="33"/>
      <c r="S2984" s="34" t="str">
        <f>HYPERLINK("http://www.cnpol.ru/covers/20056.jpg","фото на сайте")</f>
        <v>фото на сайте</v>
      </c>
    </row>
    <row r="2985" spans="1:19" ht="50.1" customHeight="1">
      <c r="A2985" s="31"/>
      <c r="B2985" s="32" t="s">
        <v>11338</v>
      </c>
      <c r="C2985" s="31" t="s">
        <v>302</v>
      </c>
      <c r="D2985" s="31" t="s">
        <v>11339</v>
      </c>
      <c r="E2985" s="31" t="s">
        <v>11340</v>
      </c>
      <c r="F2985" s="31" t="s">
        <v>31</v>
      </c>
      <c r="G2985" s="31">
        <v>917</v>
      </c>
      <c r="H2985" s="31">
        <v>10</v>
      </c>
      <c r="I2985" s="31">
        <v>10</v>
      </c>
      <c r="J2985" s="31" t="s">
        <v>11341</v>
      </c>
      <c r="K2985" s="31" t="s">
        <v>41</v>
      </c>
      <c r="L2985" s="31" t="s">
        <v>304</v>
      </c>
      <c r="M2985" s="31">
        <v>480</v>
      </c>
      <c r="N2985" s="31">
        <v>2017</v>
      </c>
      <c r="O2985" s="31">
        <v>564</v>
      </c>
      <c r="P2985" s="31"/>
      <c r="Q2985" s="31"/>
      <c r="R2985" s="33"/>
      <c r="S2985" s="34" t="str">
        <f>HYPERLINK("http://www.cnpol.ru/covers/17791.jpg","фото на сайте")</f>
        <v>фото на сайте</v>
      </c>
    </row>
    <row r="2986" spans="1:19" ht="50.1" customHeight="1">
      <c r="A2986" s="31" t="s">
        <v>43</v>
      </c>
      <c r="B2986" s="32" t="s">
        <v>11342</v>
      </c>
      <c r="C2986" s="31" t="s">
        <v>45</v>
      </c>
      <c r="D2986" s="31" t="s">
        <v>213</v>
      </c>
      <c r="E2986" s="31" t="s">
        <v>11343</v>
      </c>
      <c r="F2986" s="31" t="s">
        <v>31</v>
      </c>
      <c r="G2986" s="35">
        <v>4995</v>
      </c>
      <c r="H2986" s="31">
        <v>10</v>
      </c>
      <c r="I2986" s="31">
        <v>4</v>
      </c>
      <c r="J2986" s="31" t="s">
        <v>11344</v>
      </c>
      <c r="K2986" s="31" t="s">
        <v>147</v>
      </c>
      <c r="L2986" s="31" t="s">
        <v>34</v>
      </c>
      <c r="M2986" s="31">
        <v>472</v>
      </c>
      <c r="N2986" s="31">
        <v>2025</v>
      </c>
      <c r="O2986" s="31">
        <v>820</v>
      </c>
      <c r="P2986" s="31"/>
      <c r="Q2986" s="31"/>
      <c r="R2986" s="33" t="s">
        <v>11345</v>
      </c>
      <c r="S2986" s="34" t="str">
        <f>HYPERLINK("http://www.cnpol.ru/covers/21711.jpg","фото на сайте")</f>
        <v>фото на сайте</v>
      </c>
    </row>
    <row r="2987" spans="1:19" ht="50.1" customHeight="1">
      <c r="A2987" s="31" t="s">
        <v>43</v>
      </c>
      <c r="B2987" s="32" t="s">
        <v>11346</v>
      </c>
      <c r="C2987" s="31" t="s">
        <v>45</v>
      </c>
      <c r="D2987" s="31" t="s">
        <v>213</v>
      </c>
      <c r="E2987" s="31" t="s">
        <v>11347</v>
      </c>
      <c r="F2987" s="31" t="s">
        <v>31</v>
      </c>
      <c r="G2987" s="35">
        <v>4995</v>
      </c>
      <c r="H2987" s="31">
        <v>10</v>
      </c>
      <c r="I2987" s="31">
        <v>4</v>
      </c>
      <c r="J2987" s="31" t="s">
        <v>11348</v>
      </c>
      <c r="K2987" s="31" t="s">
        <v>147</v>
      </c>
      <c r="L2987" s="31" t="s">
        <v>34</v>
      </c>
      <c r="M2987" s="31">
        <v>472</v>
      </c>
      <c r="N2987" s="31">
        <v>2025</v>
      </c>
      <c r="O2987" s="31">
        <v>820</v>
      </c>
      <c r="P2987" s="31"/>
      <c r="Q2987" s="31"/>
      <c r="R2987" s="33" t="s">
        <v>11345</v>
      </c>
      <c r="S2987" s="34" t="str">
        <f>HYPERLINK("http://www.cnpol.ru/covers/21712.jpg","фото на сайте")</f>
        <v>фото на сайте</v>
      </c>
    </row>
    <row r="2988" spans="1:19" ht="50.1" customHeight="1">
      <c r="A2988" s="31"/>
      <c r="B2988" s="32" t="s">
        <v>11349</v>
      </c>
      <c r="C2988" s="31" t="s">
        <v>1594</v>
      </c>
      <c r="D2988" s="31" t="s">
        <v>9327</v>
      </c>
      <c r="E2988" s="31" t="s">
        <v>11350</v>
      </c>
      <c r="F2988" s="31" t="s">
        <v>31</v>
      </c>
      <c r="G2988" s="31">
        <v>169</v>
      </c>
      <c r="H2988" s="31">
        <v>10</v>
      </c>
      <c r="I2988" s="31">
        <v>10</v>
      </c>
      <c r="J2988" s="31" t="s">
        <v>11351</v>
      </c>
      <c r="K2988" s="31" t="s">
        <v>55</v>
      </c>
      <c r="L2988" s="31" t="s">
        <v>56</v>
      </c>
      <c r="M2988" s="31">
        <v>288</v>
      </c>
      <c r="N2988" s="31">
        <v>2021</v>
      </c>
      <c r="O2988" s="31">
        <v>122</v>
      </c>
      <c r="P2988" s="31"/>
      <c r="Q2988" s="31"/>
      <c r="R2988" s="33"/>
      <c r="S2988" s="34" t="str">
        <f>HYPERLINK("http://www.cnpol.ru/covers/19618.jpg","фото на сайте")</f>
        <v>фото на сайте</v>
      </c>
    </row>
    <row r="2989" spans="1:19" ht="50.1" customHeight="1">
      <c r="A2989" s="31"/>
      <c r="B2989" s="32" t="s">
        <v>11352</v>
      </c>
      <c r="C2989" s="31" t="s">
        <v>171</v>
      </c>
      <c r="D2989" s="31" t="s">
        <v>172</v>
      </c>
      <c r="E2989" s="31" t="s">
        <v>11353</v>
      </c>
      <c r="F2989" s="31" t="s">
        <v>31</v>
      </c>
      <c r="G2989" s="35">
        <v>1954</v>
      </c>
      <c r="H2989" s="31">
        <v>10</v>
      </c>
      <c r="I2989" s="31">
        <v>4</v>
      </c>
      <c r="J2989" s="31" t="s">
        <v>11354</v>
      </c>
      <c r="K2989" s="31" t="s">
        <v>41</v>
      </c>
      <c r="L2989" s="31" t="s">
        <v>34</v>
      </c>
      <c r="M2989" s="31">
        <v>815</v>
      </c>
      <c r="N2989" s="31">
        <v>2023</v>
      </c>
      <c r="O2989" s="31">
        <v>910</v>
      </c>
      <c r="P2989" s="31"/>
      <c r="Q2989" s="31"/>
      <c r="R2989" s="33" t="s">
        <v>11355</v>
      </c>
      <c r="S2989" s="34" t="str">
        <f>HYPERLINK("http://www.cnpol.ru/covers/20767.jpg","фото на сайте")</f>
        <v>фото на сайте</v>
      </c>
    </row>
    <row r="2990" spans="1:19" ht="50.1" customHeight="1">
      <c r="A2990" s="31"/>
      <c r="B2990" s="32" t="s">
        <v>11356</v>
      </c>
      <c r="C2990" s="31" t="s">
        <v>37</v>
      </c>
      <c r="D2990" s="31" t="s">
        <v>11357</v>
      </c>
      <c r="E2990" s="31" t="s">
        <v>11358</v>
      </c>
      <c r="F2990" s="31" t="s">
        <v>31</v>
      </c>
      <c r="G2990" s="31">
        <v>630</v>
      </c>
      <c r="H2990" s="31">
        <v>10</v>
      </c>
      <c r="I2990" s="31">
        <v>12</v>
      </c>
      <c r="J2990" s="31" t="s">
        <v>11359</v>
      </c>
      <c r="K2990" s="31" t="s">
        <v>33</v>
      </c>
      <c r="L2990" s="31" t="s">
        <v>34</v>
      </c>
      <c r="M2990" s="31">
        <v>288</v>
      </c>
      <c r="N2990" s="31">
        <v>2021</v>
      </c>
      <c r="O2990" s="31">
        <v>472</v>
      </c>
      <c r="P2990" s="31"/>
      <c r="Q2990" s="31"/>
      <c r="R2990" s="33"/>
      <c r="S2990" s="34" t="str">
        <f>HYPERLINK("http://www.cnpol.ru/covers/19697.jpg","фото на сайте")</f>
        <v>фото на сайте</v>
      </c>
    </row>
    <row r="2991" spans="1:19" ht="50.1" customHeight="1">
      <c r="A2991" s="31" t="s">
        <v>43</v>
      </c>
      <c r="B2991" s="32" t="s">
        <v>11360</v>
      </c>
      <c r="C2991" s="31" t="s">
        <v>37</v>
      </c>
      <c r="D2991" s="31" t="s">
        <v>11361</v>
      </c>
      <c r="E2991" s="31" t="s">
        <v>11362</v>
      </c>
      <c r="F2991" s="31" t="s">
        <v>31</v>
      </c>
      <c r="G2991" s="35">
        <v>1235</v>
      </c>
      <c r="H2991" s="31">
        <v>10</v>
      </c>
      <c r="I2991" s="31">
        <v>5</v>
      </c>
      <c r="J2991" s="31" t="s">
        <v>11363</v>
      </c>
      <c r="K2991" s="31" t="s">
        <v>41</v>
      </c>
      <c r="L2991" s="31" t="s">
        <v>34</v>
      </c>
      <c r="M2991" s="31">
        <v>511</v>
      </c>
      <c r="N2991" s="31">
        <v>2025</v>
      </c>
      <c r="O2991" s="31">
        <v>399</v>
      </c>
      <c r="P2991" s="31"/>
      <c r="Q2991" s="31"/>
      <c r="R2991" s="33" t="s">
        <v>11364</v>
      </c>
      <c r="S2991" s="34" t="str">
        <f>HYPERLINK("http://www.cnpol.ru/covers/21589.jpg","фото на сайте")</f>
        <v>фото на сайте</v>
      </c>
    </row>
    <row r="2992" spans="1:19" ht="50.1" customHeight="1">
      <c r="A2992" s="31"/>
      <c r="B2992" s="32" t="s">
        <v>11365</v>
      </c>
      <c r="C2992" s="31" t="s">
        <v>3446</v>
      </c>
      <c r="D2992" s="31" t="s">
        <v>1324</v>
      </c>
      <c r="E2992" s="31" t="s">
        <v>11366</v>
      </c>
      <c r="F2992" s="31" t="s">
        <v>31</v>
      </c>
      <c r="G2992" s="31">
        <v>664</v>
      </c>
      <c r="H2992" s="31">
        <v>10</v>
      </c>
      <c r="I2992" s="31">
        <v>12</v>
      </c>
      <c r="J2992" s="31" t="s">
        <v>11367</v>
      </c>
      <c r="K2992" s="31" t="s">
        <v>33</v>
      </c>
      <c r="L2992" s="31" t="s">
        <v>34</v>
      </c>
      <c r="M2992" s="31">
        <v>352</v>
      </c>
      <c r="N2992" s="31">
        <v>2021</v>
      </c>
      <c r="O2992" s="31">
        <v>356</v>
      </c>
      <c r="P2992" s="31"/>
      <c r="Q2992" s="31"/>
      <c r="R2992" s="33"/>
      <c r="S2992" s="34" t="str">
        <f>HYPERLINK("http://www.cnpol.ru/covers/19556.jpg","фото на сайте")</f>
        <v>фото на сайте</v>
      </c>
    </row>
    <row r="2993" spans="1:19" ht="50.1" customHeight="1">
      <c r="A2993" s="31" t="s">
        <v>43</v>
      </c>
      <c r="B2993" s="32" t="s">
        <v>11368</v>
      </c>
      <c r="C2993" s="31" t="s">
        <v>2056</v>
      </c>
      <c r="D2993" s="31" t="s">
        <v>11369</v>
      </c>
      <c r="E2993" s="31" t="s">
        <v>11370</v>
      </c>
      <c r="F2993" s="31" t="s">
        <v>31</v>
      </c>
      <c r="G2993" s="31">
        <v>917</v>
      </c>
      <c r="H2993" s="31">
        <v>10</v>
      </c>
      <c r="I2993" s="31">
        <v>5</v>
      </c>
      <c r="J2993" s="31" t="s">
        <v>11371</v>
      </c>
      <c r="K2993" s="31" t="s">
        <v>33</v>
      </c>
      <c r="L2993" s="31" t="s">
        <v>34</v>
      </c>
      <c r="M2993" s="31">
        <v>319</v>
      </c>
      <c r="N2993" s="31">
        <v>2025</v>
      </c>
      <c r="O2993" s="31" t="s">
        <v>220</v>
      </c>
      <c r="P2993" s="31"/>
      <c r="Q2993" s="31"/>
      <c r="R2993" s="33" t="s">
        <v>11372</v>
      </c>
      <c r="S2993" s="34" t="str">
        <f>HYPERLINK("http://www.cnpol.ru/covers/21792.jpg","фото на сайте")</f>
        <v>фото на сайте</v>
      </c>
    </row>
    <row r="2994" spans="1:19" ht="50.1" customHeight="1">
      <c r="A2994" s="31"/>
      <c r="B2994" s="32" t="s">
        <v>11373</v>
      </c>
      <c r="C2994" s="31" t="s">
        <v>479</v>
      </c>
      <c r="D2994" s="31" t="s">
        <v>4966</v>
      </c>
      <c r="E2994" s="31" t="s">
        <v>11374</v>
      </c>
      <c r="F2994" s="31" t="s">
        <v>31</v>
      </c>
      <c r="G2994" s="31">
        <v>593</v>
      </c>
      <c r="H2994" s="31">
        <v>10</v>
      </c>
      <c r="I2994" s="31">
        <v>12</v>
      </c>
      <c r="J2994" s="31" t="s">
        <v>11375</v>
      </c>
      <c r="K2994" s="31" t="s">
        <v>33</v>
      </c>
      <c r="L2994" s="31" t="s">
        <v>34</v>
      </c>
      <c r="M2994" s="31">
        <v>384</v>
      </c>
      <c r="N2994" s="31">
        <v>2017</v>
      </c>
      <c r="O2994" s="31">
        <v>314</v>
      </c>
      <c r="P2994" s="31"/>
      <c r="Q2994" s="31"/>
      <c r="R2994" s="33"/>
      <c r="S2994" s="34" t="str">
        <f>HYPERLINK("http://www.cnpol.ru/covers/17807.jpg","фото на сайте")</f>
        <v>фото на сайте</v>
      </c>
    </row>
    <row r="2995" spans="1:19" ht="50.1" customHeight="1">
      <c r="A2995" s="31"/>
      <c r="B2995" s="32" t="s">
        <v>11376</v>
      </c>
      <c r="C2995" s="31" t="s">
        <v>779</v>
      </c>
      <c r="D2995" s="31" t="s">
        <v>11377</v>
      </c>
      <c r="E2995" s="31" t="s">
        <v>11378</v>
      </c>
      <c r="F2995" s="31" t="s">
        <v>31</v>
      </c>
      <c r="G2995" s="35">
        <v>1162</v>
      </c>
      <c r="H2995" s="31">
        <v>10</v>
      </c>
      <c r="I2995" s="31">
        <v>10</v>
      </c>
      <c r="J2995" s="31" t="s">
        <v>11379</v>
      </c>
      <c r="K2995" s="31" t="s">
        <v>33</v>
      </c>
      <c r="L2995" s="31" t="s">
        <v>34</v>
      </c>
      <c r="M2995" s="31">
        <v>432</v>
      </c>
      <c r="N2995" s="31">
        <v>2022</v>
      </c>
      <c r="O2995" s="31">
        <v>363</v>
      </c>
      <c r="P2995" s="31"/>
      <c r="Q2995" s="31"/>
      <c r="R2995" s="33"/>
      <c r="S2995" s="34" t="str">
        <f>HYPERLINK("http://www.cnpol.ru/covers/19970.jpg","фото на сайте")</f>
        <v>фото на сайте</v>
      </c>
    </row>
    <row r="2996" spans="1:19" ht="50.1" customHeight="1">
      <c r="A2996" s="31"/>
      <c r="B2996" s="32" t="s">
        <v>11380</v>
      </c>
      <c r="C2996" s="31" t="s">
        <v>2631</v>
      </c>
      <c r="D2996" s="31" t="s">
        <v>1786</v>
      </c>
      <c r="E2996" s="31" t="s">
        <v>11381</v>
      </c>
      <c r="F2996" s="31" t="s">
        <v>31</v>
      </c>
      <c r="G2996" s="31">
        <v>773</v>
      </c>
      <c r="H2996" s="31">
        <v>10</v>
      </c>
      <c r="I2996" s="31">
        <v>10</v>
      </c>
      <c r="J2996" s="31" t="s">
        <v>11382</v>
      </c>
      <c r="K2996" s="31" t="s">
        <v>33</v>
      </c>
      <c r="L2996" s="31" t="s">
        <v>34</v>
      </c>
      <c r="M2996" s="31">
        <v>416</v>
      </c>
      <c r="N2996" s="31">
        <v>2019</v>
      </c>
      <c r="O2996" s="31">
        <v>456</v>
      </c>
      <c r="P2996" s="31"/>
      <c r="Q2996" s="31"/>
      <c r="R2996" s="33"/>
      <c r="S2996" s="34" t="str">
        <f>HYPERLINK("http://www.cnpol.ru/covers/18766.jpg","фото на сайте")</f>
        <v>фото на сайте</v>
      </c>
    </row>
    <row r="2997" spans="1:19" ht="50.1" customHeight="1">
      <c r="A2997" s="31"/>
      <c r="B2997" s="32" t="s">
        <v>11383</v>
      </c>
      <c r="C2997" s="31" t="s">
        <v>45</v>
      </c>
      <c r="D2997" s="31" t="s">
        <v>11384</v>
      </c>
      <c r="E2997" s="31" t="s">
        <v>11385</v>
      </c>
      <c r="F2997" s="31" t="s">
        <v>31</v>
      </c>
      <c r="G2997" s="35">
        <v>1748</v>
      </c>
      <c r="H2997" s="31">
        <v>10</v>
      </c>
      <c r="I2997" s="31">
        <v>3</v>
      </c>
      <c r="J2997" s="31" t="s">
        <v>11386</v>
      </c>
      <c r="K2997" s="31" t="s">
        <v>147</v>
      </c>
      <c r="L2997" s="31" t="s">
        <v>34</v>
      </c>
      <c r="M2997" s="31">
        <v>734</v>
      </c>
      <c r="N2997" s="31">
        <v>2010</v>
      </c>
      <c r="O2997" s="31">
        <v>1258</v>
      </c>
      <c r="P2997" s="31"/>
      <c r="Q2997" s="31"/>
      <c r="R2997" s="33"/>
      <c r="S2997" s="34" t="str">
        <f>HYPERLINK("http://www.cnpol.ru/covers/12341.jpg","фото на сайте")</f>
        <v>фото на сайте</v>
      </c>
    </row>
    <row r="2998" spans="1:19" ht="50.1" customHeight="1">
      <c r="A2998" s="31"/>
      <c r="B2998" s="32" t="s">
        <v>11387</v>
      </c>
      <c r="C2998" s="31" t="s">
        <v>45</v>
      </c>
      <c r="D2998" s="31" t="s">
        <v>11384</v>
      </c>
      <c r="E2998" s="31" t="s">
        <v>11388</v>
      </c>
      <c r="F2998" s="31" t="s">
        <v>31</v>
      </c>
      <c r="G2998" s="35">
        <v>1344</v>
      </c>
      <c r="H2998" s="31">
        <v>10</v>
      </c>
      <c r="I2998" s="31">
        <v>4</v>
      </c>
      <c r="J2998" s="31" t="s">
        <v>11389</v>
      </c>
      <c r="K2998" s="31" t="s">
        <v>147</v>
      </c>
      <c r="L2998" s="31" t="s">
        <v>34</v>
      </c>
      <c r="M2998" s="31">
        <v>542</v>
      </c>
      <c r="N2998" s="31">
        <v>2010</v>
      </c>
      <c r="O2998" s="31">
        <v>962</v>
      </c>
      <c r="P2998" s="31"/>
      <c r="Q2998" s="31"/>
      <c r="R2998" s="33"/>
      <c r="S2998" s="34" t="str">
        <f>HYPERLINK("http://www.cnpol.ru/covers/12374.jpg","фото на сайте")</f>
        <v>фото на сайте</v>
      </c>
    </row>
    <row r="2999" spans="1:19" ht="50.1" customHeight="1">
      <c r="A2999" s="31" t="s">
        <v>35</v>
      </c>
      <c r="B2999" s="32" t="s">
        <v>11390</v>
      </c>
      <c r="C2999" s="31" t="s">
        <v>45</v>
      </c>
      <c r="D2999" s="31" t="s">
        <v>11391</v>
      </c>
      <c r="E2999" s="31" t="s">
        <v>11392</v>
      </c>
      <c r="F2999" s="31" t="s">
        <v>31</v>
      </c>
      <c r="G2999" s="35">
        <v>1038</v>
      </c>
      <c r="H2999" s="31">
        <v>10</v>
      </c>
      <c r="I2999" s="31">
        <v>10</v>
      </c>
      <c r="J2999" s="31" t="s">
        <v>11393</v>
      </c>
      <c r="K2999" s="31" t="s">
        <v>33</v>
      </c>
      <c r="L2999" s="31" t="s">
        <v>34</v>
      </c>
      <c r="M2999" s="31">
        <v>415</v>
      </c>
      <c r="N2999" s="31">
        <v>2024</v>
      </c>
      <c r="O2999" s="31">
        <v>455</v>
      </c>
      <c r="P2999" s="31"/>
      <c r="Q2999" s="31"/>
      <c r="R2999" s="33" t="s">
        <v>11394</v>
      </c>
      <c r="S2999" s="34" t="str">
        <f>HYPERLINK("http://www.cnpol.ru/covers/21184.jpg","фото на сайте")</f>
        <v>фото на сайте</v>
      </c>
    </row>
    <row r="3000" spans="1:19" ht="50.1" customHeight="1">
      <c r="A3000" s="31"/>
      <c r="B3000" s="32" t="s">
        <v>11395</v>
      </c>
      <c r="C3000" s="31" t="s">
        <v>390</v>
      </c>
      <c r="D3000" s="31" t="s">
        <v>2294</v>
      </c>
      <c r="E3000" s="31" t="s">
        <v>11396</v>
      </c>
      <c r="F3000" s="31">
        <v>733</v>
      </c>
      <c r="G3000" s="31">
        <v>86</v>
      </c>
      <c r="H3000" s="31">
        <v>10</v>
      </c>
      <c r="I3000" s="31">
        <v>30</v>
      </c>
      <c r="J3000" s="31" t="s">
        <v>11397</v>
      </c>
      <c r="K3000" s="31" t="s">
        <v>123</v>
      </c>
      <c r="L3000" s="31" t="s">
        <v>56</v>
      </c>
      <c r="M3000" s="31">
        <v>160</v>
      </c>
      <c r="N3000" s="31">
        <v>2017</v>
      </c>
      <c r="O3000" s="31">
        <v>76</v>
      </c>
      <c r="P3000" s="31"/>
      <c r="Q3000" s="31"/>
      <c r="R3000" s="33"/>
      <c r="S3000" s="34" t="str">
        <f>HYPERLINK("http://www.cnpol.ru/covers/17578.jpg","фото на сайте")</f>
        <v>фото на сайте</v>
      </c>
    </row>
    <row r="3001" spans="1:19" ht="50.1" customHeight="1">
      <c r="A3001" s="31"/>
      <c r="B3001" s="32" t="s">
        <v>11398</v>
      </c>
      <c r="C3001" s="31" t="s">
        <v>6139</v>
      </c>
      <c r="D3001" s="31" t="s">
        <v>2955</v>
      </c>
      <c r="E3001" s="31" t="s">
        <v>11399</v>
      </c>
      <c r="F3001" s="31" t="s">
        <v>31</v>
      </c>
      <c r="G3001" s="31">
        <v>88</v>
      </c>
      <c r="H3001" s="31">
        <v>10</v>
      </c>
      <c r="I3001" s="31">
        <v>30</v>
      </c>
      <c r="J3001" s="31" t="s">
        <v>11400</v>
      </c>
      <c r="K3001" s="31" t="s">
        <v>123</v>
      </c>
      <c r="L3001" s="31" t="s">
        <v>56</v>
      </c>
      <c r="M3001" s="31">
        <v>160</v>
      </c>
      <c r="N3001" s="31">
        <v>2008</v>
      </c>
      <c r="O3001" s="31">
        <v>74</v>
      </c>
      <c r="P3001" s="31"/>
      <c r="Q3001" s="31"/>
      <c r="R3001" s="33"/>
      <c r="S3001" s="34" t="str">
        <f>HYPERLINK("http://www.cnpol.ru/covers/10400.jpg","фото на сайте")</f>
        <v>фото на сайте</v>
      </c>
    </row>
    <row r="3002" spans="1:19" ht="50.1" customHeight="1">
      <c r="A3002" s="31"/>
      <c r="B3002" s="32" t="s">
        <v>11401</v>
      </c>
      <c r="C3002" s="31" t="s">
        <v>576</v>
      </c>
      <c r="D3002" s="31" t="s">
        <v>577</v>
      </c>
      <c r="E3002" s="31" t="s">
        <v>11402</v>
      </c>
      <c r="F3002" s="31" t="s">
        <v>31</v>
      </c>
      <c r="G3002" s="31">
        <v>226</v>
      </c>
      <c r="H3002" s="31">
        <v>10</v>
      </c>
      <c r="I3002" s="31">
        <v>20</v>
      </c>
      <c r="J3002" s="31" t="s">
        <v>11403</v>
      </c>
      <c r="K3002" s="31" t="s">
        <v>123</v>
      </c>
      <c r="L3002" s="31" t="s">
        <v>56</v>
      </c>
      <c r="M3002" s="31">
        <v>320</v>
      </c>
      <c r="N3002" s="31">
        <v>2019</v>
      </c>
      <c r="O3002" s="31">
        <v>144</v>
      </c>
      <c r="P3002" s="31"/>
      <c r="Q3002" s="31"/>
      <c r="R3002" s="33"/>
      <c r="S3002" s="34" t="str">
        <f>HYPERLINK("http://www.cnpol.ru/covers/18763.jpg","фото на сайте")</f>
        <v>фото на сайте</v>
      </c>
    </row>
    <row r="3003" spans="1:19" ht="50.1" customHeight="1">
      <c r="A3003" s="31" t="s">
        <v>35</v>
      </c>
      <c r="B3003" s="32" t="s">
        <v>11404</v>
      </c>
      <c r="C3003" s="31" t="s">
        <v>37</v>
      </c>
      <c r="D3003" s="31" t="s">
        <v>11405</v>
      </c>
      <c r="E3003" s="31" t="s">
        <v>11406</v>
      </c>
      <c r="F3003" s="31" t="s">
        <v>31</v>
      </c>
      <c r="G3003" s="35">
        <v>1235</v>
      </c>
      <c r="H3003" s="31">
        <v>10</v>
      </c>
      <c r="I3003" s="31">
        <v>5</v>
      </c>
      <c r="J3003" s="31" t="s">
        <v>11407</v>
      </c>
      <c r="K3003" s="31" t="s">
        <v>41</v>
      </c>
      <c r="L3003" s="31" t="s">
        <v>34</v>
      </c>
      <c r="M3003" s="31">
        <v>512</v>
      </c>
      <c r="N3003" s="31">
        <v>2025</v>
      </c>
      <c r="O3003" s="31">
        <v>559</v>
      </c>
      <c r="P3003" s="31"/>
      <c r="Q3003" s="31"/>
      <c r="R3003" s="33" t="s">
        <v>11408</v>
      </c>
      <c r="S3003" s="34" t="str">
        <f>HYPERLINK("http://www.cnpol.ru/covers/21529.jpg","фото на сайте")</f>
        <v>фото на сайте</v>
      </c>
    </row>
    <row r="3004" spans="1:19" ht="50.1" customHeight="1">
      <c r="A3004" s="31"/>
      <c r="B3004" s="32" t="s">
        <v>11409</v>
      </c>
      <c r="C3004" s="31" t="s">
        <v>709</v>
      </c>
      <c r="D3004" s="31" t="s">
        <v>11410</v>
      </c>
      <c r="E3004" s="31" t="s">
        <v>11411</v>
      </c>
      <c r="F3004" s="31" t="s">
        <v>31</v>
      </c>
      <c r="G3004" s="31">
        <v>658</v>
      </c>
      <c r="H3004" s="31">
        <v>10</v>
      </c>
      <c r="I3004" s="31">
        <v>12</v>
      </c>
      <c r="J3004" s="31" t="s">
        <v>11412</v>
      </c>
      <c r="K3004" s="31" t="s">
        <v>33</v>
      </c>
      <c r="L3004" s="31" t="s">
        <v>34</v>
      </c>
      <c r="M3004" s="31">
        <v>512</v>
      </c>
      <c r="N3004" s="31">
        <v>2015</v>
      </c>
      <c r="O3004" s="31">
        <v>460</v>
      </c>
      <c r="P3004" s="31"/>
      <c r="Q3004" s="31"/>
      <c r="R3004" s="33"/>
      <c r="S3004" s="34" t="str">
        <f>HYPERLINK("http://www.cnpol.ru/covers/16318.jpg","фото на сайте")</f>
        <v>фото на сайте</v>
      </c>
    </row>
    <row r="3005" spans="1:19" ht="50.1" customHeight="1">
      <c r="A3005" s="31"/>
      <c r="B3005" s="32" t="s">
        <v>11413</v>
      </c>
      <c r="C3005" s="31" t="s">
        <v>143</v>
      </c>
      <c r="D3005" s="31" t="s">
        <v>11414</v>
      </c>
      <c r="E3005" s="31" t="s">
        <v>11415</v>
      </c>
      <c r="F3005" s="31" t="s">
        <v>31</v>
      </c>
      <c r="G3005" s="35">
        <v>2072</v>
      </c>
      <c r="H3005" s="31">
        <v>10</v>
      </c>
      <c r="I3005" s="31">
        <v>6</v>
      </c>
      <c r="J3005" s="31" t="s">
        <v>11416</v>
      </c>
      <c r="K3005" s="31" t="s">
        <v>41</v>
      </c>
      <c r="L3005" s="31" t="s">
        <v>34</v>
      </c>
      <c r="M3005" s="31">
        <v>863</v>
      </c>
      <c r="N3005" s="31">
        <v>2022</v>
      </c>
      <c r="O3005" s="31">
        <v>1410</v>
      </c>
      <c r="P3005" s="31"/>
      <c r="Q3005" s="31"/>
      <c r="R3005" s="33"/>
      <c r="S3005" s="34" t="str">
        <f>HYPERLINK("http://www.cnpol.ru/covers/20034.jpg","фото на сайте")</f>
        <v>фото на сайте</v>
      </c>
    </row>
    <row r="3006" spans="1:19" ht="50.1" customHeight="1">
      <c r="A3006" s="31"/>
      <c r="B3006" s="32" t="s">
        <v>11417</v>
      </c>
      <c r="C3006" s="31" t="s">
        <v>1016</v>
      </c>
      <c r="D3006" s="31" t="s">
        <v>2389</v>
      </c>
      <c r="E3006" s="31" t="s">
        <v>11418</v>
      </c>
      <c r="F3006" s="31" t="s">
        <v>31</v>
      </c>
      <c r="G3006" s="31">
        <v>820</v>
      </c>
      <c r="H3006" s="31">
        <v>10</v>
      </c>
      <c r="I3006" s="31">
        <v>16</v>
      </c>
      <c r="J3006" s="31" t="s">
        <v>11419</v>
      </c>
      <c r="K3006" s="31" t="s">
        <v>33</v>
      </c>
      <c r="L3006" s="31" t="s">
        <v>34</v>
      </c>
      <c r="M3006" s="31">
        <v>264</v>
      </c>
      <c r="N3006" s="31">
        <v>2022</v>
      </c>
      <c r="O3006" s="31">
        <v>230</v>
      </c>
      <c r="P3006" s="31"/>
      <c r="Q3006" s="31"/>
      <c r="R3006" s="33" t="s">
        <v>11420</v>
      </c>
      <c r="S3006" s="34" t="str">
        <f>HYPERLINK("http://www.cnpol.ru/covers/20336.jpg","фото на сайте")</f>
        <v>фото на сайте</v>
      </c>
    </row>
    <row r="3007" spans="1:19" ht="50.1" customHeight="1">
      <c r="A3007" s="31"/>
      <c r="B3007" s="32" t="s">
        <v>11421</v>
      </c>
      <c r="C3007" s="31" t="s">
        <v>37</v>
      </c>
      <c r="D3007" s="31" t="s">
        <v>7015</v>
      </c>
      <c r="E3007" s="31" t="s">
        <v>11422</v>
      </c>
      <c r="F3007" s="31" t="s">
        <v>31</v>
      </c>
      <c r="G3007" s="35">
        <v>1015</v>
      </c>
      <c r="H3007" s="31">
        <v>10</v>
      </c>
      <c r="I3007" s="31">
        <v>12</v>
      </c>
      <c r="J3007" s="31" t="s">
        <v>11423</v>
      </c>
      <c r="K3007" s="31" t="s">
        <v>33</v>
      </c>
      <c r="L3007" s="31" t="s">
        <v>34</v>
      </c>
      <c r="M3007" s="31">
        <v>383</v>
      </c>
      <c r="N3007" s="31">
        <v>2022</v>
      </c>
      <c r="O3007" s="31">
        <v>382</v>
      </c>
      <c r="P3007" s="31"/>
      <c r="Q3007" s="31"/>
      <c r="R3007" s="33"/>
      <c r="S3007" s="34" t="str">
        <f>HYPERLINK("http://www.cnpol.ru/covers/20033.jpg","фото на сайте")</f>
        <v>фото на сайте</v>
      </c>
    </row>
    <row r="3008" spans="1:19" ht="50.1" customHeight="1">
      <c r="A3008" s="31" t="s">
        <v>35</v>
      </c>
      <c r="B3008" s="32" t="s">
        <v>11424</v>
      </c>
      <c r="C3008" s="31" t="s">
        <v>143</v>
      </c>
      <c r="D3008" s="31" t="s">
        <v>11425</v>
      </c>
      <c r="E3008" s="31" t="s">
        <v>11426</v>
      </c>
      <c r="F3008" s="31" t="s">
        <v>31</v>
      </c>
      <c r="G3008" s="31">
        <v>966</v>
      </c>
      <c r="H3008" s="31">
        <v>10</v>
      </c>
      <c r="I3008" s="31">
        <v>12</v>
      </c>
      <c r="J3008" s="31" t="s">
        <v>11427</v>
      </c>
      <c r="K3008" s="31" t="s">
        <v>33</v>
      </c>
      <c r="L3008" s="31" t="s">
        <v>34</v>
      </c>
      <c r="M3008" s="31">
        <v>351</v>
      </c>
      <c r="N3008" s="31">
        <v>2025</v>
      </c>
      <c r="O3008" s="31">
        <v>288</v>
      </c>
      <c r="P3008" s="31"/>
      <c r="Q3008" s="31"/>
      <c r="R3008" s="33" t="s">
        <v>11428</v>
      </c>
      <c r="S3008" s="34" t="str">
        <f>HYPERLINK("http://www.cnpol.ru/covers/21512.jpg","фото на сайте")</f>
        <v>фото на сайте</v>
      </c>
    </row>
    <row r="3009" spans="1:19" ht="50.1" customHeight="1">
      <c r="A3009" s="31"/>
      <c r="B3009" s="32" t="s">
        <v>11429</v>
      </c>
      <c r="C3009" s="31" t="s">
        <v>143</v>
      </c>
      <c r="D3009" s="31" t="s">
        <v>5669</v>
      </c>
      <c r="E3009" s="31" t="s">
        <v>11430</v>
      </c>
      <c r="F3009" s="31" t="s">
        <v>31</v>
      </c>
      <c r="G3009" s="35">
        <v>1290</v>
      </c>
      <c r="H3009" s="31">
        <v>10</v>
      </c>
      <c r="I3009" s="31">
        <v>5</v>
      </c>
      <c r="J3009" s="31" t="s">
        <v>11431</v>
      </c>
      <c r="K3009" s="31" t="s">
        <v>41</v>
      </c>
      <c r="L3009" s="31" t="s">
        <v>34</v>
      </c>
      <c r="M3009" s="31">
        <v>511</v>
      </c>
      <c r="N3009" s="31">
        <v>2023</v>
      </c>
      <c r="O3009" s="31">
        <v>510</v>
      </c>
      <c r="P3009" s="31"/>
      <c r="Q3009" s="31"/>
      <c r="R3009" s="33" t="s">
        <v>11432</v>
      </c>
      <c r="S3009" s="34" t="str">
        <f>HYPERLINK("http://www.cnpol.ru/covers/20573.jpg","фото на сайте")</f>
        <v>фото на сайте</v>
      </c>
    </row>
    <row r="3010" spans="1:19" ht="50.1" customHeight="1">
      <c r="A3010" s="31"/>
      <c r="B3010" s="32" t="s">
        <v>11433</v>
      </c>
      <c r="C3010" s="31" t="s">
        <v>126</v>
      </c>
      <c r="D3010" s="31" t="s">
        <v>11434</v>
      </c>
      <c r="E3010" s="31" t="s">
        <v>11435</v>
      </c>
      <c r="F3010" s="31" t="s">
        <v>31</v>
      </c>
      <c r="G3010" s="31">
        <v>128</v>
      </c>
      <c r="H3010" s="31">
        <v>10</v>
      </c>
      <c r="I3010" s="31">
        <v>26</v>
      </c>
      <c r="J3010" s="31" t="s">
        <v>11436</v>
      </c>
      <c r="K3010" s="31" t="s">
        <v>130</v>
      </c>
      <c r="L3010" s="31" t="s">
        <v>56</v>
      </c>
      <c r="M3010" s="31">
        <v>250</v>
      </c>
      <c r="N3010" s="31">
        <v>2008</v>
      </c>
      <c r="O3010" s="31">
        <v>154</v>
      </c>
      <c r="P3010" s="31"/>
      <c r="Q3010" s="31"/>
      <c r="R3010" s="33"/>
      <c r="S3010" s="34" t="str">
        <f>HYPERLINK("http://www.cnpol.ru/covers/10728.jpg","фото на сайте")</f>
        <v>фото на сайте</v>
      </c>
    </row>
    <row r="3011" spans="1:19" ht="50.1" customHeight="1">
      <c r="A3011" s="31"/>
      <c r="B3011" s="32" t="s">
        <v>11437</v>
      </c>
      <c r="C3011" s="31" t="s">
        <v>126</v>
      </c>
      <c r="D3011" s="31" t="s">
        <v>11434</v>
      </c>
      <c r="E3011" s="31" t="s">
        <v>11435</v>
      </c>
      <c r="F3011" s="31" t="s">
        <v>31</v>
      </c>
      <c r="G3011" s="31">
        <v>162</v>
      </c>
      <c r="H3011" s="31">
        <v>10</v>
      </c>
      <c r="I3011" s="31">
        <v>26</v>
      </c>
      <c r="J3011" s="31" t="s">
        <v>11438</v>
      </c>
      <c r="K3011" s="31" t="s">
        <v>130</v>
      </c>
      <c r="L3011" s="31" t="s">
        <v>56</v>
      </c>
      <c r="M3011" s="31">
        <v>250</v>
      </c>
      <c r="N3011" s="31">
        <v>2008</v>
      </c>
      <c r="O3011" s="31">
        <v>156</v>
      </c>
      <c r="P3011" s="31"/>
      <c r="Q3011" s="31"/>
      <c r="R3011" s="33"/>
      <c r="S3011" s="34" t="str">
        <f>HYPERLINK("http://www.cnpol.ru/covers/11017.jpg","фото на сайте")</f>
        <v>фото на сайте</v>
      </c>
    </row>
    <row r="3012" spans="1:19" ht="50.1" customHeight="1">
      <c r="A3012" s="31"/>
      <c r="B3012" s="32" t="s">
        <v>11439</v>
      </c>
      <c r="C3012" s="31" t="s">
        <v>297</v>
      </c>
      <c r="D3012" s="31" t="s">
        <v>3805</v>
      </c>
      <c r="E3012" s="31" t="s">
        <v>11440</v>
      </c>
      <c r="F3012" s="31" t="s">
        <v>31</v>
      </c>
      <c r="G3012" s="31">
        <v>398</v>
      </c>
      <c r="H3012" s="31">
        <v>10</v>
      </c>
      <c r="I3012" s="31">
        <v>10</v>
      </c>
      <c r="J3012" s="31" t="s">
        <v>11441</v>
      </c>
      <c r="K3012" s="31" t="s">
        <v>300</v>
      </c>
      <c r="L3012" s="31" t="s">
        <v>56</v>
      </c>
      <c r="M3012" s="31">
        <v>639</v>
      </c>
      <c r="N3012" s="31">
        <v>2021</v>
      </c>
      <c r="O3012" s="31">
        <v>700</v>
      </c>
      <c r="P3012" s="31"/>
      <c r="Q3012" s="31"/>
      <c r="R3012" s="33"/>
      <c r="S3012" s="34" t="str">
        <f>HYPERLINK("http://www.cnpol.ru/covers/19981.jpg","фото на сайте")</f>
        <v>фото на сайте</v>
      </c>
    </row>
    <row r="3013" spans="1:19" ht="50.1" customHeight="1">
      <c r="A3013" s="31"/>
      <c r="B3013" s="32" t="s">
        <v>11442</v>
      </c>
      <c r="C3013" s="31" t="s">
        <v>302</v>
      </c>
      <c r="D3013" s="31" t="s">
        <v>3805</v>
      </c>
      <c r="E3013" s="31" t="s">
        <v>11440</v>
      </c>
      <c r="F3013" s="31" t="s">
        <v>31</v>
      </c>
      <c r="G3013" s="35">
        <v>1048</v>
      </c>
      <c r="H3013" s="31">
        <v>10</v>
      </c>
      <c r="I3013" s="31">
        <v>8</v>
      </c>
      <c r="J3013" s="31" t="s">
        <v>11443</v>
      </c>
      <c r="K3013" s="31" t="s">
        <v>41</v>
      </c>
      <c r="L3013" s="31" t="s">
        <v>304</v>
      </c>
      <c r="M3013" s="31">
        <v>592</v>
      </c>
      <c r="N3013" s="31">
        <v>2018</v>
      </c>
      <c r="O3013" s="31">
        <v>680</v>
      </c>
      <c r="P3013" s="31"/>
      <c r="Q3013" s="31"/>
      <c r="R3013" s="33"/>
      <c r="S3013" s="34" t="str">
        <f>HYPERLINK("http://www.cnpol.ru/covers/18170.jpg","фото на сайте")</f>
        <v>фото на сайте</v>
      </c>
    </row>
    <row r="3014" spans="1:19" ht="50.1" customHeight="1">
      <c r="A3014" s="31" t="s">
        <v>35</v>
      </c>
      <c r="B3014" s="32" t="s">
        <v>11444</v>
      </c>
      <c r="C3014" s="31" t="s">
        <v>143</v>
      </c>
      <c r="D3014" s="31" t="s">
        <v>11445</v>
      </c>
      <c r="E3014" s="31" t="s">
        <v>11446</v>
      </c>
      <c r="F3014" s="31" t="s">
        <v>31</v>
      </c>
      <c r="G3014" s="31">
        <v>832</v>
      </c>
      <c r="H3014" s="31">
        <v>10</v>
      </c>
      <c r="I3014" s="31">
        <v>10</v>
      </c>
      <c r="J3014" s="31" t="s">
        <v>11447</v>
      </c>
      <c r="K3014" s="31" t="s">
        <v>33</v>
      </c>
      <c r="L3014" s="31" t="s">
        <v>34</v>
      </c>
      <c r="M3014" s="31">
        <v>255</v>
      </c>
      <c r="N3014" s="31">
        <v>2025</v>
      </c>
      <c r="O3014" s="31">
        <v>234</v>
      </c>
      <c r="P3014" s="31"/>
      <c r="Q3014" s="31"/>
      <c r="R3014" s="33" t="s">
        <v>11448</v>
      </c>
      <c r="S3014" s="34" t="str">
        <f>HYPERLINK("http://www.cnpol.ru/covers/21776.jpg","фото на сайте")</f>
        <v>фото на сайте</v>
      </c>
    </row>
    <row r="3015" spans="1:19" ht="50.1" customHeight="1">
      <c r="A3015" s="31" t="s">
        <v>35</v>
      </c>
      <c r="B3015" s="32" t="s">
        <v>11449</v>
      </c>
      <c r="C3015" s="31" t="s">
        <v>45</v>
      </c>
      <c r="D3015" s="31" t="s">
        <v>11450</v>
      </c>
      <c r="E3015" s="31" t="s">
        <v>11451</v>
      </c>
      <c r="F3015" s="31" t="s">
        <v>31</v>
      </c>
      <c r="G3015" s="31">
        <v>917</v>
      </c>
      <c r="H3015" s="31">
        <v>10</v>
      </c>
      <c r="I3015" s="31">
        <v>6</v>
      </c>
      <c r="J3015" s="31" t="s">
        <v>11452</v>
      </c>
      <c r="K3015" s="31" t="s">
        <v>33</v>
      </c>
      <c r="L3015" s="31" t="s">
        <v>34</v>
      </c>
      <c r="M3015" s="31">
        <v>320</v>
      </c>
      <c r="N3015" s="31">
        <v>2025</v>
      </c>
      <c r="O3015" s="31" t="s">
        <v>220</v>
      </c>
      <c r="P3015" s="31"/>
      <c r="Q3015" s="31"/>
      <c r="R3015" s="33" t="s">
        <v>11453</v>
      </c>
      <c r="S3015" s="34" t="str">
        <f>HYPERLINK("http://www.cnpol.ru/covers/21818.jpg","фото на сайте")</f>
        <v>фото на сайте</v>
      </c>
    </row>
    <row r="3016" spans="1:19" ht="50.1" customHeight="1">
      <c r="A3016" s="31" t="s">
        <v>43</v>
      </c>
      <c r="B3016" s="32" t="s">
        <v>11454</v>
      </c>
      <c r="C3016" s="31" t="s">
        <v>37</v>
      </c>
      <c r="D3016" s="31" t="s">
        <v>11455</v>
      </c>
      <c r="E3016" s="31" t="s">
        <v>11456</v>
      </c>
      <c r="F3016" s="31" t="s">
        <v>31</v>
      </c>
      <c r="G3016" s="35">
        <v>1174</v>
      </c>
      <c r="H3016" s="31">
        <v>10</v>
      </c>
      <c r="I3016" s="31">
        <v>5</v>
      </c>
      <c r="J3016" s="31" t="s">
        <v>11457</v>
      </c>
      <c r="K3016" s="31" t="s">
        <v>33</v>
      </c>
      <c r="L3016" s="31" t="s">
        <v>34</v>
      </c>
      <c r="M3016" s="31">
        <v>479</v>
      </c>
      <c r="N3016" s="31">
        <v>2025</v>
      </c>
      <c r="O3016" s="31">
        <v>466</v>
      </c>
      <c r="P3016" s="31"/>
      <c r="Q3016" s="31"/>
      <c r="R3016" s="33" t="s">
        <v>11458</v>
      </c>
      <c r="S3016" s="34" t="str">
        <f>HYPERLINK("http://www.cnpol.ru/covers/21704.jpg","фото на сайте")</f>
        <v>фото на сайте</v>
      </c>
    </row>
    <row r="3017" spans="1:19" ht="50.1" customHeight="1">
      <c r="A3017" s="31"/>
      <c r="B3017" s="32" t="s">
        <v>11459</v>
      </c>
      <c r="C3017" s="31" t="s">
        <v>37</v>
      </c>
      <c r="D3017" s="31" t="s">
        <v>11460</v>
      </c>
      <c r="E3017" s="31" t="s">
        <v>11461</v>
      </c>
      <c r="F3017" s="31" t="s">
        <v>31</v>
      </c>
      <c r="G3017" s="31">
        <v>461</v>
      </c>
      <c r="H3017" s="31">
        <v>10</v>
      </c>
      <c r="I3017" s="31">
        <v>16</v>
      </c>
      <c r="J3017" s="31" t="s">
        <v>11462</v>
      </c>
      <c r="K3017" s="31" t="s">
        <v>1938</v>
      </c>
      <c r="L3017" s="31" t="s">
        <v>34</v>
      </c>
      <c r="M3017" s="31">
        <v>256</v>
      </c>
      <c r="N3017" s="31">
        <v>2023</v>
      </c>
      <c r="O3017" s="31">
        <v>243</v>
      </c>
      <c r="P3017" s="31"/>
      <c r="Q3017" s="31"/>
      <c r="R3017" s="33" t="s">
        <v>11463</v>
      </c>
      <c r="S3017" s="34" t="str">
        <f>HYPERLINK("http://www.cnpol.ru/covers/20655.jpg","фото на сайте")</f>
        <v>фото на сайте</v>
      </c>
    </row>
    <row r="3018" spans="1:19" ht="50.1" customHeight="1">
      <c r="A3018" s="31"/>
      <c r="B3018" s="32" t="s">
        <v>11464</v>
      </c>
      <c r="C3018" s="31" t="s">
        <v>418</v>
      </c>
      <c r="D3018" s="31" t="s">
        <v>3894</v>
      </c>
      <c r="E3018" s="31" t="s">
        <v>11465</v>
      </c>
      <c r="F3018" s="31">
        <v>25</v>
      </c>
      <c r="G3018" s="31">
        <v>153</v>
      </c>
      <c r="H3018" s="31">
        <v>10</v>
      </c>
      <c r="I3018" s="31">
        <v>32</v>
      </c>
      <c r="J3018" s="31" t="s">
        <v>11466</v>
      </c>
      <c r="K3018" s="31" t="s">
        <v>123</v>
      </c>
      <c r="L3018" s="31" t="s">
        <v>56</v>
      </c>
      <c r="M3018" s="31">
        <v>286</v>
      </c>
      <c r="N3018" s="31">
        <v>2013</v>
      </c>
      <c r="O3018" s="31">
        <v>128</v>
      </c>
      <c r="P3018" s="31"/>
      <c r="Q3018" s="31"/>
      <c r="R3018" s="33"/>
      <c r="S3018" s="34" t="str">
        <f>HYPERLINK("http://www.cnpol.ru/covers/14353.jpg","фото на сайте")</f>
        <v>фото на сайте</v>
      </c>
    </row>
    <row r="3019" spans="1:19" ht="50.1" customHeight="1">
      <c r="A3019" s="31"/>
      <c r="B3019" s="32" t="s">
        <v>11467</v>
      </c>
      <c r="C3019" s="31" t="s">
        <v>956</v>
      </c>
      <c r="D3019" s="31" t="s">
        <v>11468</v>
      </c>
      <c r="E3019" s="31" t="s">
        <v>11469</v>
      </c>
      <c r="F3019" s="31" t="s">
        <v>31</v>
      </c>
      <c r="G3019" s="31">
        <v>503</v>
      </c>
      <c r="H3019" s="31">
        <v>10</v>
      </c>
      <c r="I3019" s="31">
        <v>16</v>
      </c>
      <c r="J3019" s="31" t="s">
        <v>11470</v>
      </c>
      <c r="K3019" s="31" t="s">
        <v>33</v>
      </c>
      <c r="L3019" s="31" t="s">
        <v>34</v>
      </c>
      <c r="M3019" s="31">
        <v>287</v>
      </c>
      <c r="N3019" s="31">
        <v>2010</v>
      </c>
      <c r="O3019" s="31">
        <v>316</v>
      </c>
      <c r="P3019" s="31"/>
      <c r="Q3019" s="31"/>
      <c r="R3019" s="33"/>
      <c r="S3019" s="34" t="str">
        <f>HYPERLINK("http://www.cnpol.ru/covers/12351.jpg","фото на сайте")</f>
        <v>фото на сайте</v>
      </c>
    </row>
    <row r="3020" spans="1:19" ht="50.1" customHeight="1">
      <c r="A3020" s="31"/>
      <c r="B3020" s="32" t="s">
        <v>11471</v>
      </c>
      <c r="C3020" s="31" t="s">
        <v>4834</v>
      </c>
      <c r="D3020" s="31" t="s">
        <v>5295</v>
      </c>
      <c r="E3020" s="31" t="s">
        <v>11472</v>
      </c>
      <c r="F3020" s="31" t="s">
        <v>31</v>
      </c>
      <c r="G3020" s="31">
        <v>290</v>
      </c>
      <c r="H3020" s="31">
        <v>10</v>
      </c>
      <c r="I3020" s="31">
        <v>14</v>
      </c>
      <c r="J3020" s="31" t="s">
        <v>11473</v>
      </c>
      <c r="K3020" s="31" t="s">
        <v>300</v>
      </c>
      <c r="L3020" s="31" t="s">
        <v>56</v>
      </c>
      <c r="M3020" s="31">
        <v>512</v>
      </c>
      <c r="N3020" s="31">
        <v>2017</v>
      </c>
      <c r="O3020" s="31">
        <v>254</v>
      </c>
      <c r="P3020" s="31"/>
      <c r="Q3020" s="31"/>
      <c r="R3020" s="33"/>
      <c r="S3020" s="34" t="str">
        <f>HYPERLINK("http://www.cnpol.ru/covers/17506.jpg","фото на сайте")</f>
        <v>фото на сайте</v>
      </c>
    </row>
    <row r="3021" spans="1:19" ht="50.1" customHeight="1">
      <c r="A3021" s="31"/>
      <c r="B3021" s="32" t="s">
        <v>11474</v>
      </c>
      <c r="C3021" s="31" t="s">
        <v>546</v>
      </c>
      <c r="D3021" s="31" t="s">
        <v>1347</v>
      </c>
      <c r="E3021" s="31" t="s">
        <v>11475</v>
      </c>
      <c r="F3021" s="31">
        <v>365</v>
      </c>
      <c r="G3021" s="31">
        <v>93</v>
      </c>
      <c r="H3021" s="31">
        <v>10</v>
      </c>
      <c r="I3021" s="31">
        <v>30</v>
      </c>
      <c r="J3021" s="31" t="s">
        <v>11476</v>
      </c>
      <c r="K3021" s="31" t="s">
        <v>123</v>
      </c>
      <c r="L3021" s="31" t="s">
        <v>56</v>
      </c>
      <c r="M3021" s="31">
        <v>160</v>
      </c>
      <c r="N3021" s="31">
        <v>2021</v>
      </c>
      <c r="O3021" s="31">
        <v>76</v>
      </c>
      <c r="P3021" s="31"/>
      <c r="Q3021" s="31"/>
      <c r="R3021" s="33"/>
      <c r="S3021" s="34" t="str">
        <f>HYPERLINK("http://www.cnpol.ru/covers/19501.jpg","фото на сайте")</f>
        <v>фото на сайте</v>
      </c>
    </row>
    <row r="3022" spans="1:19" ht="50.1" customHeight="1">
      <c r="A3022" s="31"/>
      <c r="B3022" s="32" t="s">
        <v>11477</v>
      </c>
      <c r="C3022" s="31" t="s">
        <v>7044</v>
      </c>
      <c r="D3022" s="31" t="s">
        <v>7045</v>
      </c>
      <c r="E3022" s="31" t="s">
        <v>11478</v>
      </c>
      <c r="F3022" s="31">
        <v>6</v>
      </c>
      <c r="G3022" s="31">
        <v>486</v>
      </c>
      <c r="H3022" s="31">
        <v>10</v>
      </c>
      <c r="I3022" s="31">
        <v>20</v>
      </c>
      <c r="J3022" s="31" t="s">
        <v>11479</v>
      </c>
      <c r="K3022" s="31" t="s">
        <v>41</v>
      </c>
      <c r="L3022" s="31" t="s">
        <v>34</v>
      </c>
      <c r="M3022" s="31">
        <v>143</v>
      </c>
      <c r="N3022" s="31">
        <v>2021</v>
      </c>
      <c r="O3022" s="31">
        <v>180</v>
      </c>
      <c r="P3022" s="31"/>
      <c r="Q3022" s="31"/>
      <c r="R3022" s="33"/>
      <c r="S3022" s="34" t="str">
        <f>HYPERLINK("http://www.cnpol.ru/covers/19610.jpg","фото на сайте")</f>
        <v>фото на сайте</v>
      </c>
    </row>
    <row r="3023" spans="1:19" ht="50.1" customHeight="1">
      <c r="A3023" s="31" t="s">
        <v>43</v>
      </c>
      <c r="B3023" s="32" t="s">
        <v>11480</v>
      </c>
      <c r="C3023" s="31" t="s">
        <v>688</v>
      </c>
      <c r="D3023" s="31" t="s">
        <v>4857</v>
      </c>
      <c r="E3023" s="31" t="s">
        <v>11481</v>
      </c>
      <c r="F3023" s="31" t="s">
        <v>31</v>
      </c>
      <c r="G3023" s="35">
        <v>1649</v>
      </c>
      <c r="H3023" s="31">
        <v>10</v>
      </c>
      <c r="I3023" s="31">
        <v>8</v>
      </c>
      <c r="J3023" s="31" t="s">
        <v>11482</v>
      </c>
      <c r="K3023" s="31" t="s">
        <v>33</v>
      </c>
      <c r="L3023" s="31" t="s">
        <v>34</v>
      </c>
      <c r="M3023" s="31">
        <v>511</v>
      </c>
      <c r="N3023" s="31" t="s">
        <v>431</v>
      </c>
      <c r="O3023" s="31">
        <v>406</v>
      </c>
      <c r="P3023" s="31"/>
      <c r="Q3023" s="31"/>
      <c r="R3023" s="33" t="s">
        <v>11483</v>
      </c>
      <c r="S3023" s="34" t="str">
        <f>HYPERLINK("http://www.cnpol.ru/covers/21423.jpg","фото на сайте")</f>
        <v>фото на сайте</v>
      </c>
    </row>
    <row r="3024" spans="1:19" ht="50.1" customHeight="1">
      <c r="A3024" s="31"/>
      <c r="B3024" s="32" t="s">
        <v>11484</v>
      </c>
      <c r="C3024" s="31" t="s">
        <v>520</v>
      </c>
      <c r="D3024" s="31" t="s">
        <v>5181</v>
      </c>
      <c r="E3024" s="31" t="s">
        <v>11485</v>
      </c>
      <c r="F3024" s="31">
        <v>46</v>
      </c>
      <c r="G3024" s="31">
        <v>117</v>
      </c>
      <c r="H3024" s="31">
        <v>10</v>
      </c>
      <c r="I3024" s="31">
        <v>36</v>
      </c>
      <c r="J3024" s="31" t="s">
        <v>11486</v>
      </c>
      <c r="K3024" s="31" t="s">
        <v>123</v>
      </c>
      <c r="L3024" s="31" t="s">
        <v>56</v>
      </c>
      <c r="M3024" s="31">
        <v>192</v>
      </c>
      <c r="N3024" s="31">
        <v>2017</v>
      </c>
      <c r="O3024" s="31">
        <v>90</v>
      </c>
      <c r="P3024" s="31"/>
      <c r="Q3024" s="31"/>
      <c r="R3024" s="33"/>
      <c r="S3024" s="34" t="str">
        <f>HYPERLINK("http://www.cnpol.ru/covers/17546.jpg","фото на сайте")</f>
        <v>фото на сайте</v>
      </c>
    </row>
    <row r="3025" spans="1:19" ht="50.1" customHeight="1">
      <c r="A3025" s="31"/>
      <c r="B3025" s="32" t="s">
        <v>11487</v>
      </c>
      <c r="C3025" s="31" t="s">
        <v>546</v>
      </c>
      <c r="D3025" s="31" t="s">
        <v>1435</v>
      </c>
      <c r="E3025" s="31" t="s">
        <v>11488</v>
      </c>
      <c r="F3025" s="31">
        <v>297</v>
      </c>
      <c r="G3025" s="31">
        <v>93</v>
      </c>
      <c r="H3025" s="31">
        <v>10</v>
      </c>
      <c r="I3025" s="31">
        <v>30</v>
      </c>
      <c r="J3025" s="31" t="s">
        <v>11489</v>
      </c>
      <c r="K3025" s="31" t="s">
        <v>123</v>
      </c>
      <c r="L3025" s="31" t="s">
        <v>56</v>
      </c>
      <c r="M3025" s="31">
        <v>160</v>
      </c>
      <c r="N3025" s="31">
        <v>2019</v>
      </c>
      <c r="O3025" s="31">
        <v>76</v>
      </c>
      <c r="P3025" s="31"/>
      <c r="Q3025" s="31"/>
      <c r="R3025" s="33"/>
      <c r="S3025" s="34" t="str">
        <f>HYPERLINK("http://www.cnpol.ru/covers/18531.jpg","фото на сайте")</f>
        <v>фото на сайте</v>
      </c>
    </row>
    <row r="3026" spans="1:19" ht="50.1" customHeight="1">
      <c r="A3026" s="31"/>
      <c r="B3026" s="32" t="s">
        <v>11490</v>
      </c>
      <c r="C3026" s="31" t="s">
        <v>1102</v>
      </c>
      <c r="D3026" s="31" t="s">
        <v>1553</v>
      </c>
      <c r="E3026" s="31" t="s">
        <v>11491</v>
      </c>
      <c r="F3026" s="31" t="s">
        <v>31</v>
      </c>
      <c r="G3026" s="31">
        <v>640</v>
      </c>
      <c r="H3026" s="31">
        <v>10</v>
      </c>
      <c r="I3026" s="31">
        <v>12</v>
      </c>
      <c r="J3026" s="31" t="s">
        <v>11492</v>
      </c>
      <c r="K3026" s="31" t="s">
        <v>33</v>
      </c>
      <c r="L3026" s="31" t="s">
        <v>34</v>
      </c>
      <c r="M3026" s="31">
        <v>352</v>
      </c>
      <c r="N3026" s="31">
        <v>2019</v>
      </c>
      <c r="O3026" s="31">
        <v>288</v>
      </c>
      <c r="P3026" s="31"/>
      <c r="Q3026" s="31"/>
      <c r="R3026" s="33"/>
      <c r="S3026" s="34" t="str">
        <f>HYPERLINK("http://www.cnpol.ru/covers/19030.jpg","фото на сайте")</f>
        <v>фото на сайте</v>
      </c>
    </row>
    <row r="3027" spans="1:19" ht="50.1" customHeight="1">
      <c r="A3027" s="31"/>
      <c r="B3027" s="32" t="s">
        <v>11493</v>
      </c>
      <c r="C3027" s="31" t="s">
        <v>2056</v>
      </c>
      <c r="D3027" s="31" t="s">
        <v>11494</v>
      </c>
      <c r="E3027" s="31" t="s">
        <v>11495</v>
      </c>
      <c r="F3027" s="31" t="s">
        <v>31</v>
      </c>
      <c r="G3027" s="35">
        <v>1107</v>
      </c>
      <c r="H3027" s="31">
        <v>10</v>
      </c>
      <c r="I3027" s="31">
        <v>8</v>
      </c>
      <c r="J3027" s="31" t="s">
        <v>11496</v>
      </c>
      <c r="K3027" s="31" t="s">
        <v>33</v>
      </c>
      <c r="L3027" s="31" t="s">
        <v>34</v>
      </c>
      <c r="M3027" s="31">
        <v>429</v>
      </c>
      <c r="N3027" s="31">
        <v>2023</v>
      </c>
      <c r="O3027" s="31">
        <v>474</v>
      </c>
      <c r="P3027" s="31"/>
      <c r="Q3027" s="31"/>
      <c r="R3027" s="33" t="s">
        <v>11497</v>
      </c>
      <c r="S3027" s="34" t="str">
        <f>HYPERLINK("http://www.cnpol.ru/covers/20491.jpg","фото на сайте")</f>
        <v>фото на сайте</v>
      </c>
    </row>
    <row r="3028" spans="1:19" ht="50.1" customHeight="1">
      <c r="A3028" s="31" t="s">
        <v>35</v>
      </c>
      <c r="B3028" s="32" t="s">
        <v>11498</v>
      </c>
      <c r="C3028" s="31" t="s">
        <v>143</v>
      </c>
      <c r="D3028" s="31" t="s">
        <v>1966</v>
      </c>
      <c r="E3028" s="31" t="s">
        <v>11499</v>
      </c>
      <c r="F3028" s="31" t="s">
        <v>31</v>
      </c>
      <c r="G3028" s="35">
        <v>1185</v>
      </c>
      <c r="H3028" s="31">
        <v>10</v>
      </c>
      <c r="I3028" s="31">
        <v>8</v>
      </c>
      <c r="J3028" s="31" t="s">
        <v>11500</v>
      </c>
      <c r="K3028" s="31" t="s">
        <v>33</v>
      </c>
      <c r="L3028" s="31" t="s">
        <v>34</v>
      </c>
      <c r="M3028" s="31">
        <v>479</v>
      </c>
      <c r="N3028" s="31">
        <v>2024</v>
      </c>
      <c r="O3028" s="31">
        <v>501</v>
      </c>
      <c r="P3028" s="31"/>
      <c r="Q3028" s="31"/>
      <c r="R3028" s="33" t="s">
        <v>11501</v>
      </c>
      <c r="S3028" s="34" t="str">
        <f>HYPERLINK("http://www.cnpol.ru/covers/21371.jpg","фото на сайте")</f>
        <v>фото на сайте</v>
      </c>
    </row>
    <row r="3029" spans="1:19" ht="50.1" customHeight="1">
      <c r="A3029" s="31" t="s">
        <v>43</v>
      </c>
      <c r="B3029" s="32" t="s">
        <v>11502</v>
      </c>
      <c r="C3029" s="31" t="s">
        <v>37</v>
      </c>
      <c r="D3029" s="31" t="s">
        <v>11503</v>
      </c>
      <c r="E3029" s="31" t="s">
        <v>11504</v>
      </c>
      <c r="F3029" s="31" t="s">
        <v>31</v>
      </c>
      <c r="G3029" s="31">
        <v>777</v>
      </c>
      <c r="H3029" s="31">
        <v>10</v>
      </c>
      <c r="I3029" s="31">
        <v>16</v>
      </c>
      <c r="J3029" s="31" t="s">
        <v>11505</v>
      </c>
      <c r="K3029" s="31" t="s">
        <v>33</v>
      </c>
      <c r="L3029" s="31" t="s">
        <v>34</v>
      </c>
      <c r="M3029" s="31">
        <v>190</v>
      </c>
      <c r="N3029" s="31">
        <v>2025</v>
      </c>
      <c r="O3029" s="31">
        <v>599</v>
      </c>
      <c r="P3029" s="31"/>
      <c r="Q3029" s="31"/>
      <c r="R3029" s="33" t="s">
        <v>11506</v>
      </c>
      <c r="S3029" s="34" t="str">
        <f>HYPERLINK("http://www.cnpol.ru/covers/21549.jpg","фото на сайте")</f>
        <v>фото на сайте</v>
      </c>
    </row>
    <row r="3030" spans="1:19" ht="50.1" customHeight="1">
      <c r="A3030" s="31"/>
      <c r="B3030" s="32" t="s">
        <v>11507</v>
      </c>
      <c r="C3030" s="31" t="s">
        <v>302</v>
      </c>
      <c r="D3030" s="31" t="s">
        <v>5115</v>
      </c>
      <c r="E3030" s="31" t="s">
        <v>11508</v>
      </c>
      <c r="F3030" s="31" t="s">
        <v>31</v>
      </c>
      <c r="G3030" s="31">
        <v>917</v>
      </c>
      <c r="H3030" s="31">
        <v>10</v>
      </c>
      <c r="I3030" s="31">
        <v>14</v>
      </c>
      <c r="J3030" s="31" t="s">
        <v>11509</v>
      </c>
      <c r="K3030" s="31" t="s">
        <v>41</v>
      </c>
      <c r="L3030" s="31" t="s">
        <v>304</v>
      </c>
      <c r="M3030" s="31">
        <v>287</v>
      </c>
      <c r="N3030" s="31">
        <v>2022</v>
      </c>
      <c r="O3030" s="31">
        <v>400</v>
      </c>
      <c r="P3030" s="31"/>
      <c r="Q3030" s="31"/>
      <c r="R3030" s="33" t="s">
        <v>11510</v>
      </c>
      <c r="S3030" s="34" t="str">
        <f>HYPERLINK("http://www.cnpol.ru/covers/20378.jpg","фото на сайте")</f>
        <v>фото на сайте</v>
      </c>
    </row>
    <row r="3031" spans="1:19" ht="50.1" customHeight="1">
      <c r="A3031" s="31" t="s">
        <v>35</v>
      </c>
      <c r="B3031" s="32" t="s">
        <v>11511</v>
      </c>
      <c r="C3031" s="31" t="s">
        <v>297</v>
      </c>
      <c r="D3031" s="31" t="s">
        <v>5115</v>
      </c>
      <c r="E3031" s="31" t="s">
        <v>11508</v>
      </c>
      <c r="F3031" s="31" t="s">
        <v>31</v>
      </c>
      <c r="G3031" s="31">
        <v>300</v>
      </c>
      <c r="H3031" s="31">
        <v>10</v>
      </c>
      <c r="I3031" s="31">
        <v>20</v>
      </c>
      <c r="J3031" s="31" t="s">
        <v>11512</v>
      </c>
      <c r="K3031" s="31" t="s">
        <v>300</v>
      </c>
      <c r="L3031" s="31" t="s">
        <v>56</v>
      </c>
      <c r="M3031" s="31">
        <v>287</v>
      </c>
      <c r="N3031" s="31">
        <v>2024</v>
      </c>
      <c r="O3031" s="31">
        <v>148</v>
      </c>
      <c r="P3031" s="31"/>
      <c r="Q3031" s="31"/>
      <c r="R3031" s="33" t="s">
        <v>11510</v>
      </c>
      <c r="S3031" s="34" t="str">
        <f>HYPERLINK("http://www.cnpol.ru/covers/21232.jpg","фото на сайте")</f>
        <v>фото на сайте</v>
      </c>
    </row>
    <row r="3032" spans="1:19" ht="50.1" customHeight="1">
      <c r="A3032" s="31"/>
      <c r="B3032" s="32" t="s">
        <v>11513</v>
      </c>
      <c r="C3032" s="31" t="s">
        <v>400</v>
      </c>
      <c r="D3032" s="31" t="s">
        <v>985</v>
      </c>
      <c r="E3032" s="31" t="s">
        <v>11514</v>
      </c>
      <c r="F3032" s="31" t="s">
        <v>31</v>
      </c>
      <c r="G3032" s="31">
        <v>503</v>
      </c>
      <c r="H3032" s="31">
        <v>10</v>
      </c>
      <c r="I3032" s="31">
        <v>14</v>
      </c>
      <c r="J3032" s="31" t="s">
        <v>11515</v>
      </c>
      <c r="K3032" s="31" t="s">
        <v>33</v>
      </c>
      <c r="L3032" s="31" t="s">
        <v>34</v>
      </c>
      <c r="M3032" s="31">
        <v>288</v>
      </c>
      <c r="N3032" s="31">
        <v>2021</v>
      </c>
      <c r="O3032" s="31">
        <v>260</v>
      </c>
      <c r="P3032" s="31"/>
      <c r="Q3032" s="31"/>
      <c r="R3032" s="33"/>
      <c r="S3032" s="34" t="str">
        <f>HYPERLINK("http://www.cnpol.ru/covers/19725.jpg","фото на сайте")</f>
        <v>фото на сайте</v>
      </c>
    </row>
    <row r="3033" spans="1:19" ht="50.1" customHeight="1">
      <c r="A3033" s="31"/>
      <c r="B3033" s="32" t="s">
        <v>11516</v>
      </c>
      <c r="C3033" s="31" t="s">
        <v>400</v>
      </c>
      <c r="D3033" s="31" t="s">
        <v>5747</v>
      </c>
      <c r="E3033" s="31" t="s">
        <v>11517</v>
      </c>
      <c r="F3033" s="31" t="s">
        <v>31</v>
      </c>
      <c r="G3033" s="31">
        <v>503</v>
      </c>
      <c r="H3033" s="31">
        <v>10</v>
      </c>
      <c r="I3033" s="31">
        <v>10</v>
      </c>
      <c r="J3033" s="31" t="s">
        <v>11518</v>
      </c>
      <c r="K3033" s="31" t="s">
        <v>33</v>
      </c>
      <c r="L3033" s="31" t="s">
        <v>34</v>
      </c>
      <c r="M3033" s="31">
        <v>475</v>
      </c>
      <c r="N3033" s="31">
        <v>2012</v>
      </c>
      <c r="O3033" s="31">
        <v>374</v>
      </c>
      <c r="P3033" s="31"/>
      <c r="Q3033" s="31"/>
      <c r="R3033" s="33"/>
      <c r="S3033" s="34" t="str">
        <f>HYPERLINK("http://www.cnpol.ru/covers/13893.jpg","фото на сайте")</f>
        <v>фото на сайте</v>
      </c>
    </row>
    <row r="3034" spans="1:19" ht="50.1" customHeight="1">
      <c r="A3034" s="31"/>
      <c r="B3034" s="32" t="s">
        <v>11519</v>
      </c>
      <c r="C3034" s="31" t="s">
        <v>546</v>
      </c>
      <c r="D3034" s="31" t="s">
        <v>2177</v>
      </c>
      <c r="E3034" s="31" t="s">
        <v>11520</v>
      </c>
      <c r="F3034" s="31">
        <v>190</v>
      </c>
      <c r="G3034" s="31">
        <v>93</v>
      </c>
      <c r="H3034" s="31">
        <v>10</v>
      </c>
      <c r="I3034" s="31">
        <v>30</v>
      </c>
      <c r="J3034" s="31" t="s">
        <v>11521</v>
      </c>
      <c r="K3034" s="31" t="s">
        <v>123</v>
      </c>
      <c r="L3034" s="31" t="s">
        <v>56</v>
      </c>
      <c r="M3034" s="31">
        <v>160</v>
      </c>
      <c r="N3034" s="31">
        <v>2016</v>
      </c>
      <c r="O3034" s="31">
        <v>76</v>
      </c>
      <c r="P3034" s="31"/>
      <c r="Q3034" s="31"/>
      <c r="R3034" s="33"/>
      <c r="S3034" s="34" t="str">
        <f>HYPERLINK("http://www.cnpol.ru/covers/17060.jpg","фото на сайте")</f>
        <v>фото на сайте</v>
      </c>
    </row>
    <row r="3035" spans="1:19" ht="50.1" customHeight="1">
      <c r="A3035" s="31" t="s">
        <v>35</v>
      </c>
      <c r="B3035" s="32" t="s">
        <v>11522</v>
      </c>
      <c r="C3035" s="31" t="s">
        <v>11523</v>
      </c>
      <c r="D3035" s="31" t="s">
        <v>11524</v>
      </c>
      <c r="E3035" s="31" t="s">
        <v>11525</v>
      </c>
      <c r="F3035" s="31">
        <v>2</v>
      </c>
      <c r="G3035" s="31">
        <v>587</v>
      </c>
      <c r="H3035" s="31">
        <v>10</v>
      </c>
      <c r="I3035" s="31">
        <v>20</v>
      </c>
      <c r="J3035" s="31" t="s">
        <v>11526</v>
      </c>
      <c r="K3035" s="31" t="s">
        <v>194</v>
      </c>
      <c r="L3035" s="31" t="s">
        <v>34</v>
      </c>
      <c r="M3035" s="31">
        <v>159</v>
      </c>
      <c r="N3035" s="31">
        <v>2025</v>
      </c>
      <c r="O3035" s="31" t="s">
        <v>220</v>
      </c>
      <c r="P3035" s="31"/>
      <c r="Q3035" s="31"/>
      <c r="R3035" s="33" t="s">
        <v>11527</v>
      </c>
      <c r="S3035" s="34" t="str">
        <f>HYPERLINK("http://www.cnpol.ru/covers/21633.jpg","фото на сайте")</f>
        <v>фото на сайте</v>
      </c>
    </row>
    <row r="3036" spans="1:19" ht="50.1" customHeight="1">
      <c r="A3036" s="31" t="s">
        <v>35</v>
      </c>
      <c r="B3036" s="32" t="s">
        <v>11528</v>
      </c>
      <c r="C3036" s="31" t="s">
        <v>11523</v>
      </c>
      <c r="D3036" s="31" t="s">
        <v>11524</v>
      </c>
      <c r="E3036" s="31" t="s">
        <v>11529</v>
      </c>
      <c r="F3036" s="31" t="s">
        <v>31</v>
      </c>
      <c r="G3036" s="31">
        <v>587</v>
      </c>
      <c r="H3036" s="31">
        <v>10</v>
      </c>
      <c r="I3036" s="31">
        <v>20</v>
      </c>
      <c r="J3036" s="31" t="s">
        <v>11530</v>
      </c>
      <c r="K3036" s="31" t="s">
        <v>194</v>
      </c>
      <c r="L3036" s="31" t="s">
        <v>34</v>
      </c>
      <c r="M3036" s="31">
        <v>159</v>
      </c>
      <c r="N3036" s="31">
        <v>2025</v>
      </c>
      <c r="O3036" s="31" t="s">
        <v>220</v>
      </c>
      <c r="P3036" s="31"/>
      <c r="Q3036" s="31"/>
      <c r="R3036" s="33" t="s">
        <v>11531</v>
      </c>
      <c r="S3036" s="34" t="str">
        <f>HYPERLINK("http://www.cnpol.ru/covers/21787.jpg","фото на сайте")</f>
        <v>фото на сайте</v>
      </c>
    </row>
    <row r="3037" spans="1:19" ht="50.1" customHeight="1">
      <c r="A3037" s="31" t="s">
        <v>35</v>
      </c>
      <c r="B3037" s="32" t="s">
        <v>11532</v>
      </c>
      <c r="C3037" s="31" t="s">
        <v>302</v>
      </c>
      <c r="D3037" s="31" t="s">
        <v>872</v>
      </c>
      <c r="E3037" s="31" t="s">
        <v>11533</v>
      </c>
      <c r="F3037" s="31" t="s">
        <v>31</v>
      </c>
      <c r="G3037" s="31">
        <v>917</v>
      </c>
      <c r="H3037" s="31">
        <v>10</v>
      </c>
      <c r="I3037" s="31">
        <v>12</v>
      </c>
      <c r="J3037" s="31" t="s">
        <v>11534</v>
      </c>
      <c r="K3037" s="31" t="s">
        <v>41</v>
      </c>
      <c r="L3037" s="31" t="s">
        <v>304</v>
      </c>
      <c r="M3037" s="31">
        <v>351</v>
      </c>
      <c r="N3037" s="31">
        <v>2024</v>
      </c>
      <c r="O3037" s="31">
        <v>459</v>
      </c>
      <c r="P3037" s="31"/>
      <c r="Q3037" s="31"/>
      <c r="R3037" s="33" t="s">
        <v>11535</v>
      </c>
      <c r="S3037" s="34" t="str">
        <f>HYPERLINK("http://www.cnpol.ru/covers/21093.jpg","фото на сайте")</f>
        <v>фото на сайте</v>
      </c>
    </row>
    <row r="3038" spans="1:19" ht="50.1" customHeight="1">
      <c r="A3038" s="31" t="s">
        <v>35</v>
      </c>
      <c r="B3038" s="32" t="s">
        <v>11536</v>
      </c>
      <c r="C3038" s="31" t="s">
        <v>297</v>
      </c>
      <c r="D3038" s="31" t="s">
        <v>872</v>
      </c>
      <c r="E3038" s="31" t="s">
        <v>11533</v>
      </c>
      <c r="F3038" s="31" t="s">
        <v>31</v>
      </c>
      <c r="G3038" s="31">
        <v>300</v>
      </c>
      <c r="H3038" s="31">
        <v>10</v>
      </c>
      <c r="I3038" s="31">
        <v>8</v>
      </c>
      <c r="J3038" s="31" t="s">
        <v>11537</v>
      </c>
      <c r="K3038" s="31" t="s">
        <v>300</v>
      </c>
      <c r="L3038" s="31" t="s">
        <v>56</v>
      </c>
      <c r="M3038" s="31">
        <v>351</v>
      </c>
      <c r="N3038" s="31">
        <v>2025</v>
      </c>
      <c r="O3038" s="31" t="s">
        <v>220</v>
      </c>
      <c r="P3038" s="31"/>
      <c r="Q3038" s="31"/>
      <c r="R3038" s="33" t="s">
        <v>11538</v>
      </c>
      <c r="S3038" s="34" t="str">
        <f>HYPERLINK("http://www.cnpol.ru/covers/21825.jpg","фото на сайте")</f>
        <v>фото на сайте</v>
      </c>
    </row>
    <row r="3039" spans="1:19" ht="50.1" customHeight="1">
      <c r="A3039" s="31"/>
      <c r="B3039" s="32" t="s">
        <v>11539</v>
      </c>
      <c r="C3039" s="31" t="s">
        <v>8066</v>
      </c>
      <c r="D3039" s="31" t="s">
        <v>11540</v>
      </c>
      <c r="E3039" s="31" t="s">
        <v>11541</v>
      </c>
      <c r="F3039" s="31" t="s">
        <v>31</v>
      </c>
      <c r="G3039" s="31">
        <v>503</v>
      </c>
      <c r="H3039" s="31">
        <v>10</v>
      </c>
      <c r="I3039" s="31">
        <v>28</v>
      </c>
      <c r="J3039" s="31" t="s">
        <v>11542</v>
      </c>
      <c r="K3039" s="31" t="s">
        <v>194</v>
      </c>
      <c r="L3039" s="31" t="s">
        <v>34</v>
      </c>
      <c r="M3039" s="31">
        <v>160</v>
      </c>
      <c r="N3039" s="31">
        <v>2019</v>
      </c>
      <c r="O3039" s="31">
        <v>182</v>
      </c>
      <c r="P3039" s="31"/>
      <c r="Q3039" s="31"/>
      <c r="R3039" s="33"/>
      <c r="S3039" s="34" t="str">
        <f>HYPERLINK("http://www.cnpol.ru/covers/18813.jpg","фото на сайте")</f>
        <v>фото на сайте</v>
      </c>
    </row>
    <row r="3040" spans="1:19" ht="50.1" customHeight="1">
      <c r="A3040" s="31"/>
      <c r="B3040" s="32" t="s">
        <v>11543</v>
      </c>
      <c r="C3040" s="31" t="s">
        <v>11544</v>
      </c>
      <c r="D3040" s="31" t="s">
        <v>11545</v>
      </c>
      <c r="E3040" s="31" t="s">
        <v>11546</v>
      </c>
      <c r="F3040" s="31" t="s">
        <v>31</v>
      </c>
      <c r="G3040" s="31">
        <v>234</v>
      </c>
      <c r="H3040" s="31">
        <v>20</v>
      </c>
      <c r="I3040" s="31">
        <v>24</v>
      </c>
      <c r="J3040" s="31" t="s">
        <v>11547</v>
      </c>
      <c r="K3040" s="31" t="s">
        <v>123</v>
      </c>
      <c r="L3040" s="31" t="s">
        <v>210</v>
      </c>
      <c r="M3040" s="31">
        <v>189</v>
      </c>
      <c r="N3040" s="31">
        <v>2008</v>
      </c>
      <c r="O3040" s="31">
        <v>126</v>
      </c>
      <c r="P3040" s="31"/>
      <c r="Q3040" s="31"/>
      <c r="R3040" s="33"/>
      <c r="S3040" s="34" t="str">
        <f>HYPERLINK("http://www.cnpol.ru/covers/10565.jpg","фото на сайте")</f>
        <v>фото на сайте</v>
      </c>
    </row>
    <row r="3041" spans="1:19" ht="50.1" customHeight="1">
      <c r="A3041" s="31"/>
      <c r="B3041" s="32" t="s">
        <v>11548</v>
      </c>
      <c r="C3041" s="31" t="s">
        <v>297</v>
      </c>
      <c r="D3041" s="31" t="s">
        <v>11549</v>
      </c>
      <c r="E3041" s="31" t="s">
        <v>11550</v>
      </c>
      <c r="F3041" s="31" t="s">
        <v>31</v>
      </c>
      <c r="G3041" s="31">
        <v>300</v>
      </c>
      <c r="H3041" s="31">
        <v>10</v>
      </c>
      <c r="I3041" s="31">
        <v>8</v>
      </c>
      <c r="J3041" s="31" t="s">
        <v>11551</v>
      </c>
      <c r="K3041" s="31" t="s">
        <v>300</v>
      </c>
      <c r="L3041" s="31" t="s">
        <v>56</v>
      </c>
      <c r="M3041" s="31">
        <v>383</v>
      </c>
      <c r="N3041" s="31">
        <v>2022</v>
      </c>
      <c r="O3041" s="31">
        <v>196</v>
      </c>
      <c r="P3041" s="31"/>
      <c r="Q3041" s="31"/>
      <c r="R3041" s="33" t="s">
        <v>11552</v>
      </c>
      <c r="S3041" s="34" t="str">
        <f>HYPERLINK("http://www.cnpol.ru/covers/20445.jpg","фото на сайте")</f>
        <v>фото на сайте</v>
      </c>
    </row>
    <row r="3042" spans="1:19" ht="50.1" customHeight="1">
      <c r="A3042" s="31"/>
      <c r="B3042" s="32" t="s">
        <v>11553</v>
      </c>
      <c r="C3042" s="31" t="s">
        <v>302</v>
      </c>
      <c r="D3042" s="31" t="s">
        <v>11549</v>
      </c>
      <c r="E3042" s="31" t="s">
        <v>11550</v>
      </c>
      <c r="F3042" s="31" t="s">
        <v>31</v>
      </c>
      <c r="G3042" s="31">
        <v>917</v>
      </c>
      <c r="H3042" s="31">
        <v>10</v>
      </c>
      <c r="I3042" s="31">
        <v>14</v>
      </c>
      <c r="J3042" s="31" t="s">
        <v>11554</v>
      </c>
      <c r="K3042" s="31" t="s">
        <v>41</v>
      </c>
      <c r="L3042" s="31" t="s">
        <v>304</v>
      </c>
      <c r="M3042" s="31">
        <v>352</v>
      </c>
      <c r="N3042" s="31">
        <v>2019</v>
      </c>
      <c r="O3042" s="31">
        <v>464</v>
      </c>
      <c r="P3042" s="31"/>
      <c r="Q3042" s="31"/>
      <c r="R3042" s="33"/>
      <c r="S3042" s="34" t="str">
        <f>HYPERLINK("http://www.cnpol.ru/covers/18517.jpg","фото на сайте")</f>
        <v>фото на сайте</v>
      </c>
    </row>
    <row r="3043" spans="1:19" ht="50.1" customHeight="1">
      <c r="A3043" s="31"/>
      <c r="B3043" s="32" t="s">
        <v>11555</v>
      </c>
      <c r="C3043" s="31" t="s">
        <v>10521</v>
      </c>
      <c r="D3043" s="31" t="s">
        <v>5713</v>
      </c>
      <c r="E3043" s="31" t="s">
        <v>11556</v>
      </c>
      <c r="F3043" s="31" t="s">
        <v>31</v>
      </c>
      <c r="G3043" s="31">
        <v>168</v>
      </c>
      <c r="H3043" s="31">
        <v>10</v>
      </c>
      <c r="I3043" s="31">
        <v>14</v>
      </c>
      <c r="J3043" s="31" t="s">
        <v>11557</v>
      </c>
      <c r="K3043" s="31" t="s">
        <v>33</v>
      </c>
      <c r="L3043" s="31" t="s">
        <v>10525</v>
      </c>
      <c r="M3043" s="31">
        <v>366</v>
      </c>
      <c r="N3043" s="31">
        <v>2005</v>
      </c>
      <c r="O3043" s="31">
        <v>266</v>
      </c>
      <c r="P3043" s="31"/>
      <c r="Q3043" s="31"/>
      <c r="R3043" s="33"/>
      <c r="S3043" s="34" t="str">
        <f>HYPERLINK("http://www.cnpol.ru/covers/6208.jpg","фото на сайте")</f>
        <v>фото на сайте</v>
      </c>
    </row>
    <row r="3044" spans="1:19" ht="50.1" customHeight="1">
      <c r="A3044" s="31"/>
      <c r="B3044" s="32" t="s">
        <v>11558</v>
      </c>
      <c r="C3044" s="31" t="s">
        <v>6027</v>
      </c>
      <c r="D3044" s="31" t="s">
        <v>5713</v>
      </c>
      <c r="E3044" s="31" t="s">
        <v>11556</v>
      </c>
      <c r="F3044" s="31" t="s">
        <v>31</v>
      </c>
      <c r="G3044" s="31">
        <v>154</v>
      </c>
      <c r="H3044" s="31">
        <v>10</v>
      </c>
      <c r="I3044" s="31">
        <v>24</v>
      </c>
      <c r="J3044" s="31" t="s">
        <v>11559</v>
      </c>
      <c r="K3044" s="31" t="s">
        <v>130</v>
      </c>
      <c r="L3044" s="31" t="s">
        <v>56</v>
      </c>
      <c r="M3044" s="31">
        <v>382</v>
      </c>
      <c r="N3044" s="31">
        <v>2007</v>
      </c>
      <c r="O3044" s="31">
        <v>160</v>
      </c>
      <c r="P3044" s="31"/>
      <c r="Q3044" s="31"/>
      <c r="R3044" s="33"/>
      <c r="S3044" s="34" t="str">
        <f>HYPERLINK("http://www.cnpol.ru/covers/7459.jpg","фото на сайте")</f>
        <v>фото на сайте</v>
      </c>
    </row>
    <row r="3045" spans="1:19" ht="50.1" customHeight="1">
      <c r="A3045" s="31"/>
      <c r="B3045" s="32" t="s">
        <v>11560</v>
      </c>
      <c r="C3045" s="31" t="s">
        <v>143</v>
      </c>
      <c r="D3045" s="31" t="s">
        <v>2771</v>
      </c>
      <c r="E3045" s="31" t="s">
        <v>11561</v>
      </c>
      <c r="F3045" s="31" t="s">
        <v>31</v>
      </c>
      <c r="G3045" s="31">
        <v>936</v>
      </c>
      <c r="H3045" s="31">
        <v>10</v>
      </c>
      <c r="I3045" s="31">
        <v>12</v>
      </c>
      <c r="J3045" s="31" t="s">
        <v>11562</v>
      </c>
      <c r="K3045" s="31" t="s">
        <v>33</v>
      </c>
      <c r="L3045" s="31" t="s">
        <v>34</v>
      </c>
      <c r="M3045" s="31">
        <v>335</v>
      </c>
      <c r="N3045" s="31">
        <v>2022</v>
      </c>
      <c r="O3045" s="31">
        <v>368</v>
      </c>
      <c r="P3045" s="31"/>
      <c r="Q3045" s="31"/>
      <c r="R3045" s="33"/>
      <c r="S3045" s="34" t="str">
        <f>HYPERLINK("http://www.cnpol.ru/covers/20024.jpg","фото на сайте")</f>
        <v>фото на сайте</v>
      </c>
    </row>
    <row r="3046" spans="1:19" ht="50.1" customHeight="1">
      <c r="A3046" s="31"/>
      <c r="B3046" s="32" t="s">
        <v>11563</v>
      </c>
      <c r="C3046" s="31" t="s">
        <v>400</v>
      </c>
      <c r="D3046" s="31" t="s">
        <v>5195</v>
      </c>
      <c r="E3046" s="31" t="s">
        <v>11564</v>
      </c>
      <c r="F3046" s="31" t="s">
        <v>31</v>
      </c>
      <c r="G3046" s="31">
        <v>503</v>
      </c>
      <c r="H3046" s="31">
        <v>10</v>
      </c>
      <c r="I3046" s="31">
        <v>16</v>
      </c>
      <c r="J3046" s="31" t="s">
        <v>11565</v>
      </c>
      <c r="K3046" s="31" t="s">
        <v>33</v>
      </c>
      <c r="L3046" s="31" t="s">
        <v>34</v>
      </c>
      <c r="M3046" s="31">
        <v>288</v>
      </c>
      <c r="N3046" s="31">
        <v>2017</v>
      </c>
      <c r="O3046" s="31">
        <v>254</v>
      </c>
      <c r="P3046" s="31"/>
      <c r="Q3046" s="31"/>
      <c r="R3046" s="33"/>
      <c r="S3046" s="34" t="str">
        <f>HYPERLINK("http://www.cnpol.ru/covers/17531.jpg","фото на сайте")</f>
        <v>фото на сайте</v>
      </c>
    </row>
    <row r="3047" spans="1:19" ht="50.1" customHeight="1">
      <c r="A3047" s="31" t="s">
        <v>43</v>
      </c>
      <c r="B3047" s="32" t="s">
        <v>11566</v>
      </c>
      <c r="C3047" s="31" t="s">
        <v>37</v>
      </c>
      <c r="D3047" s="31" t="s">
        <v>11567</v>
      </c>
      <c r="E3047" s="31" t="s">
        <v>11568</v>
      </c>
      <c r="F3047" s="31" t="s">
        <v>31</v>
      </c>
      <c r="G3047" s="35">
        <v>1832</v>
      </c>
      <c r="H3047" s="31">
        <v>10</v>
      </c>
      <c r="I3047" s="31">
        <v>4</v>
      </c>
      <c r="J3047" s="31" t="s">
        <v>11569</v>
      </c>
      <c r="K3047" s="31" t="s">
        <v>41</v>
      </c>
      <c r="L3047" s="31" t="s">
        <v>34</v>
      </c>
      <c r="M3047" s="31">
        <v>780</v>
      </c>
      <c r="N3047" s="31">
        <v>2024</v>
      </c>
      <c r="O3047" s="31">
        <v>777</v>
      </c>
      <c r="P3047" s="31"/>
      <c r="Q3047" s="31"/>
      <c r="R3047" s="33" t="s">
        <v>11570</v>
      </c>
      <c r="S3047" s="34" t="str">
        <f>HYPERLINK("http://www.cnpol.ru/covers/21358.jpg","фото на сайте")</f>
        <v>фото на сайте</v>
      </c>
    </row>
    <row r="3048" spans="1:19" ht="50.1" customHeight="1">
      <c r="A3048" s="31"/>
      <c r="B3048" s="32" t="s">
        <v>11571</v>
      </c>
      <c r="C3048" s="31" t="s">
        <v>171</v>
      </c>
      <c r="D3048" s="31" t="s">
        <v>172</v>
      </c>
      <c r="E3048" s="31" t="s">
        <v>11572</v>
      </c>
      <c r="F3048" s="31" t="s">
        <v>31</v>
      </c>
      <c r="G3048" s="35">
        <v>1588</v>
      </c>
      <c r="H3048" s="31">
        <v>10</v>
      </c>
      <c r="I3048" s="31">
        <v>5</v>
      </c>
      <c r="J3048" s="31" t="s">
        <v>11573</v>
      </c>
      <c r="K3048" s="31" t="s">
        <v>41</v>
      </c>
      <c r="L3048" s="31" t="s">
        <v>34</v>
      </c>
      <c r="M3048" s="31">
        <v>543</v>
      </c>
      <c r="N3048" s="31">
        <v>2023</v>
      </c>
      <c r="O3048" s="31">
        <v>545</v>
      </c>
      <c r="P3048" s="31"/>
      <c r="Q3048" s="31"/>
      <c r="R3048" s="33" t="s">
        <v>11574</v>
      </c>
      <c r="S3048" s="34" t="str">
        <f>HYPERLINK("http://www.cnpol.ru/covers/20648.jpg","фото на сайте")</f>
        <v>фото на сайте</v>
      </c>
    </row>
    <row r="3049" spans="1:19" ht="50.1" customHeight="1">
      <c r="A3049" s="31"/>
      <c r="B3049" s="32" t="s">
        <v>11575</v>
      </c>
      <c r="C3049" s="31" t="s">
        <v>576</v>
      </c>
      <c r="D3049" s="31" t="s">
        <v>577</v>
      </c>
      <c r="E3049" s="31" t="s">
        <v>11576</v>
      </c>
      <c r="F3049" s="31" t="s">
        <v>31</v>
      </c>
      <c r="G3049" s="31">
        <v>226</v>
      </c>
      <c r="H3049" s="31">
        <v>10</v>
      </c>
      <c r="I3049" s="31">
        <v>20</v>
      </c>
      <c r="J3049" s="31" t="s">
        <v>11577</v>
      </c>
      <c r="K3049" s="31" t="s">
        <v>123</v>
      </c>
      <c r="L3049" s="31" t="s">
        <v>56</v>
      </c>
      <c r="M3049" s="31">
        <v>320</v>
      </c>
      <c r="N3049" s="31">
        <v>2019</v>
      </c>
      <c r="O3049" s="31">
        <v>144</v>
      </c>
      <c r="P3049" s="31"/>
      <c r="Q3049" s="31"/>
      <c r="R3049" s="33"/>
      <c r="S3049" s="34" t="str">
        <f>HYPERLINK("http://www.cnpol.ru/covers/18850.jpg","фото на сайте")</f>
        <v>фото на сайте</v>
      </c>
    </row>
    <row r="3050" spans="1:19" ht="50.1" customHeight="1">
      <c r="A3050" s="31"/>
      <c r="B3050" s="32" t="s">
        <v>11578</v>
      </c>
      <c r="C3050" s="31" t="s">
        <v>37</v>
      </c>
      <c r="D3050" s="31" t="s">
        <v>11579</v>
      </c>
      <c r="E3050" s="31" t="s">
        <v>11580</v>
      </c>
      <c r="F3050" s="31" t="s">
        <v>31</v>
      </c>
      <c r="G3050" s="31">
        <v>746</v>
      </c>
      <c r="H3050" s="31">
        <v>10</v>
      </c>
      <c r="I3050" s="31">
        <v>12</v>
      </c>
      <c r="J3050" s="31" t="s">
        <v>11581</v>
      </c>
      <c r="K3050" s="31" t="s">
        <v>33</v>
      </c>
      <c r="L3050" s="31" t="s">
        <v>34</v>
      </c>
      <c r="M3050" s="31">
        <v>287</v>
      </c>
      <c r="N3050" s="31">
        <v>2023</v>
      </c>
      <c r="O3050" s="31">
        <v>351</v>
      </c>
      <c r="P3050" s="31"/>
      <c r="Q3050" s="31"/>
      <c r="R3050" s="33" t="s">
        <v>11582</v>
      </c>
      <c r="S3050" s="34" t="str">
        <f>HYPERLINK("http://www.cnpol.ru/covers/20740.jpg","фото на сайте")</f>
        <v>фото на сайте</v>
      </c>
    </row>
    <row r="3051" spans="1:19" ht="50.1" customHeight="1">
      <c r="A3051" s="31" t="s">
        <v>43</v>
      </c>
      <c r="B3051" s="32" t="s">
        <v>11583</v>
      </c>
      <c r="C3051" s="31" t="s">
        <v>454</v>
      </c>
      <c r="D3051" s="31" t="s">
        <v>11584</v>
      </c>
      <c r="E3051" s="31" t="s">
        <v>11585</v>
      </c>
      <c r="F3051" s="31" t="s">
        <v>31</v>
      </c>
      <c r="G3051" s="35">
        <v>1107</v>
      </c>
      <c r="H3051" s="31">
        <v>10</v>
      </c>
      <c r="I3051" s="31">
        <v>5</v>
      </c>
      <c r="J3051" s="31" t="s">
        <v>11586</v>
      </c>
      <c r="K3051" s="31" t="s">
        <v>33</v>
      </c>
      <c r="L3051" s="31" t="s">
        <v>34</v>
      </c>
      <c r="M3051" s="31">
        <v>430</v>
      </c>
      <c r="N3051" s="31">
        <v>2025</v>
      </c>
      <c r="O3051" s="31" t="s">
        <v>220</v>
      </c>
      <c r="P3051" s="31"/>
      <c r="Q3051" s="31"/>
      <c r="R3051" s="33" t="s">
        <v>11587</v>
      </c>
      <c r="S3051" s="34" t="str">
        <f>HYPERLINK("http://www.cnpol.ru/covers/21849.jpg","фото на сайте")</f>
        <v>фото на сайте</v>
      </c>
    </row>
    <row r="3052" spans="1:19" ht="50.1" customHeight="1">
      <c r="A3052" s="31"/>
      <c r="B3052" s="32" t="s">
        <v>11588</v>
      </c>
      <c r="C3052" s="31" t="s">
        <v>37</v>
      </c>
      <c r="D3052" s="31" t="s">
        <v>11589</v>
      </c>
      <c r="E3052" s="31" t="s">
        <v>11590</v>
      </c>
      <c r="F3052" s="31" t="s">
        <v>31</v>
      </c>
      <c r="G3052" s="31">
        <v>539</v>
      </c>
      <c r="H3052" s="31">
        <v>10</v>
      </c>
      <c r="I3052" s="31">
        <v>12</v>
      </c>
      <c r="J3052" s="31" t="s">
        <v>11591</v>
      </c>
      <c r="K3052" s="31" t="s">
        <v>33</v>
      </c>
      <c r="L3052" s="31" t="s">
        <v>34</v>
      </c>
      <c r="M3052" s="31">
        <v>352</v>
      </c>
      <c r="N3052" s="31">
        <v>2020</v>
      </c>
      <c r="O3052" s="31">
        <v>340</v>
      </c>
      <c r="P3052" s="31"/>
      <c r="Q3052" s="31"/>
      <c r="R3052" s="33"/>
      <c r="S3052" s="34" t="str">
        <f>HYPERLINK("http://www.cnpol.ru/covers/19077.jpg","фото на сайте")</f>
        <v>фото на сайте</v>
      </c>
    </row>
    <row r="3053" spans="1:19" ht="50.1" customHeight="1">
      <c r="A3053" s="31"/>
      <c r="B3053" s="32" t="s">
        <v>11592</v>
      </c>
      <c r="C3053" s="31" t="s">
        <v>171</v>
      </c>
      <c r="D3053" s="31" t="s">
        <v>172</v>
      </c>
      <c r="E3053" s="31" t="s">
        <v>11593</v>
      </c>
      <c r="F3053" s="31" t="s">
        <v>31</v>
      </c>
      <c r="G3053" s="35">
        <v>2236</v>
      </c>
      <c r="H3053" s="31">
        <v>10</v>
      </c>
      <c r="I3053" s="31">
        <v>3</v>
      </c>
      <c r="J3053" s="31" t="s">
        <v>11594</v>
      </c>
      <c r="K3053" s="31" t="s">
        <v>41</v>
      </c>
      <c r="L3053" s="31" t="s">
        <v>34</v>
      </c>
      <c r="M3053" s="31">
        <v>943</v>
      </c>
      <c r="N3053" s="31">
        <v>2023</v>
      </c>
      <c r="O3053" s="31">
        <v>1100</v>
      </c>
      <c r="P3053" s="31"/>
      <c r="Q3053" s="31"/>
      <c r="R3053" s="33" t="s">
        <v>11595</v>
      </c>
      <c r="S3053" s="34" t="str">
        <f>HYPERLINK("http://www.cnpol.ru/covers/20689.jpg","фото на сайте")</f>
        <v>фото на сайте</v>
      </c>
    </row>
    <row r="3054" spans="1:19" ht="50.1" customHeight="1">
      <c r="A3054" s="31"/>
      <c r="B3054" s="32" t="s">
        <v>11596</v>
      </c>
      <c r="C3054" s="31" t="s">
        <v>143</v>
      </c>
      <c r="D3054" s="31" t="s">
        <v>11597</v>
      </c>
      <c r="E3054" s="31" t="s">
        <v>11598</v>
      </c>
      <c r="F3054" s="31" t="s">
        <v>31</v>
      </c>
      <c r="G3054" s="35">
        <v>1095</v>
      </c>
      <c r="H3054" s="31">
        <v>10</v>
      </c>
      <c r="I3054" s="31">
        <v>10</v>
      </c>
      <c r="J3054" s="31" t="s">
        <v>11599</v>
      </c>
      <c r="K3054" s="31" t="s">
        <v>33</v>
      </c>
      <c r="L3054" s="31" t="s">
        <v>34</v>
      </c>
      <c r="M3054" s="31">
        <v>445</v>
      </c>
      <c r="N3054" s="31">
        <v>2022</v>
      </c>
      <c r="O3054" s="31">
        <v>495</v>
      </c>
      <c r="P3054" s="31"/>
      <c r="Q3054" s="31"/>
      <c r="R3054" s="33"/>
      <c r="S3054" s="34" t="str">
        <f>HYPERLINK("http://www.cnpol.ru/covers/20245.jpg","фото на сайте")</f>
        <v>фото на сайте</v>
      </c>
    </row>
    <row r="3055" spans="1:19" ht="50.1" customHeight="1">
      <c r="A3055" s="31"/>
      <c r="B3055" s="32" t="s">
        <v>11600</v>
      </c>
      <c r="C3055" s="31" t="s">
        <v>11601</v>
      </c>
      <c r="D3055" s="31" t="s">
        <v>11602</v>
      </c>
      <c r="E3055" s="31" t="s">
        <v>11603</v>
      </c>
      <c r="F3055" s="31" t="s">
        <v>31</v>
      </c>
      <c r="G3055" s="31">
        <v>236</v>
      </c>
      <c r="H3055" s="31">
        <v>10</v>
      </c>
      <c r="I3055" s="31">
        <v>12</v>
      </c>
      <c r="J3055" s="31" t="s">
        <v>11604</v>
      </c>
      <c r="K3055" s="31" t="s">
        <v>33</v>
      </c>
      <c r="L3055" s="31" t="s">
        <v>34</v>
      </c>
      <c r="M3055" s="31">
        <v>383</v>
      </c>
      <c r="N3055" s="31">
        <v>2003</v>
      </c>
      <c r="O3055" s="31">
        <v>314</v>
      </c>
      <c r="P3055" s="31"/>
      <c r="Q3055" s="31"/>
      <c r="R3055" s="33"/>
      <c r="S3055" s="34" t="str">
        <f>HYPERLINK("http://www.cnpol.ru/covers/3928.jpg","фото на сайте")</f>
        <v>фото на сайте</v>
      </c>
    </row>
    <row r="3056" spans="1:19" ht="50.1" customHeight="1">
      <c r="A3056" s="31" t="s">
        <v>43</v>
      </c>
      <c r="B3056" s="32" t="s">
        <v>11605</v>
      </c>
      <c r="C3056" s="31" t="s">
        <v>28</v>
      </c>
      <c r="D3056" s="31" t="s">
        <v>1201</v>
      </c>
      <c r="E3056" s="31" t="s">
        <v>11606</v>
      </c>
      <c r="F3056" s="31" t="s">
        <v>31</v>
      </c>
      <c r="G3056" s="31">
        <v>696</v>
      </c>
      <c r="H3056" s="31">
        <v>10</v>
      </c>
      <c r="I3056" s="31">
        <v>14</v>
      </c>
      <c r="J3056" s="31" t="s">
        <v>11607</v>
      </c>
      <c r="K3056" s="31" t="s">
        <v>33</v>
      </c>
      <c r="L3056" s="31" t="s">
        <v>34</v>
      </c>
      <c r="M3056" s="31">
        <v>383</v>
      </c>
      <c r="N3056" s="31">
        <v>2024</v>
      </c>
      <c r="O3056" s="31">
        <v>419</v>
      </c>
      <c r="P3056" s="31"/>
      <c r="Q3056" s="31"/>
      <c r="R3056" s="33" t="s">
        <v>11608</v>
      </c>
      <c r="S3056" s="34" t="str">
        <f>HYPERLINK("http://www.cnpol.ru/covers/21101.jpg","фото на сайте")</f>
        <v>фото на сайте</v>
      </c>
    </row>
    <row r="3057" spans="1:19" ht="50.1" customHeight="1">
      <c r="A3057" s="31"/>
      <c r="B3057" s="32" t="s">
        <v>11609</v>
      </c>
      <c r="C3057" s="31" t="s">
        <v>400</v>
      </c>
      <c r="D3057" s="31" t="s">
        <v>3260</v>
      </c>
      <c r="E3057" s="31" t="s">
        <v>11610</v>
      </c>
      <c r="F3057" s="31" t="s">
        <v>31</v>
      </c>
      <c r="G3057" s="31">
        <v>503</v>
      </c>
      <c r="H3057" s="31">
        <v>10</v>
      </c>
      <c r="I3057" s="31">
        <v>12</v>
      </c>
      <c r="J3057" s="31" t="s">
        <v>11611</v>
      </c>
      <c r="K3057" s="31" t="s">
        <v>33</v>
      </c>
      <c r="L3057" s="31" t="s">
        <v>34</v>
      </c>
      <c r="M3057" s="31">
        <v>352</v>
      </c>
      <c r="N3057" s="31">
        <v>2018</v>
      </c>
      <c r="O3057" s="31">
        <v>290</v>
      </c>
      <c r="P3057" s="31"/>
      <c r="Q3057" s="31"/>
      <c r="R3057" s="33"/>
      <c r="S3057" s="34" t="str">
        <f>HYPERLINK("http://www.cnpol.ru/covers/18339.jpg","фото на сайте")</f>
        <v>фото на сайте</v>
      </c>
    </row>
    <row r="3058" spans="1:19" ht="50.1" customHeight="1">
      <c r="A3058" s="31"/>
      <c r="B3058" s="32" t="s">
        <v>11612</v>
      </c>
      <c r="C3058" s="31" t="s">
        <v>683</v>
      </c>
      <c r="D3058" s="31" t="s">
        <v>684</v>
      </c>
      <c r="E3058" s="31" t="s">
        <v>11613</v>
      </c>
      <c r="F3058" s="31" t="s">
        <v>31</v>
      </c>
      <c r="G3058" s="31">
        <v>325</v>
      </c>
      <c r="H3058" s="31">
        <v>10</v>
      </c>
      <c r="I3058" s="31">
        <v>10</v>
      </c>
      <c r="J3058" s="31" t="s">
        <v>11614</v>
      </c>
      <c r="K3058" s="31" t="s">
        <v>33</v>
      </c>
      <c r="L3058" s="31" t="s">
        <v>34</v>
      </c>
      <c r="M3058" s="31">
        <v>488</v>
      </c>
      <c r="N3058" s="31">
        <v>2007</v>
      </c>
      <c r="O3058" s="31">
        <v>400</v>
      </c>
      <c r="P3058" s="31"/>
      <c r="Q3058" s="31"/>
      <c r="R3058" s="33"/>
      <c r="S3058" s="34" t="str">
        <f>HYPERLINK("http://www.cnpol.ru/covers/7230.jpg","фото на сайте")</f>
        <v>фото на сайте</v>
      </c>
    </row>
    <row r="3059" spans="1:19" ht="50.1" customHeight="1">
      <c r="A3059" s="31"/>
      <c r="B3059" s="32" t="s">
        <v>11615</v>
      </c>
      <c r="C3059" s="31" t="s">
        <v>400</v>
      </c>
      <c r="D3059" s="31" t="s">
        <v>11616</v>
      </c>
      <c r="E3059" s="31" t="s">
        <v>11617</v>
      </c>
      <c r="F3059" s="31" t="s">
        <v>31</v>
      </c>
      <c r="G3059" s="31">
        <v>503</v>
      </c>
      <c r="H3059" s="31">
        <v>10</v>
      </c>
      <c r="I3059" s="31">
        <v>14</v>
      </c>
      <c r="J3059" s="31" t="s">
        <v>11618</v>
      </c>
      <c r="K3059" s="31" t="s">
        <v>33</v>
      </c>
      <c r="L3059" s="31" t="s">
        <v>34</v>
      </c>
      <c r="M3059" s="31">
        <v>288</v>
      </c>
      <c r="N3059" s="31">
        <v>2020</v>
      </c>
      <c r="O3059" s="31">
        <v>256</v>
      </c>
      <c r="P3059" s="31"/>
      <c r="Q3059" s="31"/>
      <c r="R3059" s="33"/>
      <c r="S3059" s="34" t="str">
        <f>HYPERLINK("http://www.cnpol.ru/covers/19351.jpg","фото на сайте")</f>
        <v>фото на сайте</v>
      </c>
    </row>
    <row r="3060" spans="1:19" ht="50.1" customHeight="1">
      <c r="A3060" s="31" t="s">
        <v>43</v>
      </c>
      <c r="B3060" s="32" t="s">
        <v>11619</v>
      </c>
      <c r="C3060" s="31" t="s">
        <v>1328</v>
      </c>
      <c r="D3060" s="31" t="s">
        <v>1329</v>
      </c>
      <c r="E3060" s="31" t="s">
        <v>11620</v>
      </c>
      <c r="F3060" s="31" t="s">
        <v>31</v>
      </c>
      <c r="G3060" s="31">
        <v>488</v>
      </c>
      <c r="H3060" s="31">
        <v>10</v>
      </c>
      <c r="I3060" s="31">
        <v>8</v>
      </c>
      <c r="J3060" s="31" t="s">
        <v>11621</v>
      </c>
      <c r="K3060" s="31" t="s">
        <v>130</v>
      </c>
      <c r="L3060" s="31" t="s">
        <v>56</v>
      </c>
      <c r="M3060" s="31">
        <v>254</v>
      </c>
      <c r="N3060" s="31">
        <v>2024</v>
      </c>
      <c r="O3060" s="31">
        <v>220</v>
      </c>
      <c r="P3060" s="31"/>
      <c r="Q3060" s="31"/>
      <c r="R3060" s="33" t="s">
        <v>11622</v>
      </c>
      <c r="S3060" s="34" t="str">
        <f>HYPERLINK("http://www.cnpol.ru/covers/21095.jpg","фото на сайте")</f>
        <v>фото на сайте</v>
      </c>
    </row>
    <row r="3061" spans="1:19" ht="50.1" customHeight="1">
      <c r="A3061" s="31" t="s">
        <v>35</v>
      </c>
      <c r="B3061" s="32" t="s">
        <v>11623</v>
      </c>
      <c r="C3061" s="31" t="s">
        <v>2631</v>
      </c>
      <c r="D3061" s="31" t="s">
        <v>9354</v>
      </c>
      <c r="E3061" s="31" t="s">
        <v>11624</v>
      </c>
      <c r="F3061" s="31" t="s">
        <v>31</v>
      </c>
      <c r="G3061" s="35">
        <v>2883</v>
      </c>
      <c r="H3061" s="31">
        <v>10</v>
      </c>
      <c r="I3061" s="31">
        <v>3</v>
      </c>
      <c r="J3061" s="31" t="s">
        <v>11625</v>
      </c>
      <c r="K3061" s="31" t="s">
        <v>147</v>
      </c>
      <c r="L3061" s="31" t="s">
        <v>34</v>
      </c>
      <c r="M3061" s="31">
        <v>831</v>
      </c>
      <c r="N3061" s="31">
        <v>2025</v>
      </c>
      <c r="O3061" s="31" t="s">
        <v>220</v>
      </c>
      <c r="P3061" s="31"/>
      <c r="Q3061" s="31"/>
      <c r="R3061" s="33" t="s">
        <v>11626</v>
      </c>
      <c r="S3061" s="34" t="str">
        <f>HYPERLINK("http://www.cnpol.ru/covers/21397.jpg","фото на сайте")</f>
        <v>фото на сайте</v>
      </c>
    </row>
    <row r="3062" spans="1:19" ht="50.1" customHeight="1">
      <c r="A3062" s="31"/>
      <c r="B3062" s="32" t="s">
        <v>11627</v>
      </c>
      <c r="C3062" s="31" t="s">
        <v>390</v>
      </c>
      <c r="D3062" s="31" t="s">
        <v>8547</v>
      </c>
      <c r="E3062" s="31" t="s">
        <v>11628</v>
      </c>
      <c r="F3062" s="31">
        <v>741</v>
      </c>
      <c r="G3062" s="31">
        <v>86</v>
      </c>
      <c r="H3062" s="31">
        <v>10</v>
      </c>
      <c r="I3062" s="31">
        <v>30</v>
      </c>
      <c r="J3062" s="31" t="s">
        <v>11629</v>
      </c>
      <c r="K3062" s="31" t="s">
        <v>123</v>
      </c>
      <c r="L3062" s="31" t="s">
        <v>56</v>
      </c>
      <c r="M3062" s="31">
        <v>160</v>
      </c>
      <c r="N3062" s="31">
        <v>2017</v>
      </c>
      <c r="O3062" s="31">
        <v>76</v>
      </c>
      <c r="P3062" s="31"/>
      <c r="Q3062" s="31"/>
      <c r="R3062" s="33"/>
      <c r="S3062" s="34" t="str">
        <f>HYPERLINK("http://www.cnpol.ru/covers/17621.jpg","фото на сайте")</f>
        <v>фото на сайте</v>
      </c>
    </row>
    <row r="3063" spans="1:19" ht="50.1" customHeight="1">
      <c r="A3063" s="31"/>
      <c r="B3063" s="32" t="s">
        <v>11630</v>
      </c>
      <c r="C3063" s="31" t="s">
        <v>546</v>
      </c>
      <c r="D3063" s="31" t="s">
        <v>5706</v>
      </c>
      <c r="E3063" s="31" t="s">
        <v>11631</v>
      </c>
      <c r="F3063" s="31">
        <v>330</v>
      </c>
      <c r="G3063" s="31">
        <v>93</v>
      </c>
      <c r="H3063" s="31">
        <v>10</v>
      </c>
      <c r="I3063" s="31">
        <v>30</v>
      </c>
      <c r="J3063" s="31" t="s">
        <v>11632</v>
      </c>
      <c r="K3063" s="31" t="s">
        <v>123</v>
      </c>
      <c r="L3063" s="31" t="s">
        <v>56</v>
      </c>
      <c r="M3063" s="31">
        <v>160</v>
      </c>
      <c r="N3063" s="31">
        <v>2019</v>
      </c>
      <c r="O3063" s="31">
        <v>76</v>
      </c>
      <c r="P3063" s="31"/>
      <c r="Q3063" s="31"/>
      <c r="R3063" s="33"/>
      <c r="S3063" s="34" t="str">
        <f>HYPERLINK("http://www.cnpol.ru/covers/18930.jpg","фото на сайте")</f>
        <v>фото на сайте</v>
      </c>
    </row>
    <row r="3064" spans="1:19" ht="50.1" customHeight="1">
      <c r="A3064" s="31"/>
      <c r="B3064" s="32" t="s">
        <v>11633</v>
      </c>
      <c r="C3064" s="31" t="s">
        <v>400</v>
      </c>
      <c r="D3064" s="31" t="s">
        <v>11634</v>
      </c>
      <c r="E3064" s="31" t="s">
        <v>11635</v>
      </c>
      <c r="F3064" s="31" t="s">
        <v>31</v>
      </c>
      <c r="G3064" s="31">
        <v>503</v>
      </c>
      <c r="H3064" s="31">
        <v>10</v>
      </c>
      <c r="I3064" s="31">
        <v>14</v>
      </c>
      <c r="J3064" s="31" t="s">
        <v>11636</v>
      </c>
      <c r="K3064" s="31" t="s">
        <v>33</v>
      </c>
      <c r="L3064" s="31" t="s">
        <v>34</v>
      </c>
      <c r="M3064" s="31">
        <v>288</v>
      </c>
      <c r="N3064" s="31">
        <v>2020</v>
      </c>
      <c r="O3064" s="31">
        <v>270</v>
      </c>
      <c r="P3064" s="31"/>
      <c r="Q3064" s="31"/>
      <c r="R3064" s="33"/>
      <c r="S3064" s="34" t="str">
        <f>HYPERLINK("http://www.cnpol.ru/covers/19080.jpg","фото на сайте")</f>
        <v>фото на сайте</v>
      </c>
    </row>
    <row r="3065" spans="1:19" ht="50.1" customHeight="1">
      <c r="A3065" s="31"/>
      <c r="B3065" s="32" t="s">
        <v>11637</v>
      </c>
      <c r="C3065" s="31" t="s">
        <v>45</v>
      </c>
      <c r="D3065" s="31" t="s">
        <v>10058</v>
      </c>
      <c r="E3065" s="31" t="s">
        <v>11638</v>
      </c>
      <c r="F3065" s="31" t="s">
        <v>31</v>
      </c>
      <c r="G3065" s="31">
        <v>907</v>
      </c>
      <c r="H3065" s="31">
        <v>10</v>
      </c>
      <c r="I3065" s="31">
        <v>12</v>
      </c>
      <c r="J3065" s="31" t="s">
        <v>11639</v>
      </c>
      <c r="K3065" s="31" t="s">
        <v>33</v>
      </c>
      <c r="L3065" s="31" t="s">
        <v>34</v>
      </c>
      <c r="M3065" s="31">
        <v>511</v>
      </c>
      <c r="N3065" s="31">
        <v>2015</v>
      </c>
      <c r="O3065" s="31">
        <v>508</v>
      </c>
      <c r="P3065" s="31"/>
      <c r="Q3065" s="31"/>
      <c r="R3065" s="33"/>
      <c r="S3065" s="34" t="str">
        <f>HYPERLINK("http://www.cnpol.ru/covers/16017.jpg","фото на сайте")</f>
        <v>фото на сайте</v>
      </c>
    </row>
    <row r="3066" spans="1:19" ht="50.1" customHeight="1">
      <c r="A3066" s="31"/>
      <c r="B3066" s="32" t="s">
        <v>11640</v>
      </c>
      <c r="C3066" s="31" t="s">
        <v>45</v>
      </c>
      <c r="D3066" s="31" t="s">
        <v>11641</v>
      </c>
      <c r="E3066" s="31" t="s">
        <v>11642</v>
      </c>
      <c r="F3066" s="31" t="s">
        <v>31</v>
      </c>
      <c r="G3066" s="31">
        <v>907</v>
      </c>
      <c r="H3066" s="31">
        <v>10</v>
      </c>
      <c r="I3066" s="31">
        <v>8</v>
      </c>
      <c r="J3066" s="31" t="s">
        <v>11643</v>
      </c>
      <c r="K3066" s="31" t="s">
        <v>33</v>
      </c>
      <c r="L3066" s="31" t="s">
        <v>34</v>
      </c>
      <c r="M3066" s="31">
        <v>512</v>
      </c>
      <c r="N3066" s="31">
        <v>2016</v>
      </c>
      <c r="O3066" s="31">
        <v>508</v>
      </c>
      <c r="P3066" s="31"/>
      <c r="Q3066" s="31"/>
      <c r="R3066" s="33"/>
      <c r="S3066" s="34" t="str">
        <f>HYPERLINK("http://www.cnpol.ru/covers/16900.jpg","фото на сайте")</f>
        <v>фото на сайте</v>
      </c>
    </row>
    <row r="3067" spans="1:19" ht="50.1" customHeight="1">
      <c r="A3067" s="31" t="s">
        <v>35</v>
      </c>
      <c r="B3067" s="32" t="s">
        <v>11644</v>
      </c>
      <c r="C3067" s="31" t="s">
        <v>45</v>
      </c>
      <c r="D3067" s="31" t="s">
        <v>11645</v>
      </c>
      <c r="E3067" s="31" t="s">
        <v>11646</v>
      </c>
      <c r="F3067" s="31" t="s">
        <v>31</v>
      </c>
      <c r="G3067" s="35">
        <v>1160</v>
      </c>
      <c r="H3067" s="31">
        <v>10</v>
      </c>
      <c r="I3067" s="31">
        <v>5</v>
      </c>
      <c r="J3067" s="31" t="s">
        <v>11647</v>
      </c>
      <c r="K3067" s="31" t="s">
        <v>33</v>
      </c>
      <c r="L3067" s="31" t="s">
        <v>34</v>
      </c>
      <c r="M3067" s="31">
        <v>430</v>
      </c>
      <c r="N3067" s="31">
        <v>2025</v>
      </c>
      <c r="O3067" s="31" t="s">
        <v>220</v>
      </c>
      <c r="P3067" s="31"/>
      <c r="Q3067" s="31"/>
      <c r="R3067" s="33" t="s">
        <v>11648</v>
      </c>
      <c r="S3067" s="34" t="str">
        <f>HYPERLINK("http://www.cnpol.ru/covers/21842.jpg","фото на сайте")</f>
        <v>фото на сайте</v>
      </c>
    </row>
    <row r="3068" spans="1:19" ht="50.1" customHeight="1">
      <c r="A3068" s="31"/>
      <c r="B3068" s="32" t="s">
        <v>11649</v>
      </c>
      <c r="C3068" s="31" t="s">
        <v>45</v>
      </c>
      <c r="D3068" s="31" t="s">
        <v>11650</v>
      </c>
      <c r="E3068" s="31" t="s">
        <v>11651</v>
      </c>
      <c r="F3068" s="31" t="s">
        <v>31</v>
      </c>
      <c r="G3068" s="31">
        <v>880</v>
      </c>
      <c r="H3068" s="31">
        <v>10</v>
      </c>
      <c r="I3068" s="31">
        <v>12</v>
      </c>
      <c r="J3068" s="31" t="s">
        <v>11652</v>
      </c>
      <c r="K3068" s="31" t="s">
        <v>33</v>
      </c>
      <c r="L3068" s="31" t="s">
        <v>34</v>
      </c>
      <c r="M3068" s="31">
        <v>480</v>
      </c>
      <c r="N3068" s="31">
        <v>2015</v>
      </c>
      <c r="O3068" s="31">
        <v>482</v>
      </c>
      <c r="P3068" s="31"/>
      <c r="Q3068" s="31"/>
      <c r="R3068" s="33"/>
      <c r="S3068" s="34" t="str">
        <f>HYPERLINK("http://www.cnpol.ru/covers/15894.jpg","фото на сайте")</f>
        <v>фото на сайте</v>
      </c>
    </row>
    <row r="3069" spans="1:19" ht="50.1" customHeight="1">
      <c r="A3069" s="31"/>
      <c r="B3069" s="32" t="s">
        <v>11653</v>
      </c>
      <c r="C3069" s="31" t="s">
        <v>45</v>
      </c>
      <c r="D3069" s="31" t="s">
        <v>11654</v>
      </c>
      <c r="E3069" s="31" t="s">
        <v>11655</v>
      </c>
      <c r="F3069" s="31" t="s">
        <v>31</v>
      </c>
      <c r="G3069" s="31">
        <v>843</v>
      </c>
      <c r="H3069" s="31">
        <v>10</v>
      </c>
      <c r="I3069" s="31">
        <v>12</v>
      </c>
      <c r="J3069" s="31" t="s">
        <v>11656</v>
      </c>
      <c r="K3069" s="31" t="s">
        <v>33</v>
      </c>
      <c r="L3069" s="31" t="s">
        <v>34</v>
      </c>
      <c r="M3069" s="31">
        <v>412</v>
      </c>
      <c r="N3069" s="31">
        <v>2012</v>
      </c>
      <c r="O3069" s="31">
        <v>492</v>
      </c>
      <c r="P3069" s="31"/>
      <c r="Q3069" s="31"/>
      <c r="R3069" s="33"/>
      <c r="S3069" s="34" t="str">
        <f>HYPERLINK("http://www.cnpol.ru/covers/13698.jpg","фото на сайте")</f>
        <v>фото на сайте</v>
      </c>
    </row>
    <row r="3070" spans="1:19" ht="50.1" customHeight="1">
      <c r="A3070" s="31"/>
      <c r="B3070" s="32" t="s">
        <v>11657</v>
      </c>
      <c r="C3070" s="31" t="s">
        <v>45</v>
      </c>
      <c r="D3070" s="31" t="s">
        <v>11658</v>
      </c>
      <c r="E3070" s="31" t="s">
        <v>11659</v>
      </c>
      <c r="F3070" s="31" t="s">
        <v>31</v>
      </c>
      <c r="G3070" s="31">
        <v>746</v>
      </c>
      <c r="H3070" s="31">
        <v>10</v>
      </c>
      <c r="I3070" s="31">
        <v>18</v>
      </c>
      <c r="J3070" s="31" t="s">
        <v>11660</v>
      </c>
      <c r="K3070" s="31" t="s">
        <v>33</v>
      </c>
      <c r="L3070" s="31" t="s">
        <v>34</v>
      </c>
      <c r="M3070" s="31">
        <v>320</v>
      </c>
      <c r="N3070" s="31">
        <v>2014</v>
      </c>
      <c r="O3070" s="31">
        <v>348</v>
      </c>
      <c r="P3070" s="31"/>
      <c r="Q3070" s="31"/>
      <c r="R3070" s="33"/>
      <c r="S3070" s="34" t="str">
        <f>HYPERLINK("http://www.cnpol.ru/covers/15379.jpg","фото на сайте")</f>
        <v>фото на сайте</v>
      </c>
    </row>
    <row r="3071" spans="1:19" ht="50.1" customHeight="1">
      <c r="A3071" s="31"/>
      <c r="B3071" s="32" t="s">
        <v>11661</v>
      </c>
      <c r="C3071" s="31" t="s">
        <v>45</v>
      </c>
      <c r="D3071" s="31" t="s">
        <v>11662</v>
      </c>
      <c r="E3071" s="31" t="s">
        <v>11663</v>
      </c>
      <c r="F3071" s="31" t="s">
        <v>31</v>
      </c>
      <c r="G3071" s="35">
        <v>1149</v>
      </c>
      <c r="H3071" s="31">
        <v>10</v>
      </c>
      <c r="I3071" s="31">
        <v>10</v>
      </c>
      <c r="J3071" s="31" t="s">
        <v>11664</v>
      </c>
      <c r="K3071" s="31" t="s">
        <v>33</v>
      </c>
      <c r="L3071" s="31" t="s">
        <v>34</v>
      </c>
      <c r="M3071" s="31">
        <v>464</v>
      </c>
      <c r="N3071" s="31">
        <v>2021</v>
      </c>
      <c r="O3071" s="31">
        <v>376</v>
      </c>
      <c r="P3071" s="31"/>
      <c r="Q3071" s="31"/>
      <c r="R3071" s="33"/>
      <c r="S3071" s="34" t="str">
        <f>HYPERLINK("http://www.cnpol.ru/covers/19907.jpg","фото на сайте")</f>
        <v>фото на сайте</v>
      </c>
    </row>
    <row r="3072" spans="1:19" ht="50.1" customHeight="1">
      <c r="A3072" s="31" t="s">
        <v>35</v>
      </c>
      <c r="B3072" s="32" t="s">
        <v>11665</v>
      </c>
      <c r="C3072" s="31" t="s">
        <v>45</v>
      </c>
      <c r="D3072" s="31" t="s">
        <v>11666</v>
      </c>
      <c r="E3072" s="31" t="s">
        <v>11667</v>
      </c>
      <c r="F3072" s="31" t="s">
        <v>31</v>
      </c>
      <c r="G3072" s="31">
        <v>977</v>
      </c>
      <c r="H3072" s="31">
        <v>10</v>
      </c>
      <c r="I3072" s="31">
        <v>12</v>
      </c>
      <c r="J3072" s="31" t="s">
        <v>11668</v>
      </c>
      <c r="K3072" s="31" t="s">
        <v>33</v>
      </c>
      <c r="L3072" s="31" t="s">
        <v>34</v>
      </c>
      <c r="M3072" s="31">
        <v>491</v>
      </c>
      <c r="N3072" s="31">
        <v>2025</v>
      </c>
      <c r="O3072" s="31">
        <v>504</v>
      </c>
      <c r="P3072" s="31"/>
      <c r="Q3072" s="31"/>
      <c r="R3072" s="33" t="s">
        <v>11669</v>
      </c>
      <c r="S3072" s="34" t="str">
        <f>HYPERLINK("http://www.cnpol.ru/covers/21540.jpg","фото на сайте")</f>
        <v>фото на сайте</v>
      </c>
    </row>
    <row r="3073" spans="1:19" ht="50.1" customHeight="1">
      <c r="A3073" s="31" t="s">
        <v>43</v>
      </c>
      <c r="B3073" s="32" t="s">
        <v>11670</v>
      </c>
      <c r="C3073" s="31" t="s">
        <v>45</v>
      </c>
      <c r="D3073" s="31" t="s">
        <v>1212</v>
      </c>
      <c r="E3073" s="31" t="s">
        <v>11671</v>
      </c>
      <c r="F3073" s="31" t="s">
        <v>31</v>
      </c>
      <c r="G3073" s="35">
        <v>1547</v>
      </c>
      <c r="H3073" s="31">
        <v>10</v>
      </c>
      <c r="I3073" s="31">
        <v>4</v>
      </c>
      <c r="J3073" s="31" t="s">
        <v>11672</v>
      </c>
      <c r="K3073" s="31" t="s">
        <v>33</v>
      </c>
      <c r="L3073" s="31" t="s">
        <v>34</v>
      </c>
      <c r="M3073" s="31">
        <v>698</v>
      </c>
      <c r="N3073" s="31">
        <v>2025</v>
      </c>
      <c r="O3073" s="31">
        <v>688</v>
      </c>
      <c r="P3073" s="31"/>
      <c r="Q3073" s="31"/>
      <c r="R3073" s="33" t="s">
        <v>11673</v>
      </c>
      <c r="S3073" s="34" t="str">
        <f>HYPERLINK("http://www.cnpol.ru/covers/21766.jpg","фото на сайте")</f>
        <v>фото на сайте</v>
      </c>
    </row>
    <row r="3074" spans="1:19" ht="50.1" customHeight="1">
      <c r="A3074" s="31" t="s">
        <v>43</v>
      </c>
      <c r="B3074" s="32" t="s">
        <v>11674</v>
      </c>
      <c r="C3074" s="31" t="s">
        <v>45</v>
      </c>
      <c r="D3074" s="31" t="s">
        <v>1212</v>
      </c>
      <c r="E3074" s="31" t="s">
        <v>11675</v>
      </c>
      <c r="F3074" s="31" t="s">
        <v>31</v>
      </c>
      <c r="G3074" s="35">
        <v>1125</v>
      </c>
      <c r="H3074" s="31">
        <v>10</v>
      </c>
      <c r="I3074" s="31">
        <v>5</v>
      </c>
      <c r="J3074" s="31" t="s">
        <v>11676</v>
      </c>
      <c r="K3074" s="31" t="s">
        <v>33</v>
      </c>
      <c r="L3074" s="31" t="s">
        <v>34</v>
      </c>
      <c r="M3074" s="31">
        <v>444</v>
      </c>
      <c r="N3074" s="31">
        <v>2025</v>
      </c>
      <c r="O3074" s="31">
        <v>486</v>
      </c>
      <c r="P3074" s="31"/>
      <c r="Q3074" s="31"/>
      <c r="R3074" s="33" t="s">
        <v>11677</v>
      </c>
      <c r="S3074" s="34" t="str">
        <f>HYPERLINK("http://www.cnpol.ru/covers/21765.jpg","фото на сайте")</f>
        <v>фото на сайте</v>
      </c>
    </row>
    <row r="3075" spans="1:19" ht="50.1" customHeight="1">
      <c r="A3075" s="31"/>
      <c r="B3075" s="32" t="s">
        <v>11678</v>
      </c>
      <c r="C3075" s="31" t="s">
        <v>45</v>
      </c>
      <c r="D3075" s="31" t="s">
        <v>5151</v>
      </c>
      <c r="E3075" s="31" t="s">
        <v>11679</v>
      </c>
      <c r="F3075" s="31" t="s">
        <v>31</v>
      </c>
      <c r="G3075" s="35">
        <v>1058</v>
      </c>
      <c r="H3075" s="31">
        <v>10</v>
      </c>
      <c r="I3075" s="31">
        <v>10</v>
      </c>
      <c r="J3075" s="31" t="s">
        <v>11680</v>
      </c>
      <c r="K3075" s="31" t="s">
        <v>33</v>
      </c>
      <c r="L3075" s="31" t="s">
        <v>34</v>
      </c>
      <c r="M3075" s="31">
        <v>607</v>
      </c>
      <c r="N3075" s="31">
        <v>2013</v>
      </c>
      <c r="O3075" s="31">
        <v>594</v>
      </c>
      <c r="P3075" s="31"/>
      <c r="Q3075" s="31"/>
      <c r="R3075" s="33"/>
      <c r="S3075" s="34" t="str">
        <f>HYPERLINK("http://www.cnpol.ru/covers/14684.jpg","фото на сайте")</f>
        <v>фото на сайте</v>
      </c>
    </row>
    <row r="3076" spans="1:19" ht="50.1" customHeight="1">
      <c r="A3076" s="31"/>
      <c r="B3076" s="32" t="s">
        <v>11681</v>
      </c>
      <c r="C3076" s="31" t="s">
        <v>45</v>
      </c>
      <c r="D3076" s="31" t="s">
        <v>3458</v>
      </c>
      <c r="E3076" s="31" t="s">
        <v>11682</v>
      </c>
      <c r="F3076" s="31" t="s">
        <v>31</v>
      </c>
      <c r="G3076" s="31">
        <v>807</v>
      </c>
      <c r="H3076" s="31">
        <v>10</v>
      </c>
      <c r="I3076" s="31">
        <v>14</v>
      </c>
      <c r="J3076" s="31" t="s">
        <v>11683</v>
      </c>
      <c r="K3076" s="31" t="s">
        <v>33</v>
      </c>
      <c r="L3076" s="31" t="s">
        <v>34</v>
      </c>
      <c r="M3076" s="31">
        <v>320</v>
      </c>
      <c r="N3076" s="31">
        <v>2019</v>
      </c>
      <c r="O3076" s="31">
        <v>310</v>
      </c>
      <c r="P3076" s="31"/>
      <c r="Q3076" s="31"/>
      <c r="R3076" s="33"/>
      <c r="S3076" s="34" t="str">
        <f>HYPERLINK("http://www.cnpol.ru/covers/18921.jpg","фото на сайте")</f>
        <v>фото на сайте</v>
      </c>
    </row>
    <row r="3077" spans="1:19" ht="50.1" customHeight="1">
      <c r="A3077" s="31"/>
      <c r="B3077" s="32" t="s">
        <v>11684</v>
      </c>
      <c r="C3077" s="31" t="s">
        <v>1102</v>
      </c>
      <c r="D3077" s="31" t="s">
        <v>7660</v>
      </c>
      <c r="E3077" s="31" t="s">
        <v>11685</v>
      </c>
      <c r="F3077" s="31" t="s">
        <v>31</v>
      </c>
      <c r="G3077" s="31">
        <v>593</v>
      </c>
      <c r="H3077" s="31">
        <v>10</v>
      </c>
      <c r="I3077" s="31">
        <v>12</v>
      </c>
      <c r="J3077" s="31" t="s">
        <v>11686</v>
      </c>
      <c r="K3077" s="31" t="s">
        <v>33</v>
      </c>
      <c r="L3077" s="31" t="s">
        <v>34</v>
      </c>
      <c r="M3077" s="31">
        <v>288</v>
      </c>
      <c r="N3077" s="31">
        <v>2020</v>
      </c>
      <c r="O3077" s="31">
        <v>238</v>
      </c>
      <c r="P3077" s="31"/>
      <c r="Q3077" s="31"/>
      <c r="R3077" s="33"/>
      <c r="S3077" s="34" t="str">
        <f>HYPERLINK("http://www.cnpol.ru/covers/19442.jpg","фото на сайте")</f>
        <v>фото на сайте</v>
      </c>
    </row>
    <row r="3078" spans="1:19" ht="50.1" customHeight="1">
      <c r="A3078" s="31" t="s">
        <v>43</v>
      </c>
      <c r="B3078" s="32" t="s">
        <v>11687</v>
      </c>
      <c r="C3078" s="31" t="s">
        <v>45</v>
      </c>
      <c r="D3078" s="31" t="s">
        <v>11688</v>
      </c>
      <c r="E3078" s="31" t="s">
        <v>11689</v>
      </c>
      <c r="F3078" s="31" t="s">
        <v>31</v>
      </c>
      <c r="G3078" s="35">
        <v>1076</v>
      </c>
      <c r="H3078" s="31">
        <v>10</v>
      </c>
      <c r="I3078" s="31">
        <v>5</v>
      </c>
      <c r="J3078" s="31" t="s">
        <v>11690</v>
      </c>
      <c r="K3078" s="31" t="s">
        <v>33</v>
      </c>
      <c r="L3078" s="31" t="s">
        <v>34</v>
      </c>
      <c r="M3078" s="31">
        <v>416</v>
      </c>
      <c r="N3078" s="31">
        <v>2025</v>
      </c>
      <c r="O3078" s="31">
        <v>377</v>
      </c>
      <c r="P3078" s="31"/>
      <c r="Q3078" s="31"/>
      <c r="R3078" s="33" t="s">
        <v>11691</v>
      </c>
      <c r="S3078" s="34" t="str">
        <f>HYPERLINK("http://www.cnpol.ru/covers/21745.jpg","фото на сайте")</f>
        <v>фото на сайте</v>
      </c>
    </row>
    <row r="3079" spans="1:19" ht="50.1" customHeight="1">
      <c r="A3079" s="31"/>
      <c r="B3079" s="32" t="s">
        <v>11692</v>
      </c>
      <c r="C3079" s="31" t="s">
        <v>143</v>
      </c>
      <c r="D3079" s="31" t="s">
        <v>11693</v>
      </c>
      <c r="E3079" s="31" t="s">
        <v>11694</v>
      </c>
      <c r="F3079" s="31">
        <v>1</v>
      </c>
      <c r="G3079" s="35">
        <v>2065</v>
      </c>
      <c r="H3079" s="31">
        <v>10</v>
      </c>
      <c r="I3079" s="31">
        <v>6</v>
      </c>
      <c r="J3079" s="31" t="s">
        <v>11695</v>
      </c>
      <c r="K3079" s="31" t="s">
        <v>41</v>
      </c>
      <c r="L3079" s="31" t="s">
        <v>34</v>
      </c>
      <c r="M3079" s="31">
        <v>753</v>
      </c>
      <c r="N3079" s="31">
        <v>2022</v>
      </c>
      <c r="O3079" s="31">
        <v>758</v>
      </c>
      <c r="P3079" s="31"/>
      <c r="Q3079" s="31"/>
      <c r="R3079" s="33"/>
      <c r="S3079" s="34" t="str">
        <f>HYPERLINK("http://www.cnpol.ru/covers/20275.jpg","фото на сайте")</f>
        <v>фото на сайте</v>
      </c>
    </row>
    <row r="3080" spans="1:19" ht="50.1" customHeight="1">
      <c r="A3080" s="31"/>
      <c r="B3080" s="32" t="s">
        <v>11696</v>
      </c>
      <c r="C3080" s="31" t="s">
        <v>143</v>
      </c>
      <c r="D3080" s="31" t="s">
        <v>11693</v>
      </c>
      <c r="E3080" s="31" t="s">
        <v>11697</v>
      </c>
      <c r="F3080" s="31">
        <v>2</v>
      </c>
      <c r="G3080" s="35">
        <v>2065</v>
      </c>
      <c r="H3080" s="31">
        <v>10</v>
      </c>
      <c r="I3080" s="31">
        <v>6</v>
      </c>
      <c r="J3080" s="31" t="s">
        <v>11698</v>
      </c>
      <c r="K3080" s="31" t="s">
        <v>41</v>
      </c>
      <c r="L3080" s="31" t="s">
        <v>34</v>
      </c>
      <c r="M3080" s="31">
        <v>847</v>
      </c>
      <c r="N3080" s="31">
        <v>2022</v>
      </c>
      <c r="O3080" s="31">
        <v>728</v>
      </c>
      <c r="P3080" s="31"/>
      <c r="Q3080" s="31"/>
      <c r="R3080" s="33"/>
      <c r="S3080" s="34" t="str">
        <f>HYPERLINK("http://www.cnpol.ru/covers/20276.jpg","фото на сайте")</f>
        <v>фото на сайте</v>
      </c>
    </row>
    <row r="3081" spans="1:19" ht="50.1" customHeight="1">
      <c r="A3081" s="31"/>
      <c r="B3081" s="32" t="s">
        <v>11699</v>
      </c>
      <c r="C3081" s="31" t="s">
        <v>143</v>
      </c>
      <c r="D3081" s="31" t="s">
        <v>11693</v>
      </c>
      <c r="E3081" s="31" t="s">
        <v>11700</v>
      </c>
      <c r="F3081" s="31">
        <v>3</v>
      </c>
      <c r="G3081" s="35">
        <v>2065</v>
      </c>
      <c r="H3081" s="31">
        <v>10</v>
      </c>
      <c r="I3081" s="31">
        <v>6</v>
      </c>
      <c r="J3081" s="31" t="s">
        <v>11701</v>
      </c>
      <c r="K3081" s="31" t="s">
        <v>41</v>
      </c>
      <c r="L3081" s="31" t="s">
        <v>34</v>
      </c>
      <c r="M3081" s="31">
        <v>845</v>
      </c>
      <c r="N3081" s="31">
        <v>2022</v>
      </c>
      <c r="O3081" s="31">
        <v>728</v>
      </c>
      <c r="P3081" s="31"/>
      <c r="Q3081" s="31"/>
      <c r="R3081" s="33"/>
      <c r="S3081" s="34" t="str">
        <f>HYPERLINK("http://www.cnpol.ru/covers/20277.jpg","фото на сайте")</f>
        <v>фото на сайте</v>
      </c>
    </row>
    <row r="3082" spans="1:19" ht="50.1" customHeight="1">
      <c r="A3082" s="31"/>
      <c r="B3082" s="32" t="s">
        <v>11702</v>
      </c>
      <c r="C3082" s="31" t="s">
        <v>143</v>
      </c>
      <c r="D3082" s="31" t="s">
        <v>11703</v>
      </c>
      <c r="E3082" s="31" t="s">
        <v>11704</v>
      </c>
      <c r="F3082" s="31" t="s">
        <v>31</v>
      </c>
      <c r="G3082" s="31">
        <v>630</v>
      </c>
      <c r="H3082" s="31">
        <v>10</v>
      </c>
      <c r="I3082" s="31">
        <v>16</v>
      </c>
      <c r="J3082" s="31" t="s">
        <v>11705</v>
      </c>
      <c r="K3082" s="31" t="s">
        <v>33</v>
      </c>
      <c r="L3082" s="31" t="s">
        <v>34</v>
      </c>
      <c r="M3082" s="31">
        <v>288</v>
      </c>
      <c r="N3082" s="31">
        <v>2021</v>
      </c>
      <c r="O3082" s="31">
        <v>332</v>
      </c>
      <c r="P3082" s="31"/>
      <c r="Q3082" s="31"/>
      <c r="R3082" s="33"/>
      <c r="S3082" s="34" t="str">
        <f>HYPERLINK("http://www.cnpol.ru/covers/19593.jpg","фото на сайте")</f>
        <v>фото на сайте</v>
      </c>
    </row>
    <row r="3083" spans="1:19" ht="50.1" customHeight="1">
      <c r="A3083" s="31"/>
      <c r="B3083" s="32" t="s">
        <v>11706</v>
      </c>
      <c r="C3083" s="31" t="s">
        <v>1050</v>
      </c>
      <c r="D3083" s="31" t="s">
        <v>3280</v>
      </c>
      <c r="E3083" s="31" t="s">
        <v>11707</v>
      </c>
      <c r="F3083" s="31" t="s">
        <v>31</v>
      </c>
      <c r="G3083" s="31">
        <v>386</v>
      </c>
      <c r="H3083" s="31">
        <v>10</v>
      </c>
      <c r="I3083" s="31">
        <v>20</v>
      </c>
      <c r="J3083" s="31" t="s">
        <v>11708</v>
      </c>
      <c r="K3083" s="31" t="s">
        <v>33</v>
      </c>
      <c r="L3083" s="31" t="s">
        <v>210</v>
      </c>
      <c r="M3083" s="31">
        <v>285</v>
      </c>
      <c r="N3083" s="31">
        <v>2023</v>
      </c>
      <c r="O3083" s="31">
        <v>220</v>
      </c>
      <c r="P3083" s="31"/>
      <c r="Q3083" s="31"/>
      <c r="R3083" s="33" t="s">
        <v>11709</v>
      </c>
      <c r="S3083" s="34" t="str">
        <f>HYPERLINK("http://www.cnpol.ru/covers/20561.jpg","фото на сайте")</f>
        <v>фото на сайте</v>
      </c>
    </row>
    <row r="3084" spans="1:19" ht="50.1" customHeight="1">
      <c r="A3084" s="31" t="s">
        <v>43</v>
      </c>
      <c r="B3084" s="32" t="s">
        <v>11710</v>
      </c>
      <c r="C3084" s="31" t="s">
        <v>45</v>
      </c>
      <c r="D3084" s="31" t="s">
        <v>11711</v>
      </c>
      <c r="E3084" s="31" t="s">
        <v>11712</v>
      </c>
      <c r="F3084" s="31" t="s">
        <v>31</v>
      </c>
      <c r="G3084" s="31">
        <v>966</v>
      </c>
      <c r="H3084" s="31">
        <v>10</v>
      </c>
      <c r="I3084" s="31">
        <v>5</v>
      </c>
      <c r="J3084" s="31" t="s">
        <v>11713</v>
      </c>
      <c r="K3084" s="31" t="s">
        <v>33</v>
      </c>
      <c r="L3084" s="31" t="s">
        <v>34</v>
      </c>
      <c r="M3084" s="31">
        <v>351</v>
      </c>
      <c r="N3084" s="31">
        <v>2025</v>
      </c>
      <c r="O3084" s="31" t="s">
        <v>220</v>
      </c>
      <c r="P3084" s="31"/>
      <c r="Q3084" s="31"/>
      <c r="R3084" s="33" t="s">
        <v>11714</v>
      </c>
      <c r="S3084" s="34" t="str">
        <f>HYPERLINK("http://www.cnpol.ru/covers/21805.jpg","фото на сайте")</f>
        <v>фото на сайте</v>
      </c>
    </row>
    <row r="3085" spans="1:19" ht="50.1" customHeight="1">
      <c r="A3085" s="31"/>
      <c r="B3085" s="32" t="s">
        <v>11715</v>
      </c>
      <c r="C3085" s="31" t="s">
        <v>181</v>
      </c>
      <c r="D3085" s="31" t="s">
        <v>11716</v>
      </c>
      <c r="E3085" s="31" t="s">
        <v>11717</v>
      </c>
      <c r="F3085" s="31" t="s">
        <v>31</v>
      </c>
      <c r="G3085" s="31">
        <v>300</v>
      </c>
      <c r="H3085" s="31">
        <v>10</v>
      </c>
      <c r="I3085" s="31">
        <v>20</v>
      </c>
      <c r="J3085" s="31" t="s">
        <v>11718</v>
      </c>
      <c r="K3085" s="31" t="s">
        <v>130</v>
      </c>
      <c r="L3085" s="31" t="s">
        <v>56</v>
      </c>
      <c r="M3085" s="31">
        <v>77</v>
      </c>
      <c r="N3085" s="31">
        <v>2012</v>
      </c>
      <c r="O3085" s="31">
        <v>160</v>
      </c>
      <c r="P3085" s="31"/>
      <c r="Q3085" s="31"/>
      <c r="R3085" s="33"/>
      <c r="S3085" s="34" t="str">
        <f>HYPERLINK("http://www.cnpol.ru/covers/13414.jpg","фото на сайте")</f>
        <v>фото на сайте</v>
      </c>
    </row>
    <row r="3086" spans="1:19" ht="50.1" customHeight="1">
      <c r="A3086" s="31"/>
      <c r="B3086" s="32" t="s">
        <v>11719</v>
      </c>
      <c r="C3086" s="31" t="s">
        <v>464</v>
      </c>
      <c r="D3086" s="31" t="s">
        <v>2607</v>
      </c>
      <c r="E3086" s="31" t="s">
        <v>11720</v>
      </c>
      <c r="F3086" s="31" t="s">
        <v>31</v>
      </c>
      <c r="G3086" s="31">
        <v>137</v>
      </c>
      <c r="H3086" s="31">
        <v>10</v>
      </c>
      <c r="I3086" s="31">
        <v>40</v>
      </c>
      <c r="J3086" s="31" t="s">
        <v>11721</v>
      </c>
      <c r="K3086" s="31" t="s">
        <v>468</v>
      </c>
      <c r="L3086" s="31" t="s">
        <v>56</v>
      </c>
      <c r="M3086" s="31">
        <v>18</v>
      </c>
      <c r="N3086" s="31">
        <v>2005</v>
      </c>
      <c r="O3086" s="31">
        <v>90</v>
      </c>
      <c r="P3086" s="31"/>
      <c r="Q3086" s="31"/>
      <c r="R3086" s="33"/>
      <c r="S3086" s="34" t="str">
        <f>HYPERLINK("http://www.cnpol.ru/covers/5885.jpg","фото на сайте")</f>
        <v>фото на сайте</v>
      </c>
    </row>
    <row r="3087" spans="1:19" ht="50.1" customHeight="1">
      <c r="A3087" s="31"/>
      <c r="B3087" s="32" t="s">
        <v>11722</v>
      </c>
      <c r="C3087" s="31" t="s">
        <v>1781</v>
      </c>
      <c r="D3087" s="31" t="s">
        <v>11723</v>
      </c>
      <c r="E3087" s="31" t="s">
        <v>11724</v>
      </c>
      <c r="F3087" s="31" t="s">
        <v>31</v>
      </c>
      <c r="G3087" s="31">
        <v>461</v>
      </c>
      <c r="H3087" s="31">
        <v>10</v>
      </c>
      <c r="I3087" s="31">
        <v>20</v>
      </c>
      <c r="J3087" s="31" t="s">
        <v>11725</v>
      </c>
      <c r="K3087" s="31" t="s">
        <v>33</v>
      </c>
      <c r="L3087" s="31" t="s">
        <v>34</v>
      </c>
      <c r="M3087" s="31">
        <v>192</v>
      </c>
      <c r="N3087" s="31">
        <v>2023</v>
      </c>
      <c r="O3087" s="31">
        <v>198</v>
      </c>
      <c r="P3087" s="31"/>
      <c r="Q3087" s="31"/>
      <c r="R3087" s="33" t="s">
        <v>11726</v>
      </c>
      <c r="S3087" s="34" t="str">
        <f>HYPERLINK("http://www.cnpol.ru/covers/20633.jpg","фото на сайте")</f>
        <v>фото на сайте</v>
      </c>
    </row>
    <row r="3088" spans="1:19" ht="50.1" customHeight="1">
      <c r="A3088" s="31"/>
      <c r="B3088" s="32" t="s">
        <v>11727</v>
      </c>
      <c r="C3088" s="31" t="s">
        <v>1265</v>
      </c>
      <c r="D3088" s="31" t="s">
        <v>1266</v>
      </c>
      <c r="E3088" s="31" t="s">
        <v>11728</v>
      </c>
      <c r="F3088" s="31" t="s">
        <v>31</v>
      </c>
      <c r="G3088" s="31">
        <v>73</v>
      </c>
      <c r="H3088" s="31">
        <v>10</v>
      </c>
      <c r="I3088" s="31">
        <v>40</v>
      </c>
      <c r="J3088" s="31" t="s">
        <v>11729</v>
      </c>
      <c r="K3088" s="31" t="s">
        <v>123</v>
      </c>
      <c r="L3088" s="31" t="s">
        <v>56</v>
      </c>
      <c r="M3088" s="31">
        <v>124</v>
      </c>
      <c r="N3088" s="31">
        <v>2010</v>
      </c>
      <c r="O3088" s="31">
        <v>64</v>
      </c>
      <c r="P3088" s="31"/>
      <c r="Q3088" s="31"/>
      <c r="R3088" s="33"/>
      <c r="S3088" s="34" t="str">
        <f>HYPERLINK("http://www.cnpol.ru/covers/11920.jpg","фото на сайте")</f>
        <v>фото на сайте</v>
      </c>
    </row>
    <row r="3089" spans="1:19" ht="50.1" customHeight="1">
      <c r="A3089" s="31"/>
      <c r="B3089" s="32" t="s">
        <v>11730</v>
      </c>
      <c r="C3089" s="31" t="s">
        <v>1265</v>
      </c>
      <c r="D3089" s="31" t="s">
        <v>1266</v>
      </c>
      <c r="E3089" s="31" t="s">
        <v>11728</v>
      </c>
      <c r="F3089" s="31" t="s">
        <v>31</v>
      </c>
      <c r="G3089" s="31">
        <v>73</v>
      </c>
      <c r="H3089" s="31">
        <v>10</v>
      </c>
      <c r="I3089" s="31">
        <v>80</v>
      </c>
      <c r="J3089" s="31" t="s">
        <v>11731</v>
      </c>
      <c r="K3089" s="31" t="s">
        <v>123</v>
      </c>
      <c r="L3089" s="31" t="s">
        <v>56</v>
      </c>
      <c r="M3089" s="31">
        <v>124</v>
      </c>
      <c r="N3089" s="31">
        <v>2010</v>
      </c>
      <c r="O3089" s="31">
        <v>64</v>
      </c>
      <c r="P3089" s="31"/>
      <c r="Q3089" s="31"/>
      <c r="R3089" s="33"/>
      <c r="S3089" s="34" t="str">
        <f>HYPERLINK("http://www.cnpol.ru/covers/12298.jpg","фото на сайте")</f>
        <v>фото на сайте</v>
      </c>
    </row>
    <row r="3090" spans="1:19" ht="50.1" customHeight="1">
      <c r="A3090" s="31"/>
      <c r="B3090" s="32" t="s">
        <v>11732</v>
      </c>
      <c r="C3090" s="31" t="s">
        <v>1265</v>
      </c>
      <c r="D3090" s="31" t="s">
        <v>1266</v>
      </c>
      <c r="E3090" s="31" t="s">
        <v>11728</v>
      </c>
      <c r="F3090" s="31" t="s">
        <v>31</v>
      </c>
      <c r="G3090" s="31">
        <v>73</v>
      </c>
      <c r="H3090" s="31">
        <v>10</v>
      </c>
      <c r="I3090" s="31">
        <v>60</v>
      </c>
      <c r="J3090" s="31" t="s">
        <v>11731</v>
      </c>
      <c r="K3090" s="31" t="s">
        <v>123</v>
      </c>
      <c r="L3090" s="31" t="s">
        <v>56</v>
      </c>
      <c r="M3090" s="31">
        <v>128</v>
      </c>
      <c r="N3090" s="31">
        <v>2011</v>
      </c>
      <c r="O3090" s="31">
        <v>64</v>
      </c>
      <c r="P3090" s="31"/>
      <c r="Q3090" s="31"/>
      <c r="R3090" s="33"/>
      <c r="S3090" s="34" t="str">
        <f>HYPERLINK("http://www.cnpol.ru/covers/12630.jpg","фото на сайте")</f>
        <v>фото на сайте</v>
      </c>
    </row>
    <row r="3091" spans="1:19" ht="50.1" customHeight="1">
      <c r="A3091" s="31" t="s">
        <v>43</v>
      </c>
      <c r="B3091" s="32" t="s">
        <v>11733</v>
      </c>
      <c r="C3091" s="31" t="s">
        <v>1328</v>
      </c>
      <c r="D3091" s="31" t="s">
        <v>1329</v>
      </c>
      <c r="E3091" s="31" t="s">
        <v>11734</v>
      </c>
      <c r="F3091" s="31" t="s">
        <v>31</v>
      </c>
      <c r="G3091" s="35">
        <v>1022</v>
      </c>
      <c r="H3091" s="31">
        <v>10</v>
      </c>
      <c r="I3091" s="31">
        <v>4</v>
      </c>
      <c r="J3091" s="31" t="s">
        <v>11735</v>
      </c>
      <c r="K3091" s="31" t="s">
        <v>33</v>
      </c>
      <c r="L3091" s="31" t="s">
        <v>34</v>
      </c>
      <c r="M3091" s="31">
        <v>429</v>
      </c>
      <c r="N3091" s="31">
        <v>2025</v>
      </c>
      <c r="O3091" s="31">
        <v>422</v>
      </c>
      <c r="P3091" s="31"/>
      <c r="Q3091" s="31"/>
      <c r="R3091" s="33" t="s">
        <v>11736</v>
      </c>
      <c r="S3091" s="34" t="str">
        <f>HYPERLINK("http://www.cnpol.ru/covers/21655.jpg","фото на сайте")</f>
        <v>фото на сайте</v>
      </c>
    </row>
    <row r="3092" spans="1:19" ht="50.1" customHeight="1">
      <c r="A3092" s="31"/>
      <c r="B3092" s="32" t="s">
        <v>11737</v>
      </c>
      <c r="C3092" s="31" t="s">
        <v>400</v>
      </c>
      <c r="D3092" s="31" t="s">
        <v>5231</v>
      </c>
      <c r="E3092" s="31" t="s">
        <v>11738</v>
      </c>
      <c r="F3092" s="31" t="s">
        <v>31</v>
      </c>
      <c r="G3092" s="31">
        <v>503</v>
      </c>
      <c r="H3092" s="31">
        <v>10</v>
      </c>
      <c r="I3092" s="31">
        <v>10</v>
      </c>
      <c r="J3092" s="31" t="s">
        <v>11739</v>
      </c>
      <c r="K3092" s="31" t="s">
        <v>33</v>
      </c>
      <c r="L3092" s="31" t="s">
        <v>34</v>
      </c>
      <c r="M3092" s="31">
        <v>416</v>
      </c>
      <c r="N3092" s="31">
        <v>2016</v>
      </c>
      <c r="O3092" s="31">
        <v>330</v>
      </c>
      <c r="P3092" s="31"/>
      <c r="Q3092" s="31"/>
      <c r="R3092" s="33"/>
      <c r="S3092" s="34" t="str">
        <f>HYPERLINK("http://www.cnpol.ru/covers/16504.jpg","фото на сайте")</f>
        <v>фото на сайте</v>
      </c>
    </row>
    <row r="3093" spans="1:19" ht="50.1" customHeight="1">
      <c r="A3093" s="31"/>
      <c r="B3093" s="32" t="s">
        <v>11740</v>
      </c>
      <c r="C3093" s="31" t="s">
        <v>769</v>
      </c>
      <c r="D3093" s="31" t="s">
        <v>770</v>
      </c>
      <c r="E3093" s="31" t="s">
        <v>11741</v>
      </c>
      <c r="F3093" s="31" t="s">
        <v>31</v>
      </c>
      <c r="G3093" s="31">
        <v>243</v>
      </c>
      <c r="H3093" s="31">
        <v>10</v>
      </c>
      <c r="I3093" s="31">
        <v>16</v>
      </c>
      <c r="J3093" s="31" t="s">
        <v>11742</v>
      </c>
      <c r="K3093" s="31" t="s">
        <v>1938</v>
      </c>
      <c r="L3093" s="31" t="s">
        <v>56</v>
      </c>
      <c r="M3093" s="31">
        <v>351</v>
      </c>
      <c r="N3093" s="31">
        <v>2014</v>
      </c>
      <c r="O3093" s="31">
        <v>210</v>
      </c>
      <c r="P3093" s="31"/>
      <c r="Q3093" s="31"/>
      <c r="R3093" s="33"/>
      <c r="S3093" s="34" t="str">
        <f>HYPERLINK("http://www.cnpol.ru/covers/15341.jpg","фото на сайте")</f>
        <v>фото на сайте</v>
      </c>
    </row>
    <row r="3094" spans="1:19" ht="50.1" customHeight="1">
      <c r="A3094" s="31"/>
      <c r="B3094" s="32" t="s">
        <v>11743</v>
      </c>
      <c r="C3094" s="31" t="s">
        <v>538</v>
      </c>
      <c r="D3094" s="31" t="s">
        <v>7349</v>
      </c>
      <c r="E3094" s="31" t="s">
        <v>11744</v>
      </c>
      <c r="F3094" s="31" t="s">
        <v>31</v>
      </c>
      <c r="G3094" s="31">
        <v>559</v>
      </c>
      <c r="H3094" s="31">
        <v>10</v>
      </c>
      <c r="I3094" s="31">
        <v>10</v>
      </c>
      <c r="J3094" s="31" t="s">
        <v>11745</v>
      </c>
      <c r="K3094" s="31" t="s">
        <v>33</v>
      </c>
      <c r="L3094" s="31" t="s">
        <v>34</v>
      </c>
      <c r="M3094" s="31">
        <v>477</v>
      </c>
      <c r="N3094" s="31">
        <v>2008</v>
      </c>
      <c r="O3094" s="31">
        <v>412</v>
      </c>
      <c r="P3094" s="31"/>
      <c r="Q3094" s="31"/>
      <c r="R3094" s="33"/>
      <c r="S3094" s="34" t="str">
        <f>HYPERLINK("http://www.cnpol.ru/covers/10926.jpg","фото на сайте")</f>
        <v>фото на сайте</v>
      </c>
    </row>
    <row r="3095" spans="1:19" ht="50.1" customHeight="1">
      <c r="A3095" s="31"/>
      <c r="B3095" s="32" t="s">
        <v>11746</v>
      </c>
      <c r="C3095" s="31" t="s">
        <v>390</v>
      </c>
      <c r="D3095" s="31" t="s">
        <v>11747</v>
      </c>
      <c r="E3095" s="31" t="s">
        <v>11748</v>
      </c>
      <c r="F3095" s="31">
        <v>1113</v>
      </c>
      <c r="G3095" s="31">
        <v>86</v>
      </c>
      <c r="H3095" s="31">
        <v>10</v>
      </c>
      <c r="I3095" s="31">
        <v>30</v>
      </c>
      <c r="J3095" s="31" t="s">
        <v>11749</v>
      </c>
      <c r="K3095" s="31" t="s">
        <v>123</v>
      </c>
      <c r="L3095" s="31" t="s">
        <v>56</v>
      </c>
      <c r="M3095" s="31">
        <v>159</v>
      </c>
      <c r="N3095" s="31">
        <v>2022</v>
      </c>
      <c r="O3095" s="31">
        <v>76</v>
      </c>
      <c r="P3095" s="31"/>
      <c r="Q3095" s="31"/>
      <c r="R3095" s="33" t="s">
        <v>11750</v>
      </c>
      <c r="S3095" s="34" t="str">
        <f>HYPERLINK("http://www.cnpol.ru/covers/20434.jpg","фото на сайте")</f>
        <v>фото на сайте</v>
      </c>
    </row>
    <row r="3096" spans="1:19" ht="50.1" customHeight="1">
      <c r="A3096" s="31"/>
      <c r="B3096" s="32" t="s">
        <v>11751</v>
      </c>
      <c r="C3096" s="31" t="s">
        <v>390</v>
      </c>
      <c r="D3096" s="31" t="s">
        <v>391</v>
      </c>
      <c r="E3096" s="31" t="s">
        <v>11752</v>
      </c>
      <c r="F3096" s="31">
        <v>708</v>
      </c>
      <c r="G3096" s="31">
        <v>86</v>
      </c>
      <c r="H3096" s="31">
        <v>10</v>
      </c>
      <c r="I3096" s="31">
        <v>30</v>
      </c>
      <c r="J3096" s="31" t="s">
        <v>11753</v>
      </c>
      <c r="K3096" s="31" t="s">
        <v>123</v>
      </c>
      <c r="L3096" s="31" t="s">
        <v>56</v>
      </c>
      <c r="M3096" s="31">
        <v>160</v>
      </c>
      <c r="N3096" s="31">
        <v>2017</v>
      </c>
      <c r="O3096" s="31">
        <v>76</v>
      </c>
      <c r="P3096" s="31"/>
      <c r="Q3096" s="31"/>
      <c r="R3096" s="33"/>
      <c r="S3096" s="34" t="str">
        <f>HYPERLINK("http://www.cnpol.ru/covers/17435.jpg","фото на сайте")</f>
        <v>фото на сайте</v>
      </c>
    </row>
    <row r="3097" spans="1:19" ht="50.1" customHeight="1">
      <c r="A3097" s="31"/>
      <c r="B3097" s="32" t="s">
        <v>11754</v>
      </c>
      <c r="C3097" s="31" t="s">
        <v>546</v>
      </c>
      <c r="D3097" s="31" t="s">
        <v>11755</v>
      </c>
      <c r="E3097" s="31" t="s">
        <v>11756</v>
      </c>
      <c r="F3097" s="31">
        <v>112</v>
      </c>
      <c r="G3097" s="31">
        <v>93</v>
      </c>
      <c r="H3097" s="31">
        <v>10</v>
      </c>
      <c r="I3097" s="31">
        <v>30</v>
      </c>
      <c r="J3097" s="31" t="s">
        <v>11757</v>
      </c>
      <c r="K3097" s="31" t="s">
        <v>123</v>
      </c>
      <c r="L3097" s="31" t="s">
        <v>56</v>
      </c>
      <c r="M3097" s="31">
        <v>158</v>
      </c>
      <c r="N3097" s="31">
        <v>2015</v>
      </c>
      <c r="O3097" s="31">
        <v>76</v>
      </c>
      <c r="P3097" s="31"/>
      <c r="Q3097" s="31"/>
      <c r="R3097" s="33"/>
      <c r="S3097" s="34" t="str">
        <f>HYPERLINK("http://www.cnpol.ru/covers/15891.jpg","фото на сайте")</f>
        <v>фото на сайте</v>
      </c>
    </row>
    <row r="3098" spans="1:19" ht="50.1" customHeight="1">
      <c r="A3098" s="31"/>
      <c r="B3098" s="32" t="s">
        <v>11758</v>
      </c>
      <c r="C3098" s="31" t="s">
        <v>413</v>
      </c>
      <c r="D3098" s="31" t="s">
        <v>1754</v>
      </c>
      <c r="E3098" s="31" t="s">
        <v>11759</v>
      </c>
      <c r="F3098" s="31">
        <v>66</v>
      </c>
      <c r="G3098" s="31">
        <v>117</v>
      </c>
      <c r="H3098" s="31">
        <v>10</v>
      </c>
      <c r="I3098" s="31">
        <v>36</v>
      </c>
      <c r="J3098" s="31" t="s">
        <v>11760</v>
      </c>
      <c r="K3098" s="31" t="s">
        <v>123</v>
      </c>
      <c r="L3098" s="31" t="s">
        <v>56</v>
      </c>
      <c r="M3098" s="31">
        <v>190</v>
      </c>
      <c r="N3098" s="31">
        <v>2015</v>
      </c>
      <c r="O3098" s="31">
        <v>90</v>
      </c>
      <c r="P3098" s="31"/>
      <c r="Q3098" s="31"/>
      <c r="R3098" s="33"/>
      <c r="S3098" s="34" t="str">
        <f>HYPERLINK("http://www.cnpol.ru/covers/16148.jpg","фото на сайте")</f>
        <v>фото на сайте</v>
      </c>
    </row>
    <row r="3099" spans="1:19" ht="50.1" customHeight="1">
      <c r="A3099" s="31"/>
      <c r="B3099" s="32" t="s">
        <v>11761</v>
      </c>
      <c r="C3099" s="31" t="s">
        <v>400</v>
      </c>
      <c r="D3099" s="31" t="s">
        <v>1962</v>
      </c>
      <c r="E3099" s="31" t="s">
        <v>11762</v>
      </c>
      <c r="F3099" s="31" t="s">
        <v>31</v>
      </c>
      <c r="G3099" s="31">
        <v>503</v>
      </c>
      <c r="H3099" s="31">
        <v>10</v>
      </c>
      <c r="I3099" s="31">
        <v>10</v>
      </c>
      <c r="J3099" s="31" t="s">
        <v>11763</v>
      </c>
      <c r="K3099" s="31" t="s">
        <v>33</v>
      </c>
      <c r="L3099" s="31" t="s">
        <v>34</v>
      </c>
      <c r="M3099" s="31">
        <v>448</v>
      </c>
      <c r="N3099" s="31">
        <v>2018</v>
      </c>
      <c r="O3099" s="31">
        <v>348</v>
      </c>
      <c r="P3099" s="31"/>
      <c r="Q3099" s="31"/>
      <c r="R3099" s="33"/>
      <c r="S3099" s="34" t="str">
        <f>HYPERLINK("http://www.cnpol.ru/covers/18340.jpg","фото на сайте")</f>
        <v>фото на сайте</v>
      </c>
    </row>
    <row r="3100" spans="1:19" ht="50.1" customHeight="1">
      <c r="A3100" s="31"/>
      <c r="B3100" s="32" t="s">
        <v>11764</v>
      </c>
      <c r="C3100" s="31" t="s">
        <v>2742</v>
      </c>
      <c r="D3100" s="31" t="s">
        <v>11765</v>
      </c>
      <c r="E3100" s="31" t="s">
        <v>11766</v>
      </c>
      <c r="F3100" s="31" t="s">
        <v>31</v>
      </c>
      <c r="G3100" s="31">
        <v>486</v>
      </c>
      <c r="H3100" s="31">
        <v>10</v>
      </c>
      <c r="I3100" s="31">
        <v>20</v>
      </c>
      <c r="J3100" s="31" t="s">
        <v>11767</v>
      </c>
      <c r="K3100" s="31" t="s">
        <v>33</v>
      </c>
      <c r="L3100" s="31" t="s">
        <v>34</v>
      </c>
      <c r="M3100" s="31">
        <v>288</v>
      </c>
      <c r="N3100" s="31">
        <v>2022</v>
      </c>
      <c r="O3100" s="31">
        <v>246</v>
      </c>
      <c r="P3100" s="31"/>
      <c r="Q3100" s="31"/>
      <c r="R3100" s="33"/>
      <c r="S3100" s="34" t="str">
        <f>HYPERLINK("http://www.cnpol.ru/covers/20145.jpg","фото на сайте")</f>
        <v>фото на сайте</v>
      </c>
    </row>
    <row r="3101" spans="1:19" ht="50.1" customHeight="1">
      <c r="A3101" s="31"/>
      <c r="B3101" s="32" t="s">
        <v>11768</v>
      </c>
      <c r="C3101" s="31" t="s">
        <v>37</v>
      </c>
      <c r="D3101" s="31" t="s">
        <v>11769</v>
      </c>
      <c r="E3101" s="31" t="s">
        <v>11770</v>
      </c>
      <c r="F3101" s="31" t="s">
        <v>31</v>
      </c>
      <c r="G3101" s="31">
        <v>771</v>
      </c>
      <c r="H3101" s="31">
        <v>10</v>
      </c>
      <c r="I3101" s="31">
        <v>16</v>
      </c>
      <c r="J3101" s="31" t="s">
        <v>11771</v>
      </c>
      <c r="K3101" s="31" t="s">
        <v>33</v>
      </c>
      <c r="L3101" s="31" t="s">
        <v>34</v>
      </c>
      <c r="M3101" s="31">
        <v>239</v>
      </c>
      <c r="N3101" s="31">
        <v>2022</v>
      </c>
      <c r="O3101" s="31">
        <v>230</v>
      </c>
      <c r="P3101" s="31"/>
      <c r="Q3101" s="31"/>
      <c r="R3101" s="33"/>
      <c r="S3101" s="34" t="str">
        <f>HYPERLINK("http://www.cnpol.ru/covers/20123.jpg","фото на сайте")</f>
        <v>фото на сайте</v>
      </c>
    </row>
    <row r="3102" spans="1:19" ht="50.1" customHeight="1">
      <c r="A3102" s="31"/>
      <c r="B3102" s="32" t="s">
        <v>11772</v>
      </c>
      <c r="C3102" s="31" t="s">
        <v>37</v>
      </c>
      <c r="D3102" s="31" t="s">
        <v>11773</v>
      </c>
      <c r="E3102" s="31" t="s">
        <v>11774</v>
      </c>
      <c r="F3102" s="31" t="s">
        <v>31</v>
      </c>
      <c r="G3102" s="35">
        <v>1125</v>
      </c>
      <c r="H3102" s="31">
        <v>10</v>
      </c>
      <c r="I3102" s="31">
        <v>10</v>
      </c>
      <c r="J3102" s="31" t="s">
        <v>11775</v>
      </c>
      <c r="K3102" s="31" t="s">
        <v>33</v>
      </c>
      <c r="L3102" s="31" t="s">
        <v>34</v>
      </c>
      <c r="M3102" s="31">
        <v>448</v>
      </c>
      <c r="N3102" s="31">
        <v>2022</v>
      </c>
      <c r="O3102" s="31">
        <v>482</v>
      </c>
      <c r="P3102" s="31"/>
      <c r="Q3102" s="31"/>
      <c r="R3102" s="33" t="s">
        <v>11776</v>
      </c>
      <c r="S3102" s="34" t="str">
        <f>HYPERLINK("http://www.cnpol.ru/covers/20333.jpg","фото на сайте")</f>
        <v>фото на сайте</v>
      </c>
    </row>
    <row r="3103" spans="1:19" ht="50.1" customHeight="1">
      <c r="A3103" s="31"/>
      <c r="B3103" s="32" t="s">
        <v>11777</v>
      </c>
      <c r="C3103" s="31" t="s">
        <v>37</v>
      </c>
      <c r="D3103" s="31" t="s">
        <v>11778</v>
      </c>
      <c r="E3103" s="31" t="s">
        <v>11779</v>
      </c>
      <c r="F3103" s="31" t="s">
        <v>31</v>
      </c>
      <c r="G3103" s="35">
        <v>1266</v>
      </c>
      <c r="H3103" s="31">
        <v>10</v>
      </c>
      <c r="I3103" s="31">
        <v>10</v>
      </c>
      <c r="J3103" s="31" t="s">
        <v>11780</v>
      </c>
      <c r="K3103" s="31" t="s">
        <v>41</v>
      </c>
      <c r="L3103" s="31" t="s">
        <v>34</v>
      </c>
      <c r="M3103" s="31">
        <v>442</v>
      </c>
      <c r="N3103" s="31">
        <v>2022</v>
      </c>
      <c r="O3103" s="31">
        <v>435</v>
      </c>
      <c r="P3103" s="31"/>
      <c r="Q3103" s="31"/>
      <c r="R3103" s="33"/>
      <c r="S3103" s="34" t="str">
        <f>HYPERLINK("http://www.cnpol.ru/covers/19983.jpg","фото на сайте")</f>
        <v>фото на сайте</v>
      </c>
    </row>
    <row r="3104" spans="1:19" ht="50.1" customHeight="1">
      <c r="A3104" s="31" t="s">
        <v>35</v>
      </c>
      <c r="B3104" s="32" t="s">
        <v>11781</v>
      </c>
      <c r="C3104" s="31" t="s">
        <v>143</v>
      </c>
      <c r="D3104" s="31" t="s">
        <v>11782</v>
      </c>
      <c r="E3104" s="31" t="s">
        <v>11783</v>
      </c>
      <c r="F3104" s="31" t="s">
        <v>31</v>
      </c>
      <c r="G3104" s="35">
        <v>1828</v>
      </c>
      <c r="H3104" s="31">
        <v>10</v>
      </c>
      <c r="I3104" s="31">
        <v>5</v>
      </c>
      <c r="J3104" s="31" t="s">
        <v>11784</v>
      </c>
      <c r="K3104" s="31" t="s">
        <v>147</v>
      </c>
      <c r="L3104" s="31" t="s">
        <v>34</v>
      </c>
      <c r="M3104" s="31">
        <v>479</v>
      </c>
      <c r="N3104" s="31">
        <v>2025</v>
      </c>
      <c r="O3104" s="31" t="s">
        <v>220</v>
      </c>
      <c r="P3104" s="31"/>
      <c r="Q3104" s="31"/>
      <c r="R3104" s="33" t="s">
        <v>11785</v>
      </c>
      <c r="S3104" s="34" t="str">
        <f>HYPERLINK("http://www.cnpol.ru/covers/21910.jpg","фото на сайте")</f>
        <v>фото на сайте</v>
      </c>
    </row>
    <row r="3105" spans="1:19" ht="50.1" customHeight="1">
      <c r="A3105" s="31"/>
      <c r="B3105" s="32" t="s">
        <v>11786</v>
      </c>
      <c r="C3105" s="31" t="s">
        <v>2497</v>
      </c>
      <c r="D3105" s="31" t="s">
        <v>1814</v>
      </c>
      <c r="E3105" s="31" t="s">
        <v>11787</v>
      </c>
      <c r="F3105" s="31" t="s">
        <v>31</v>
      </c>
      <c r="G3105" s="31">
        <v>251</v>
      </c>
      <c r="H3105" s="31">
        <v>10</v>
      </c>
      <c r="I3105" s="31">
        <v>20</v>
      </c>
      <c r="J3105" s="31" t="s">
        <v>11788</v>
      </c>
      <c r="K3105" s="31" t="s">
        <v>123</v>
      </c>
      <c r="L3105" s="31" t="s">
        <v>56</v>
      </c>
      <c r="M3105" s="31">
        <v>319</v>
      </c>
      <c r="N3105" s="31">
        <v>2022</v>
      </c>
      <c r="O3105" s="31">
        <v>270</v>
      </c>
      <c r="P3105" s="31"/>
      <c r="Q3105" s="31"/>
      <c r="R3105" s="33"/>
      <c r="S3105" s="34" t="str">
        <f>HYPERLINK("http://www.cnpol.ru/covers/20190.jpg","фото на сайте")</f>
        <v>фото на сайте</v>
      </c>
    </row>
    <row r="3106" spans="1:19" ht="50.1" customHeight="1">
      <c r="A3106" s="31"/>
      <c r="B3106" s="32" t="s">
        <v>11789</v>
      </c>
      <c r="C3106" s="31" t="s">
        <v>1822</v>
      </c>
      <c r="D3106" s="31" t="s">
        <v>1814</v>
      </c>
      <c r="E3106" s="31" t="s">
        <v>11787</v>
      </c>
      <c r="F3106" s="31" t="s">
        <v>31</v>
      </c>
      <c r="G3106" s="31">
        <v>461</v>
      </c>
      <c r="H3106" s="31">
        <v>10</v>
      </c>
      <c r="I3106" s="31">
        <v>16</v>
      </c>
      <c r="J3106" s="31" t="s">
        <v>11790</v>
      </c>
      <c r="K3106" s="31" t="s">
        <v>33</v>
      </c>
      <c r="L3106" s="31" t="s">
        <v>34</v>
      </c>
      <c r="M3106" s="31">
        <v>251</v>
      </c>
      <c r="N3106" s="31">
        <v>2009</v>
      </c>
      <c r="O3106" s="31">
        <v>268</v>
      </c>
      <c r="P3106" s="31"/>
      <c r="Q3106" s="31"/>
      <c r="R3106" s="33"/>
      <c r="S3106" s="34" t="str">
        <f>HYPERLINK("http://www.cnpol.ru/covers/11561.jpg","фото на сайте")</f>
        <v>фото на сайте</v>
      </c>
    </row>
    <row r="3107" spans="1:19" ht="50.1" customHeight="1">
      <c r="A3107" s="31"/>
      <c r="B3107" s="32" t="s">
        <v>11791</v>
      </c>
      <c r="C3107" s="31" t="s">
        <v>11792</v>
      </c>
      <c r="D3107" s="31" t="s">
        <v>11793</v>
      </c>
      <c r="E3107" s="31" t="s">
        <v>11794</v>
      </c>
      <c r="F3107" s="31" t="s">
        <v>31</v>
      </c>
      <c r="G3107" s="31">
        <v>88</v>
      </c>
      <c r="H3107" s="31">
        <v>10</v>
      </c>
      <c r="I3107" s="31">
        <v>22</v>
      </c>
      <c r="J3107" s="31" t="s">
        <v>11795</v>
      </c>
      <c r="K3107" s="31" t="s">
        <v>130</v>
      </c>
      <c r="L3107" s="31" t="s">
        <v>56</v>
      </c>
      <c r="M3107" s="31">
        <v>286</v>
      </c>
      <c r="N3107" s="31">
        <v>2004</v>
      </c>
      <c r="O3107" s="31">
        <v>178</v>
      </c>
      <c r="P3107" s="31"/>
      <c r="Q3107" s="31"/>
      <c r="R3107" s="33"/>
      <c r="S3107" s="34" t="str">
        <f>HYPERLINK("http://www.cnpol.ru/covers/5282.jpg","фото на сайте")</f>
        <v>фото на сайте</v>
      </c>
    </row>
    <row r="3108" spans="1:19" ht="50.1" customHeight="1">
      <c r="A3108" s="31"/>
      <c r="B3108" s="32" t="s">
        <v>11796</v>
      </c>
      <c r="C3108" s="31" t="s">
        <v>390</v>
      </c>
      <c r="D3108" s="31" t="s">
        <v>1347</v>
      </c>
      <c r="E3108" s="31" t="s">
        <v>11797</v>
      </c>
      <c r="F3108" s="31">
        <v>903</v>
      </c>
      <c r="G3108" s="31">
        <v>86</v>
      </c>
      <c r="H3108" s="31">
        <v>10</v>
      </c>
      <c r="I3108" s="31">
        <v>30</v>
      </c>
      <c r="J3108" s="31" t="s">
        <v>11798</v>
      </c>
      <c r="K3108" s="31" t="s">
        <v>123</v>
      </c>
      <c r="L3108" s="31" t="s">
        <v>56</v>
      </c>
      <c r="M3108" s="31">
        <v>160</v>
      </c>
      <c r="N3108" s="31">
        <v>2019</v>
      </c>
      <c r="O3108" s="31">
        <v>76</v>
      </c>
      <c r="P3108" s="31"/>
      <c r="Q3108" s="31"/>
      <c r="R3108" s="33"/>
      <c r="S3108" s="34" t="str">
        <f>HYPERLINK("http://www.cnpol.ru/covers/18724.jpg","фото на сайте")</f>
        <v>фото на сайте</v>
      </c>
    </row>
    <row r="3109" spans="1:19" ht="50.1" customHeight="1">
      <c r="A3109" s="31"/>
      <c r="B3109" s="32" t="s">
        <v>11799</v>
      </c>
      <c r="C3109" s="31" t="s">
        <v>1516</v>
      </c>
      <c r="D3109" s="31" t="s">
        <v>1454</v>
      </c>
      <c r="E3109" s="31" t="s">
        <v>11800</v>
      </c>
      <c r="F3109" s="31">
        <v>38</v>
      </c>
      <c r="G3109" s="31">
        <v>106</v>
      </c>
      <c r="H3109" s="31">
        <v>10</v>
      </c>
      <c r="I3109" s="31">
        <v>30</v>
      </c>
      <c r="J3109" s="31" t="s">
        <v>11801</v>
      </c>
      <c r="K3109" s="31" t="s">
        <v>123</v>
      </c>
      <c r="L3109" s="31" t="s">
        <v>56</v>
      </c>
      <c r="M3109" s="31">
        <v>159</v>
      </c>
      <c r="N3109" s="31">
        <v>2022</v>
      </c>
      <c r="O3109" s="31">
        <v>76</v>
      </c>
      <c r="P3109" s="31"/>
      <c r="Q3109" s="31"/>
      <c r="R3109" s="33"/>
      <c r="S3109" s="34" t="str">
        <f>HYPERLINK("http://www.cnpol.ru/covers/20054.jpg","фото на сайте")</f>
        <v>фото на сайте</v>
      </c>
    </row>
    <row r="3110" spans="1:19" ht="50.1" customHeight="1">
      <c r="A3110" s="31"/>
      <c r="B3110" s="32" t="s">
        <v>11802</v>
      </c>
      <c r="C3110" s="31" t="s">
        <v>400</v>
      </c>
      <c r="D3110" s="31" t="s">
        <v>11803</v>
      </c>
      <c r="E3110" s="31" t="s">
        <v>11804</v>
      </c>
      <c r="F3110" s="31" t="s">
        <v>31</v>
      </c>
      <c r="G3110" s="31">
        <v>503</v>
      </c>
      <c r="H3110" s="31">
        <v>10</v>
      </c>
      <c r="I3110" s="31">
        <v>14</v>
      </c>
      <c r="J3110" s="31" t="s">
        <v>11805</v>
      </c>
      <c r="K3110" s="31" t="s">
        <v>33</v>
      </c>
      <c r="L3110" s="31" t="s">
        <v>34</v>
      </c>
      <c r="M3110" s="31">
        <v>320</v>
      </c>
      <c r="N3110" s="31">
        <v>2020</v>
      </c>
      <c r="O3110" s="31">
        <v>274</v>
      </c>
      <c r="P3110" s="31"/>
      <c r="Q3110" s="31"/>
      <c r="R3110" s="33"/>
      <c r="S3110" s="34" t="str">
        <f>HYPERLINK("http://www.cnpol.ru/covers/19313.jpg","фото на сайте")</f>
        <v>фото на сайте</v>
      </c>
    </row>
    <row r="3111" spans="1:19" ht="50.1" customHeight="1">
      <c r="A3111" s="31"/>
      <c r="B3111" s="32" t="s">
        <v>11806</v>
      </c>
      <c r="C3111" s="31" t="s">
        <v>1050</v>
      </c>
      <c r="D3111" s="31" t="s">
        <v>11807</v>
      </c>
      <c r="E3111" s="31" t="s">
        <v>11808</v>
      </c>
      <c r="F3111" s="31" t="s">
        <v>31</v>
      </c>
      <c r="G3111" s="31">
        <v>386</v>
      </c>
      <c r="H3111" s="31">
        <v>10</v>
      </c>
      <c r="I3111" s="31">
        <v>16</v>
      </c>
      <c r="J3111" s="31" t="s">
        <v>11809</v>
      </c>
      <c r="K3111" s="31" t="s">
        <v>33</v>
      </c>
      <c r="L3111" s="31" t="s">
        <v>210</v>
      </c>
      <c r="M3111" s="31">
        <v>256</v>
      </c>
      <c r="N3111" s="31">
        <v>2017</v>
      </c>
      <c r="O3111" s="31">
        <v>204</v>
      </c>
      <c r="P3111" s="31"/>
      <c r="Q3111" s="31"/>
      <c r="R3111" s="33"/>
      <c r="S3111" s="34" t="str">
        <f>HYPERLINK("http://www.cnpol.ru/covers/17290.jpg","фото на сайте")</f>
        <v>фото на сайте</v>
      </c>
    </row>
    <row r="3112" spans="1:19" ht="50.1" customHeight="1">
      <c r="A3112" s="31" t="s">
        <v>43</v>
      </c>
      <c r="B3112" s="32" t="s">
        <v>11810</v>
      </c>
      <c r="C3112" s="31" t="s">
        <v>546</v>
      </c>
      <c r="D3112" s="31" t="s">
        <v>5220</v>
      </c>
      <c r="E3112" s="31" t="s">
        <v>11811</v>
      </c>
      <c r="F3112" s="31">
        <v>441</v>
      </c>
      <c r="G3112" s="31">
        <v>93</v>
      </c>
      <c r="H3112" s="31">
        <v>10</v>
      </c>
      <c r="I3112" s="31">
        <v>30</v>
      </c>
      <c r="J3112" s="31" t="s">
        <v>11812</v>
      </c>
      <c r="K3112" s="31" t="s">
        <v>123</v>
      </c>
      <c r="L3112" s="31" t="s">
        <v>56</v>
      </c>
      <c r="M3112" s="31">
        <v>159</v>
      </c>
      <c r="N3112" s="31">
        <v>2024</v>
      </c>
      <c r="O3112" s="31">
        <v>76</v>
      </c>
      <c r="P3112" s="31"/>
      <c r="Q3112" s="31"/>
      <c r="R3112" s="33" t="s">
        <v>11813</v>
      </c>
      <c r="S3112" s="34" t="str">
        <f>HYPERLINK("http://www.cnpol.ru/covers/21009.jpg","фото на сайте")</f>
        <v>фото на сайте</v>
      </c>
    </row>
    <row r="3113" spans="1:19" ht="50.1" customHeight="1">
      <c r="A3113" s="31" t="s">
        <v>35</v>
      </c>
      <c r="B3113" s="32" t="s">
        <v>11814</v>
      </c>
      <c r="C3113" s="31" t="s">
        <v>2056</v>
      </c>
      <c r="D3113" s="31" t="s">
        <v>11815</v>
      </c>
      <c r="E3113" s="31" t="s">
        <v>11816</v>
      </c>
      <c r="F3113" s="31" t="s">
        <v>31</v>
      </c>
      <c r="G3113" s="35">
        <v>1271</v>
      </c>
      <c r="H3113" s="31">
        <v>10</v>
      </c>
      <c r="I3113" s="31">
        <v>5</v>
      </c>
      <c r="J3113" s="31" t="s">
        <v>11817</v>
      </c>
      <c r="K3113" s="31" t="s">
        <v>33</v>
      </c>
      <c r="L3113" s="31" t="s">
        <v>34</v>
      </c>
      <c r="M3113" s="31">
        <v>491</v>
      </c>
      <c r="N3113" s="31">
        <v>2025</v>
      </c>
      <c r="O3113" s="31">
        <v>522</v>
      </c>
      <c r="P3113" s="31"/>
      <c r="Q3113" s="31"/>
      <c r="R3113" s="33" t="s">
        <v>11818</v>
      </c>
      <c r="S3113" s="34" t="str">
        <f>HYPERLINK("http://www.cnpol.ru/covers/21699.jpg","фото на сайте")</f>
        <v>фото на сайте</v>
      </c>
    </row>
    <row r="3114" spans="1:19" ht="50.1" customHeight="1">
      <c r="A3114" s="31"/>
      <c r="B3114" s="32" t="s">
        <v>11819</v>
      </c>
      <c r="C3114" s="31" t="s">
        <v>400</v>
      </c>
      <c r="D3114" s="31" t="s">
        <v>11820</v>
      </c>
      <c r="E3114" s="31" t="s">
        <v>11821</v>
      </c>
      <c r="F3114" s="31" t="s">
        <v>31</v>
      </c>
      <c r="G3114" s="31">
        <v>503</v>
      </c>
      <c r="H3114" s="31">
        <v>10</v>
      </c>
      <c r="I3114" s="31">
        <v>14</v>
      </c>
      <c r="J3114" s="31" t="s">
        <v>11822</v>
      </c>
      <c r="K3114" s="31" t="s">
        <v>33</v>
      </c>
      <c r="L3114" s="31" t="s">
        <v>34</v>
      </c>
      <c r="M3114" s="31">
        <v>288</v>
      </c>
      <c r="N3114" s="31">
        <v>2020</v>
      </c>
      <c r="O3114" s="31">
        <v>252</v>
      </c>
      <c r="P3114" s="31"/>
      <c r="Q3114" s="31"/>
      <c r="R3114" s="33"/>
      <c r="S3114" s="34" t="str">
        <f>HYPERLINK("http://www.cnpol.ru/covers/19350.jpg","фото на сайте")</f>
        <v>фото на сайте</v>
      </c>
    </row>
    <row r="3115" spans="1:19" ht="50.1" customHeight="1">
      <c r="A3115" s="31" t="s">
        <v>43</v>
      </c>
      <c r="B3115" s="32" t="s">
        <v>11823</v>
      </c>
      <c r="C3115" s="31" t="s">
        <v>37</v>
      </c>
      <c r="D3115" s="31" t="s">
        <v>11824</v>
      </c>
      <c r="E3115" s="31" t="s">
        <v>11825</v>
      </c>
      <c r="F3115" s="31" t="s">
        <v>31</v>
      </c>
      <c r="G3115" s="35">
        <v>1149</v>
      </c>
      <c r="H3115" s="31">
        <v>10</v>
      </c>
      <c r="I3115" s="31">
        <v>10</v>
      </c>
      <c r="J3115" s="31" t="s">
        <v>11826</v>
      </c>
      <c r="K3115" s="31" t="s">
        <v>33</v>
      </c>
      <c r="L3115" s="31" t="s">
        <v>34</v>
      </c>
      <c r="M3115" s="31">
        <v>445</v>
      </c>
      <c r="N3115" s="31">
        <v>2025</v>
      </c>
      <c r="O3115" s="31">
        <v>297</v>
      </c>
      <c r="P3115" s="31"/>
      <c r="Q3115" s="31"/>
      <c r="R3115" s="33" t="s">
        <v>11827</v>
      </c>
      <c r="S3115" s="34" t="str">
        <f>HYPERLINK("http://www.cnpol.ru/covers/21438.jpg","фото на сайте")</f>
        <v>фото на сайте</v>
      </c>
    </row>
    <row r="3116" spans="1:19" ht="50.1" customHeight="1">
      <c r="A3116" s="31"/>
      <c r="B3116" s="32" t="s">
        <v>11828</v>
      </c>
      <c r="C3116" s="31" t="s">
        <v>4817</v>
      </c>
      <c r="D3116" s="31" t="s">
        <v>3210</v>
      </c>
      <c r="E3116" s="31" t="s">
        <v>11829</v>
      </c>
      <c r="F3116" s="31" t="s">
        <v>31</v>
      </c>
      <c r="G3116" s="31">
        <v>154</v>
      </c>
      <c r="H3116" s="31">
        <v>10</v>
      </c>
      <c r="I3116" s="31">
        <v>20</v>
      </c>
      <c r="J3116" s="31" t="s">
        <v>11830</v>
      </c>
      <c r="K3116" s="31" t="s">
        <v>55</v>
      </c>
      <c r="L3116" s="31" t="s">
        <v>56</v>
      </c>
      <c r="M3116" s="31">
        <v>318</v>
      </c>
      <c r="N3116" s="31">
        <v>2008</v>
      </c>
      <c r="O3116" s="31">
        <v>130</v>
      </c>
      <c r="P3116" s="31"/>
      <c r="Q3116" s="31"/>
      <c r="R3116" s="33"/>
      <c r="S3116" s="34" t="str">
        <f>HYPERLINK("http://www.cnpol.ru/covers/10198.jpg","фото на сайте")</f>
        <v>фото на сайте</v>
      </c>
    </row>
    <row r="3117" spans="1:19" ht="50.1" customHeight="1">
      <c r="A3117" s="31"/>
      <c r="B3117" s="32" t="s">
        <v>11831</v>
      </c>
      <c r="C3117" s="31" t="s">
        <v>546</v>
      </c>
      <c r="D3117" s="31" t="s">
        <v>2662</v>
      </c>
      <c r="E3117" s="31" t="s">
        <v>11832</v>
      </c>
      <c r="F3117" s="31">
        <v>235</v>
      </c>
      <c r="G3117" s="31">
        <v>93</v>
      </c>
      <c r="H3117" s="31">
        <v>10</v>
      </c>
      <c r="I3117" s="31">
        <v>30</v>
      </c>
      <c r="J3117" s="31" t="s">
        <v>11833</v>
      </c>
      <c r="K3117" s="31" t="s">
        <v>123</v>
      </c>
      <c r="L3117" s="31" t="s">
        <v>56</v>
      </c>
      <c r="M3117" s="31">
        <v>160</v>
      </c>
      <c r="N3117" s="31">
        <v>2017</v>
      </c>
      <c r="O3117" s="31">
        <v>76</v>
      </c>
      <c r="P3117" s="31"/>
      <c r="Q3117" s="31"/>
      <c r="R3117" s="33"/>
      <c r="S3117" s="34" t="str">
        <f>HYPERLINK("http://www.cnpol.ru/covers/17670.jpg","фото на сайте")</f>
        <v>фото на сайте</v>
      </c>
    </row>
    <row r="3118" spans="1:19" ht="50.1" customHeight="1">
      <c r="A3118" s="31"/>
      <c r="B3118" s="32" t="s">
        <v>11834</v>
      </c>
      <c r="C3118" s="31" t="s">
        <v>546</v>
      </c>
      <c r="D3118" s="31" t="s">
        <v>3180</v>
      </c>
      <c r="E3118" s="31" t="s">
        <v>11835</v>
      </c>
      <c r="F3118" s="31">
        <v>333</v>
      </c>
      <c r="G3118" s="31">
        <v>93</v>
      </c>
      <c r="H3118" s="31">
        <v>10</v>
      </c>
      <c r="I3118" s="31">
        <v>30</v>
      </c>
      <c r="J3118" s="31" t="s">
        <v>11836</v>
      </c>
      <c r="K3118" s="31" t="s">
        <v>123</v>
      </c>
      <c r="L3118" s="31" t="s">
        <v>56</v>
      </c>
      <c r="M3118" s="31">
        <v>160</v>
      </c>
      <c r="N3118" s="31">
        <v>2019</v>
      </c>
      <c r="O3118" s="31">
        <v>76</v>
      </c>
      <c r="P3118" s="31"/>
      <c r="Q3118" s="31"/>
      <c r="R3118" s="33"/>
      <c r="S3118" s="34" t="str">
        <f>HYPERLINK("http://www.cnpol.ru/covers/18963.jpg","фото на сайте")</f>
        <v>фото на сайте</v>
      </c>
    </row>
    <row r="3119" spans="1:19" ht="50.1" customHeight="1">
      <c r="A3119" s="31"/>
      <c r="B3119" s="32" t="s">
        <v>11837</v>
      </c>
      <c r="C3119" s="31" t="s">
        <v>390</v>
      </c>
      <c r="D3119" s="31" t="s">
        <v>2285</v>
      </c>
      <c r="E3119" s="31" t="s">
        <v>11838</v>
      </c>
      <c r="F3119" s="31">
        <v>884</v>
      </c>
      <c r="G3119" s="31">
        <v>86</v>
      </c>
      <c r="H3119" s="31">
        <v>10</v>
      </c>
      <c r="I3119" s="31">
        <v>30</v>
      </c>
      <c r="J3119" s="31" t="s">
        <v>11839</v>
      </c>
      <c r="K3119" s="31" t="s">
        <v>123</v>
      </c>
      <c r="L3119" s="31" t="s">
        <v>56</v>
      </c>
      <c r="M3119" s="31">
        <v>160</v>
      </c>
      <c r="N3119" s="31">
        <v>2019</v>
      </c>
      <c r="O3119" s="31">
        <v>78</v>
      </c>
      <c r="P3119" s="31"/>
      <c r="Q3119" s="31"/>
      <c r="R3119" s="33"/>
      <c r="S3119" s="34" t="str">
        <f>HYPERLINK("http://www.cnpol.ru/covers/18603.jpg","фото на сайте")</f>
        <v>фото на сайте</v>
      </c>
    </row>
    <row r="3120" spans="1:19" ht="50.1" customHeight="1">
      <c r="A3120" s="31"/>
      <c r="B3120" s="32" t="s">
        <v>11840</v>
      </c>
      <c r="C3120" s="31" t="s">
        <v>576</v>
      </c>
      <c r="D3120" s="31" t="s">
        <v>577</v>
      </c>
      <c r="E3120" s="31" t="s">
        <v>11841</v>
      </c>
      <c r="F3120" s="31" t="s">
        <v>31</v>
      </c>
      <c r="G3120" s="31">
        <v>226</v>
      </c>
      <c r="H3120" s="31">
        <v>10</v>
      </c>
      <c r="I3120" s="31">
        <v>20</v>
      </c>
      <c r="J3120" s="31" t="s">
        <v>11842</v>
      </c>
      <c r="K3120" s="31" t="s">
        <v>123</v>
      </c>
      <c r="L3120" s="31" t="s">
        <v>56</v>
      </c>
      <c r="M3120" s="31">
        <v>320</v>
      </c>
      <c r="N3120" s="31">
        <v>2019</v>
      </c>
      <c r="O3120" s="31">
        <v>144</v>
      </c>
      <c r="P3120" s="31"/>
      <c r="Q3120" s="31"/>
      <c r="R3120" s="33"/>
      <c r="S3120" s="34" t="str">
        <f>HYPERLINK("http://www.cnpol.ru/covers/18793.jpg","фото на сайте")</f>
        <v>фото на сайте</v>
      </c>
    </row>
    <row r="3121" spans="1:19" ht="50.1" customHeight="1">
      <c r="A3121" s="31"/>
      <c r="B3121" s="32" t="s">
        <v>11843</v>
      </c>
      <c r="C3121" s="31" t="s">
        <v>581</v>
      </c>
      <c r="D3121" s="31" t="s">
        <v>577</v>
      </c>
      <c r="E3121" s="31" t="s">
        <v>11841</v>
      </c>
      <c r="F3121" s="31" t="s">
        <v>31</v>
      </c>
      <c r="G3121" s="31">
        <v>185</v>
      </c>
      <c r="H3121" s="31">
        <v>10</v>
      </c>
      <c r="I3121" s="31">
        <v>20</v>
      </c>
      <c r="J3121" s="31" t="s">
        <v>11844</v>
      </c>
      <c r="K3121" s="31" t="s">
        <v>123</v>
      </c>
      <c r="L3121" s="31" t="s">
        <v>56</v>
      </c>
      <c r="M3121" s="31">
        <v>315</v>
      </c>
      <c r="N3121" s="31">
        <v>2014</v>
      </c>
      <c r="O3121" s="31">
        <v>148</v>
      </c>
      <c r="P3121" s="31"/>
      <c r="Q3121" s="31"/>
      <c r="R3121" s="33"/>
      <c r="S3121" s="34" t="str">
        <f>HYPERLINK("http://www.cnpol.ru/covers/15282.jpg","фото на сайте")</f>
        <v>фото на сайте</v>
      </c>
    </row>
    <row r="3122" spans="1:19" ht="50.1" customHeight="1">
      <c r="A3122" s="31"/>
      <c r="B3122" s="32" t="s">
        <v>11845</v>
      </c>
      <c r="C3122" s="31" t="s">
        <v>390</v>
      </c>
      <c r="D3122" s="31" t="s">
        <v>989</v>
      </c>
      <c r="E3122" s="31" t="s">
        <v>11846</v>
      </c>
      <c r="F3122" s="31">
        <v>848</v>
      </c>
      <c r="G3122" s="31">
        <v>86</v>
      </c>
      <c r="H3122" s="31">
        <v>10</v>
      </c>
      <c r="I3122" s="31">
        <v>30</v>
      </c>
      <c r="J3122" s="31" t="s">
        <v>11847</v>
      </c>
      <c r="K3122" s="31" t="s">
        <v>123</v>
      </c>
      <c r="L3122" s="31" t="s">
        <v>56</v>
      </c>
      <c r="M3122" s="31">
        <v>160</v>
      </c>
      <c r="N3122" s="31">
        <v>2018</v>
      </c>
      <c r="O3122" s="31">
        <v>76</v>
      </c>
      <c r="P3122" s="31"/>
      <c r="Q3122" s="31"/>
      <c r="R3122" s="33"/>
      <c r="S3122" s="34" t="str">
        <f>HYPERLINK("http://www.cnpol.ru/covers/18381.jpg","фото на сайте")</f>
        <v>фото на сайте</v>
      </c>
    </row>
    <row r="3123" spans="1:19" ht="50.1" customHeight="1">
      <c r="A3123" s="31"/>
      <c r="B3123" s="32" t="s">
        <v>11848</v>
      </c>
      <c r="C3123" s="31" t="s">
        <v>390</v>
      </c>
      <c r="D3123" s="31" t="s">
        <v>2645</v>
      </c>
      <c r="E3123" s="31" t="s">
        <v>11849</v>
      </c>
      <c r="F3123" s="31">
        <v>972</v>
      </c>
      <c r="G3123" s="31">
        <v>86</v>
      </c>
      <c r="H3123" s="31">
        <v>10</v>
      </c>
      <c r="I3123" s="31">
        <v>30</v>
      </c>
      <c r="J3123" s="31" t="s">
        <v>11850</v>
      </c>
      <c r="K3123" s="31" t="s">
        <v>123</v>
      </c>
      <c r="L3123" s="31" t="s">
        <v>56</v>
      </c>
      <c r="M3123" s="31">
        <v>160</v>
      </c>
      <c r="N3123" s="31">
        <v>2020</v>
      </c>
      <c r="O3123" s="31">
        <v>76</v>
      </c>
      <c r="P3123" s="31"/>
      <c r="Q3123" s="31"/>
      <c r="R3123" s="33"/>
      <c r="S3123" s="34" t="str">
        <f>HYPERLINK("http://www.cnpol.ru/covers/19130.jpg","фото на сайте")</f>
        <v>фото на сайте</v>
      </c>
    </row>
    <row r="3124" spans="1:19" ht="50.1" customHeight="1">
      <c r="A3124" s="31" t="s">
        <v>43</v>
      </c>
      <c r="B3124" s="32" t="s">
        <v>11851</v>
      </c>
      <c r="C3124" s="31" t="s">
        <v>11852</v>
      </c>
      <c r="D3124" s="31" t="s">
        <v>726</v>
      </c>
      <c r="E3124" s="31" t="s">
        <v>11853</v>
      </c>
      <c r="F3124" s="31" t="s">
        <v>31</v>
      </c>
      <c r="G3124" s="31">
        <v>158</v>
      </c>
      <c r="H3124" s="31">
        <v>10</v>
      </c>
      <c r="I3124" s="31">
        <v>22</v>
      </c>
      <c r="J3124" s="31" t="s">
        <v>11854</v>
      </c>
      <c r="K3124" s="31" t="s">
        <v>123</v>
      </c>
      <c r="L3124" s="31" t="s">
        <v>56</v>
      </c>
      <c r="M3124" s="31">
        <v>255</v>
      </c>
      <c r="N3124" s="31">
        <v>2024</v>
      </c>
      <c r="O3124" s="31">
        <v>105</v>
      </c>
      <c r="P3124" s="31"/>
      <c r="Q3124" s="31"/>
      <c r="R3124" s="33" t="s">
        <v>11855</v>
      </c>
      <c r="S3124" s="34" t="str">
        <f>HYPERLINK("http://www.cnpol.ru/covers/21258.jpg","фото на сайте")</f>
        <v>фото на сайте</v>
      </c>
    </row>
    <row r="3125" spans="1:19" ht="50.1" customHeight="1">
      <c r="A3125" s="31"/>
      <c r="B3125" s="32" t="s">
        <v>11856</v>
      </c>
      <c r="C3125" s="31" t="s">
        <v>1003</v>
      </c>
      <c r="D3125" s="31" t="s">
        <v>1004</v>
      </c>
      <c r="E3125" s="31" t="s">
        <v>11857</v>
      </c>
      <c r="F3125" s="31" t="s">
        <v>31</v>
      </c>
      <c r="G3125" s="31">
        <v>122</v>
      </c>
      <c r="H3125" s="31">
        <v>10</v>
      </c>
      <c r="I3125" s="31">
        <v>40</v>
      </c>
      <c r="J3125" s="31" t="s">
        <v>11858</v>
      </c>
      <c r="K3125" s="31" t="s">
        <v>300</v>
      </c>
      <c r="L3125" s="31" t="s">
        <v>56</v>
      </c>
      <c r="M3125" s="31">
        <v>127</v>
      </c>
      <c r="N3125" s="31">
        <v>2023</v>
      </c>
      <c r="O3125" s="31">
        <v>62</v>
      </c>
      <c r="P3125" s="31"/>
      <c r="Q3125" s="31"/>
      <c r="R3125" s="33" t="s">
        <v>11859</v>
      </c>
      <c r="S3125" s="34" t="str">
        <f>HYPERLINK("http://www.cnpol.ru/covers/20697.jpg","фото на сайте")</f>
        <v>фото на сайте</v>
      </c>
    </row>
    <row r="3126" spans="1:19" ht="50.1" customHeight="1">
      <c r="A3126" s="31"/>
      <c r="B3126" s="32" t="s">
        <v>11860</v>
      </c>
      <c r="C3126" s="31" t="s">
        <v>4218</v>
      </c>
      <c r="D3126" s="31" t="s">
        <v>9287</v>
      </c>
      <c r="E3126" s="31" t="s">
        <v>11861</v>
      </c>
      <c r="F3126" s="31" t="s">
        <v>31</v>
      </c>
      <c r="G3126" s="31">
        <v>539</v>
      </c>
      <c r="H3126" s="31">
        <v>10</v>
      </c>
      <c r="I3126" s="31">
        <v>14</v>
      </c>
      <c r="J3126" s="31" t="s">
        <v>11862</v>
      </c>
      <c r="K3126" s="31" t="s">
        <v>33</v>
      </c>
      <c r="L3126" s="31" t="s">
        <v>34</v>
      </c>
      <c r="M3126" s="31">
        <v>382</v>
      </c>
      <c r="N3126" s="31">
        <v>2008</v>
      </c>
      <c r="O3126" s="31">
        <v>394</v>
      </c>
      <c r="P3126" s="31"/>
      <c r="Q3126" s="31"/>
      <c r="R3126" s="33"/>
      <c r="S3126" s="34" t="str">
        <f>HYPERLINK("http://www.cnpol.ru/covers/10220.jpg","фото на сайте")</f>
        <v>фото на сайте</v>
      </c>
    </row>
    <row r="3127" spans="1:19" ht="50.1" customHeight="1">
      <c r="A3127" s="31"/>
      <c r="B3127" s="32" t="s">
        <v>11863</v>
      </c>
      <c r="C3127" s="31" t="s">
        <v>4085</v>
      </c>
      <c r="D3127" s="31" t="s">
        <v>11864</v>
      </c>
      <c r="E3127" s="31" t="s">
        <v>11865</v>
      </c>
      <c r="F3127" s="31" t="s">
        <v>31</v>
      </c>
      <c r="G3127" s="31">
        <v>243</v>
      </c>
      <c r="H3127" s="31">
        <v>10</v>
      </c>
      <c r="I3127" s="31">
        <v>22</v>
      </c>
      <c r="J3127" s="31" t="s">
        <v>11866</v>
      </c>
      <c r="K3127" s="31" t="s">
        <v>300</v>
      </c>
      <c r="L3127" s="31" t="s">
        <v>56</v>
      </c>
      <c r="M3127" s="31">
        <v>220</v>
      </c>
      <c r="N3127" s="31">
        <v>2014</v>
      </c>
      <c r="O3127" s="31">
        <v>116</v>
      </c>
      <c r="P3127" s="31"/>
      <c r="Q3127" s="31"/>
      <c r="R3127" s="33"/>
      <c r="S3127" s="34" t="str">
        <f>HYPERLINK("http://www.cnpol.ru/covers/15344.jpg","фото на сайте")</f>
        <v>фото на сайте</v>
      </c>
    </row>
    <row r="3128" spans="1:19" ht="50.1" customHeight="1">
      <c r="A3128" s="31"/>
      <c r="B3128" s="32" t="s">
        <v>11867</v>
      </c>
      <c r="C3128" s="31" t="s">
        <v>385</v>
      </c>
      <c r="D3128" s="31" t="s">
        <v>386</v>
      </c>
      <c r="E3128" s="31" t="s">
        <v>11868</v>
      </c>
      <c r="F3128" s="31" t="s">
        <v>31</v>
      </c>
      <c r="G3128" s="31">
        <v>162</v>
      </c>
      <c r="H3128" s="31">
        <v>10</v>
      </c>
      <c r="I3128" s="31">
        <v>32</v>
      </c>
      <c r="J3128" s="31" t="s">
        <v>11869</v>
      </c>
      <c r="K3128" s="31" t="s">
        <v>55</v>
      </c>
      <c r="L3128" s="31" t="s">
        <v>56</v>
      </c>
      <c r="M3128" s="31">
        <v>250</v>
      </c>
      <c r="N3128" s="31">
        <v>2016</v>
      </c>
      <c r="O3128" s="31">
        <v>110</v>
      </c>
      <c r="P3128" s="31"/>
      <c r="Q3128" s="31"/>
      <c r="R3128" s="33"/>
      <c r="S3128" s="34" t="str">
        <f>HYPERLINK("http://www.cnpol.ru/covers/0111.jpg","фото на сайте")</f>
        <v>фото на сайте</v>
      </c>
    </row>
    <row r="3129" spans="1:19" ht="50.1" customHeight="1">
      <c r="A3129" s="31"/>
      <c r="B3129" s="32" t="s">
        <v>11870</v>
      </c>
      <c r="C3129" s="31" t="s">
        <v>1623</v>
      </c>
      <c r="D3129" s="31" t="s">
        <v>7007</v>
      </c>
      <c r="E3129" s="31" t="s">
        <v>11871</v>
      </c>
      <c r="F3129" s="31" t="s">
        <v>31</v>
      </c>
      <c r="G3129" s="31">
        <v>169</v>
      </c>
      <c r="H3129" s="31">
        <v>10</v>
      </c>
      <c r="I3129" s="31">
        <v>12</v>
      </c>
      <c r="J3129" s="31" t="s">
        <v>11872</v>
      </c>
      <c r="K3129" s="31" t="s">
        <v>55</v>
      </c>
      <c r="L3129" s="31" t="s">
        <v>56</v>
      </c>
      <c r="M3129" s="31">
        <v>256</v>
      </c>
      <c r="N3129" s="31">
        <v>2021</v>
      </c>
      <c r="O3129" s="31">
        <v>110</v>
      </c>
      <c r="P3129" s="31"/>
      <c r="Q3129" s="31"/>
      <c r="R3129" s="33"/>
      <c r="S3129" s="34" t="str">
        <f>HYPERLINK("http://www.cnpol.ru/covers/19716.jpg","фото на сайте")</f>
        <v>фото на сайте</v>
      </c>
    </row>
    <row r="3130" spans="1:19" ht="50.1" customHeight="1">
      <c r="A3130" s="31"/>
      <c r="B3130" s="32" t="s">
        <v>11873</v>
      </c>
      <c r="C3130" s="31" t="s">
        <v>385</v>
      </c>
      <c r="D3130" s="31" t="s">
        <v>386</v>
      </c>
      <c r="E3130" s="31" t="s">
        <v>11874</v>
      </c>
      <c r="F3130" s="31" t="s">
        <v>31</v>
      </c>
      <c r="G3130" s="31">
        <v>162</v>
      </c>
      <c r="H3130" s="31">
        <v>10</v>
      </c>
      <c r="I3130" s="31">
        <v>32</v>
      </c>
      <c r="J3130" s="31" t="s">
        <v>11875</v>
      </c>
      <c r="K3130" s="31" t="s">
        <v>55</v>
      </c>
      <c r="L3130" s="31" t="s">
        <v>56</v>
      </c>
      <c r="M3130" s="31">
        <v>288</v>
      </c>
      <c r="N3130" s="31">
        <v>2016</v>
      </c>
      <c r="O3130" s="31">
        <v>118</v>
      </c>
      <c r="P3130" s="31"/>
      <c r="Q3130" s="31"/>
      <c r="R3130" s="33"/>
      <c r="S3130" s="34" t="str">
        <f>HYPERLINK("http://www.cnpol.ru/covers/0178.jpg","фото на сайте")</f>
        <v>фото на сайте</v>
      </c>
    </row>
    <row r="3131" spans="1:19" ht="50.1" customHeight="1">
      <c r="A3131" s="31"/>
      <c r="B3131" s="32" t="s">
        <v>11876</v>
      </c>
      <c r="C3131" s="31" t="s">
        <v>6981</v>
      </c>
      <c r="D3131" s="31" t="s">
        <v>2111</v>
      </c>
      <c r="E3131" s="31" t="s">
        <v>11877</v>
      </c>
      <c r="F3131" s="31" t="s">
        <v>31</v>
      </c>
      <c r="G3131" s="31">
        <v>321</v>
      </c>
      <c r="H3131" s="31">
        <v>10</v>
      </c>
      <c r="I3131" s="31">
        <v>14</v>
      </c>
      <c r="J3131" s="31" t="s">
        <v>11878</v>
      </c>
      <c r="K3131" s="31" t="s">
        <v>33</v>
      </c>
      <c r="L3131" s="31" t="s">
        <v>210</v>
      </c>
      <c r="M3131" s="31">
        <v>288</v>
      </c>
      <c r="N3131" s="31">
        <v>2017</v>
      </c>
      <c r="O3131" s="31">
        <v>168</v>
      </c>
      <c r="P3131" s="31"/>
      <c r="Q3131" s="31"/>
      <c r="R3131" s="33"/>
      <c r="S3131" s="34" t="str">
        <f>HYPERLINK("http://www.cnpol.ru/covers/17874.jpg","фото на сайте")</f>
        <v>фото на сайте</v>
      </c>
    </row>
    <row r="3132" spans="1:19" ht="50.1" customHeight="1">
      <c r="A3132" s="31"/>
      <c r="B3132" s="32" t="s">
        <v>11879</v>
      </c>
      <c r="C3132" s="31" t="s">
        <v>297</v>
      </c>
      <c r="D3132" s="31" t="s">
        <v>11880</v>
      </c>
      <c r="E3132" s="31" t="s">
        <v>11881</v>
      </c>
      <c r="F3132" s="31" t="s">
        <v>31</v>
      </c>
      <c r="G3132" s="31">
        <v>300</v>
      </c>
      <c r="H3132" s="31">
        <v>10</v>
      </c>
      <c r="I3132" s="31">
        <v>24</v>
      </c>
      <c r="J3132" s="31" t="s">
        <v>11882</v>
      </c>
      <c r="K3132" s="31" t="s">
        <v>300</v>
      </c>
      <c r="L3132" s="31" t="s">
        <v>56</v>
      </c>
      <c r="M3132" s="31">
        <v>288</v>
      </c>
      <c r="N3132" s="31">
        <v>2016</v>
      </c>
      <c r="O3132" s="31">
        <v>144</v>
      </c>
      <c r="P3132" s="31"/>
      <c r="Q3132" s="31"/>
      <c r="R3132" s="33"/>
      <c r="S3132" s="34" t="str">
        <f>HYPERLINK("http://www.cnpol.ru/covers/16796.jpg","фото на сайте")</f>
        <v>фото на сайте</v>
      </c>
    </row>
    <row r="3133" spans="1:19" ht="50.1" customHeight="1">
      <c r="A3133" s="31"/>
      <c r="B3133" s="32" t="s">
        <v>11883</v>
      </c>
      <c r="C3133" s="31" t="s">
        <v>546</v>
      </c>
      <c r="D3133" s="31" t="s">
        <v>6002</v>
      </c>
      <c r="E3133" s="31" t="s">
        <v>11884</v>
      </c>
      <c r="F3133" s="31">
        <v>207</v>
      </c>
      <c r="G3133" s="31">
        <v>93</v>
      </c>
      <c r="H3133" s="31">
        <v>10</v>
      </c>
      <c r="I3133" s="31">
        <v>30</v>
      </c>
      <c r="J3133" s="31" t="s">
        <v>11885</v>
      </c>
      <c r="K3133" s="31" t="s">
        <v>123</v>
      </c>
      <c r="L3133" s="31" t="s">
        <v>56</v>
      </c>
      <c r="M3133" s="31">
        <v>160</v>
      </c>
      <c r="N3133" s="31">
        <v>2017</v>
      </c>
      <c r="O3133" s="31">
        <v>76</v>
      </c>
      <c r="P3133" s="31"/>
      <c r="Q3133" s="31"/>
      <c r="R3133" s="33"/>
      <c r="S3133" s="34" t="str">
        <f>HYPERLINK("http://www.cnpol.ru/covers/17316.jpg","фото на сайте")</f>
        <v>фото на сайте</v>
      </c>
    </row>
    <row r="3134" spans="1:19" ht="50.1" customHeight="1">
      <c r="A3134" s="31"/>
      <c r="B3134" s="32" t="s">
        <v>11886</v>
      </c>
      <c r="C3134" s="31" t="s">
        <v>302</v>
      </c>
      <c r="D3134" s="31" t="s">
        <v>5474</v>
      </c>
      <c r="E3134" s="31" t="s">
        <v>11887</v>
      </c>
      <c r="F3134" s="31" t="s">
        <v>31</v>
      </c>
      <c r="G3134" s="31">
        <v>801</v>
      </c>
      <c r="H3134" s="31">
        <v>10</v>
      </c>
      <c r="I3134" s="31">
        <v>14</v>
      </c>
      <c r="J3134" s="31" t="s">
        <v>11888</v>
      </c>
      <c r="K3134" s="31" t="s">
        <v>41</v>
      </c>
      <c r="L3134" s="31" t="s">
        <v>304</v>
      </c>
      <c r="M3134" s="31">
        <v>256</v>
      </c>
      <c r="N3134" s="31">
        <v>2016</v>
      </c>
      <c r="O3134" s="31">
        <v>376</v>
      </c>
      <c r="P3134" s="31"/>
      <c r="Q3134" s="31"/>
      <c r="R3134" s="33"/>
      <c r="S3134" s="34" t="str">
        <f>HYPERLINK("http://www.cnpol.ru/covers/16906.jpg","фото на сайте")</f>
        <v>фото на сайте</v>
      </c>
    </row>
    <row r="3135" spans="1:19" ht="50.1" customHeight="1">
      <c r="A3135" s="31" t="s">
        <v>35</v>
      </c>
      <c r="B3135" s="32" t="s">
        <v>11889</v>
      </c>
      <c r="C3135" s="31" t="s">
        <v>297</v>
      </c>
      <c r="D3135" s="31" t="s">
        <v>5474</v>
      </c>
      <c r="E3135" s="31" t="s">
        <v>11887</v>
      </c>
      <c r="F3135" s="31" t="s">
        <v>31</v>
      </c>
      <c r="G3135" s="31">
        <v>300</v>
      </c>
      <c r="H3135" s="31">
        <v>10</v>
      </c>
      <c r="I3135" s="31">
        <v>9</v>
      </c>
      <c r="J3135" s="31" t="s">
        <v>11890</v>
      </c>
      <c r="K3135" s="31" t="s">
        <v>300</v>
      </c>
      <c r="L3135" s="31" t="s">
        <v>56</v>
      </c>
      <c r="M3135" s="31">
        <v>287</v>
      </c>
      <c r="N3135" s="31">
        <v>2024</v>
      </c>
      <c r="O3135" s="31" t="s">
        <v>220</v>
      </c>
      <c r="P3135" s="31"/>
      <c r="Q3135" s="31"/>
      <c r="R3135" s="33" t="s">
        <v>11891</v>
      </c>
      <c r="S3135" s="34" t="str">
        <f>HYPERLINK("http://www.cnpol.ru/covers/21613.jpg","фото на сайте")</f>
        <v>фото на сайте</v>
      </c>
    </row>
    <row r="3136" spans="1:19" ht="50.1" customHeight="1">
      <c r="A3136" s="31"/>
      <c r="B3136" s="32" t="s">
        <v>11892</v>
      </c>
      <c r="C3136" s="31" t="s">
        <v>975</v>
      </c>
      <c r="D3136" s="31" t="s">
        <v>976</v>
      </c>
      <c r="E3136" s="31" t="s">
        <v>11893</v>
      </c>
      <c r="F3136" s="31" t="s">
        <v>31</v>
      </c>
      <c r="G3136" s="31">
        <v>154</v>
      </c>
      <c r="H3136" s="31">
        <v>10</v>
      </c>
      <c r="I3136" s="31">
        <v>20</v>
      </c>
      <c r="J3136" s="31" t="s">
        <v>11894</v>
      </c>
      <c r="K3136" s="31" t="s">
        <v>55</v>
      </c>
      <c r="L3136" s="31" t="s">
        <v>56</v>
      </c>
      <c r="M3136" s="31">
        <v>319</v>
      </c>
      <c r="N3136" s="31">
        <v>2008</v>
      </c>
      <c r="O3136" s="31">
        <v>132</v>
      </c>
      <c r="P3136" s="31"/>
      <c r="Q3136" s="31"/>
      <c r="R3136" s="33"/>
      <c r="S3136" s="34" t="str">
        <f>HYPERLINK("http://www.cnpol.ru/covers/10146.jpg","фото на сайте")</f>
        <v>фото на сайте</v>
      </c>
    </row>
    <row r="3137" spans="1:19" ht="50.1" customHeight="1">
      <c r="A3137" s="31"/>
      <c r="B3137" s="32" t="s">
        <v>11895</v>
      </c>
      <c r="C3137" s="31" t="s">
        <v>2598</v>
      </c>
      <c r="D3137" s="31" t="s">
        <v>2599</v>
      </c>
      <c r="E3137" s="31" t="s">
        <v>11896</v>
      </c>
      <c r="F3137" s="31" t="s">
        <v>31</v>
      </c>
      <c r="G3137" s="31">
        <v>942</v>
      </c>
      <c r="H3137" s="31">
        <v>10</v>
      </c>
      <c r="I3137" s="31">
        <v>8</v>
      </c>
      <c r="J3137" s="31" t="s">
        <v>11897</v>
      </c>
      <c r="K3137" s="31" t="s">
        <v>33</v>
      </c>
      <c r="L3137" s="31" t="s">
        <v>34</v>
      </c>
      <c r="M3137" s="31">
        <v>544</v>
      </c>
      <c r="N3137" s="31">
        <v>2016</v>
      </c>
      <c r="O3137" s="31">
        <v>534</v>
      </c>
      <c r="P3137" s="31"/>
      <c r="Q3137" s="31"/>
      <c r="R3137" s="33"/>
      <c r="S3137" s="34" t="str">
        <f>HYPERLINK("http://www.cnpol.ru/covers/17196.jpg","фото на сайте")</f>
        <v>фото на сайте</v>
      </c>
    </row>
    <row r="3138" spans="1:19" ht="50.1" customHeight="1">
      <c r="A3138" s="31" t="s">
        <v>43</v>
      </c>
      <c r="B3138" s="32" t="s">
        <v>11898</v>
      </c>
      <c r="C3138" s="31" t="s">
        <v>45</v>
      </c>
      <c r="D3138" s="31" t="s">
        <v>1212</v>
      </c>
      <c r="E3138" s="31" t="s">
        <v>11899</v>
      </c>
      <c r="F3138" s="31" t="s">
        <v>31</v>
      </c>
      <c r="G3138" s="31">
        <v>903</v>
      </c>
      <c r="H3138" s="31">
        <v>10</v>
      </c>
      <c r="I3138" s="31">
        <v>10</v>
      </c>
      <c r="J3138" s="31" t="s">
        <v>11900</v>
      </c>
      <c r="K3138" s="31" t="s">
        <v>33</v>
      </c>
      <c r="L3138" s="31" t="s">
        <v>34</v>
      </c>
      <c r="M3138" s="31">
        <v>348</v>
      </c>
      <c r="N3138" s="31">
        <v>2025</v>
      </c>
      <c r="O3138" s="31">
        <v>428</v>
      </c>
      <c r="P3138" s="31"/>
      <c r="Q3138" s="31"/>
      <c r="R3138" s="33" t="s">
        <v>11901</v>
      </c>
      <c r="S3138" s="34" t="str">
        <f>HYPERLINK("http://www.cnpol.ru/covers/21767.jpg","фото на сайте")</f>
        <v>фото на сайте</v>
      </c>
    </row>
    <row r="3139" spans="1:19" ht="50.1" customHeight="1">
      <c r="A3139" s="31"/>
      <c r="B3139" s="32" t="s">
        <v>11902</v>
      </c>
      <c r="C3139" s="31" t="s">
        <v>400</v>
      </c>
      <c r="D3139" s="31" t="s">
        <v>785</v>
      </c>
      <c r="E3139" s="31" t="s">
        <v>11903</v>
      </c>
      <c r="F3139" s="31" t="s">
        <v>31</v>
      </c>
      <c r="G3139" s="31">
        <v>503</v>
      </c>
      <c r="H3139" s="31">
        <v>10</v>
      </c>
      <c r="I3139" s="31">
        <v>14</v>
      </c>
      <c r="J3139" s="31" t="s">
        <v>11904</v>
      </c>
      <c r="K3139" s="31" t="s">
        <v>33</v>
      </c>
      <c r="L3139" s="31" t="s">
        <v>34</v>
      </c>
      <c r="M3139" s="31">
        <v>288</v>
      </c>
      <c r="N3139" s="31">
        <v>2018</v>
      </c>
      <c r="O3139" s="31">
        <v>248</v>
      </c>
      <c r="P3139" s="31"/>
      <c r="Q3139" s="31"/>
      <c r="R3139" s="33"/>
      <c r="S3139" s="34" t="str">
        <f>HYPERLINK("http://www.cnpol.ru/covers/17966.jpg","фото на сайте")</f>
        <v>фото на сайте</v>
      </c>
    </row>
    <row r="3140" spans="1:19" ht="50.1" customHeight="1">
      <c r="A3140" s="31"/>
      <c r="B3140" s="32" t="s">
        <v>11905</v>
      </c>
      <c r="C3140" s="31" t="s">
        <v>3108</v>
      </c>
      <c r="D3140" s="31" t="s">
        <v>1364</v>
      </c>
      <c r="E3140" s="31" t="s">
        <v>11906</v>
      </c>
      <c r="F3140" s="31">
        <v>4</v>
      </c>
      <c r="G3140" s="31">
        <v>771</v>
      </c>
      <c r="H3140" s="31">
        <v>10</v>
      </c>
      <c r="I3140" s="31">
        <v>12</v>
      </c>
      <c r="J3140" s="31" t="s">
        <v>11907</v>
      </c>
      <c r="K3140" s="31" t="s">
        <v>33</v>
      </c>
      <c r="L3140" s="31" t="s">
        <v>304</v>
      </c>
      <c r="M3140" s="31">
        <v>287</v>
      </c>
      <c r="N3140" s="31">
        <v>2023</v>
      </c>
      <c r="O3140" s="31">
        <v>340</v>
      </c>
      <c r="P3140" s="31"/>
      <c r="Q3140" s="31"/>
      <c r="R3140" s="33" t="s">
        <v>11908</v>
      </c>
      <c r="S3140" s="34" t="str">
        <f>HYPERLINK("http://www.cnpol.ru/covers/20626.jpg","фото на сайте")</f>
        <v>фото на сайте</v>
      </c>
    </row>
    <row r="3141" spans="1:19" ht="50.1" customHeight="1">
      <c r="A3141" s="31"/>
      <c r="B3141" s="32" t="s">
        <v>11909</v>
      </c>
      <c r="C3141" s="31" t="s">
        <v>3108</v>
      </c>
      <c r="D3141" s="31" t="s">
        <v>1364</v>
      </c>
      <c r="E3141" s="31" t="s">
        <v>11910</v>
      </c>
      <c r="F3141" s="31">
        <v>3</v>
      </c>
      <c r="G3141" s="31">
        <v>771</v>
      </c>
      <c r="H3141" s="31">
        <v>10</v>
      </c>
      <c r="I3141" s="31">
        <v>14</v>
      </c>
      <c r="J3141" s="31" t="s">
        <v>11911</v>
      </c>
      <c r="K3141" s="31" t="s">
        <v>33</v>
      </c>
      <c r="L3141" s="31" t="s">
        <v>304</v>
      </c>
      <c r="M3141" s="31">
        <v>255</v>
      </c>
      <c r="N3141" s="31">
        <v>2023</v>
      </c>
      <c r="O3141" s="31">
        <v>250</v>
      </c>
      <c r="P3141" s="31"/>
      <c r="Q3141" s="31"/>
      <c r="R3141" s="33" t="s">
        <v>11912</v>
      </c>
      <c r="S3141" s="34" t="str">
        <f>HYPERLINK("http://www.cnpol.ru/covers/20566.jpg","фото на сайте")</f>
        <v>фото на сайте</v>
      </c>
    </row>
    <row r="3142" spans="1:19" ht="50.1" customHeight="1">
      <c r="A3142" s="31"/>
      <c r="B3142" s="32" t="s">
        <v>11913</v>
      </c>
      <c r="C3142" s="31" t="s">
        <v>390</v>
      </c>
      <c r="D3142" s="31" t="s">
        <v>961</v>
      </c>
      <c r="E3142" s="31" t="s">
        <v>11914</v>
      </c>
      <c r="F3142" s="31">
        <v>396</v>
      </c>
      <c r="G3142" s="31">
        <v>86</v>
      </c>
      <c r="H3142" s="31">
        <v>10</v>
      </c>
      <c r="I3142" s="31">
        <v>30</v>
      </c>
      <c r="J3142" s="31" t="s">
        <v>11915</v>
      </c>
      <c r="K3142" s="31" t="s">
        <v>123</v>
      </c>
      <c r="L3142" s="31" t="s">
        <v>56</v>
      </c>
      <c r="M3142" s="31">
        <v>158</v>
      </c>
      <c r="N3142" s="31">
        <v>2014</v>
      </c>
      <c r="O3142" s="31">
        <v>78</v>
      </c>
      <c r="P3142" s="31"/>
      <c r="Q3142" s="31"/>
      <c r="R3142" s="33"/>
      <c r="S3142" s="34" t="str">
        <f>HYPERLINK("http://www.cnpol.ru/covers/15013.jpg","фото на сайте")</f>
        <v>фото на сайте</v>
      </c>
    </row>
    <row r="3143" spans="1:19" ht="50.1" customHeight="1">
      <c r="A3143" s="31"/>
      <c r="B3143" s="32" t="s">
        <v>11916</v>
      </c>
      <c r="C3143" s="31" t="s">
        <v>400</v>
      </c>
      <c r="D3143" s="31" t="s">
        <v>11917</v>
      </c>
      <c r="E3143" s="31" t="s">
        <v>11918</v>
      </c>
      <c r="F3143" s="31" t="s">
        <v>31</v>
      </c>
      <c r="G3143" s="31">
        <v>503</v>
      </c>
      <c r="H3143" s="31">
        <v>10</v>
      </c>
      <c r="I3143" s="31">
        <v>12</v>
      </c>
      <c r="J3143" s="31" t="s">
        <v>11919</v>
      </c>
      <c r="K3143" s="31" t="s">
        <v>33</v>
      </c>
      <c r="L3143" s="31" t="s">
        <v>34</v>
      </c>
      <c r="M3143" s="31">
        <v>352</v>
      </c>
      <c r="N3143" s="31">
        <v>2019</v>
      </c>
      <c r="O3143" s="31">
        <v>290</v>
      </c>
      <c r="P3143" s="31"/>
      <c r="Q3143" s="31"/>
      <c r="R3143" s="33"/>
      <c r="S3143" s="34" t="str">
        <f>HYPERLINK("http://www.cnpol.ru/covers/18664.jpg","фото на сайте")</f>
        <v>фото на сайте</v>
      </c>
    </row>
    <row r="3144" spans="1:19" ht="50.1" customHeight="1">
      <c r="A3144" s="31"/>
      <c r="B3144" s="32" t="s">
        <v>11920</v>
      </c>
      <c r="C3144" s="31" t="s">
        <v>11921</v>
      </c>
      <c r="D3144" s="31" t="s">
        <v>11922</v>
      </c>
      <c r="E3144" s="31" t="s">
        <v>11923</v>
      </c>
      <c r="F3144" s="31" t="s">
        <v>31</v>
      </c>
      <c r="G3144" s="31">
        <v>325</v>
      </c>
      <c r="H3144" s="31">
        <v>10</v>
      </c>
      <c r="I3144" s="31">
        <v>12</v>
      </c>
      <c r="J3144" s="31" t="s">
        <v>11924</v>
      </c>
      <c r="K3144" s="31" t="s">
        <v>33</v>
      </c>
      <c r="L3144" s="31" t="s">
        <v>34</v>
      </c>
      <c r="M3144" s="31">
        <v>367</v>
      </c>
      <c r="N3144" s="31">
        <v>2004</v>
      </c>
      <c r="O3144" s="31">
        <v>380</v>
      </c>
      <c r="P3144" s="31"/>
      <c r="Q3144" s="31"/>
      <c r="R3144" s="33"/>
      <c r="S3144" s="34" t="str">
        <f>HYPERLINK("http://www.cnpol.ru/covers/5310.jpg","фото на сайте")</f>
        <v>фото на сайте</v>
      </c>
    </row>
    <row r="3145" spans="1:19" ht="50.1" customHeight="1">
      <c r="A3145" s="31"/>
      <c r="B3145" s="32" t="s">
        <v>11925</v>
      </c>
      <c r="C3145" s="31" t="s">
        <v>390</v>
      </c>
      <c r="D3145" s="31" t="s">
        <v>11926</v>
      </c>
      <c r="E3145" s="31" t="s">
        <v>11927</v>
      </c>
      <c r="F3145" s="31">
        <v>989</v>
      </c>
      <c r="G3145" s="31">
        <v>86</v>
      </c>
      <c r="H3145" s="31">
        <v>10</v>
      </c>
      <c r="I3145" s="31">
        <v>30</v>
      </c>
      <c r="J3145" s="31" t="s">
        <v>11928</v>
      </c>
      <c r="K3145" s="31" t="s">
        <v>123</v>
      </c>
      <c r="L3145" s="31" t="s">
        <v>56</v>
      </c>
      <c r="M3145" s="31">
        <v>160</v>
      </c>
      <c r="N3145" s="31">
        <v>2020</v>
      </c>
      <c r="O3145" s="31">
        <v>76</v>
      </c>
      <c r="P3145" s="31"/>
      <c r="Q3145" s="31"/>
      <c r="R3145" s="33"/>
      <c r="S3145" s="34" t="str">
        <f>HYPERLINK("http://www.cnpol.ru/covers/19271.jpg","фото на сайте")</f>
        <v>фото на сайте</v>
      </c>
    </row>
    <row r="3146" spans="1:19" ht="50.1" customHeight="1">
      <c r="A3146" s="31"/>
      <c r="B3146" s="32" t="s">
        <v>11929</v>
      </c>
      <c r="C3146" s="31" t="s">
        <v>1338</v>
      </c>
      <c r="D3146" s="31" t="s">
        <v>1339</v>
      </c>
      <c r="E3146" s="31" t="s">
        <v>11930</v>
      </c>
      <c r="F3146" s="31" t="s">
        <v>31</v>
      </c>
      <c r="G3146" s="31">
        <v>154</v>
      </c>
      <c r="H3146" s="31">
        <v>10</v>
      </c>
      <c r="I3146" s="31">
        <v>24</v>
      </c>
      <c r="J3146" s="31" t="s">
        <v>11931</v>
      </c>
      <c r="K3146" s="31" t="s">
        <v>55</v>
      </c>
      <c r="L3146" s="31" t="s">
        <v>56</v>
      </c>
      <c r="M3146" s="31">
        <v>319</v>
      </c>
      <c r="N3146" s="31">
        <v>2008</v>
      </c>
      <c r="O3146" s="31">
        <v>130</v>
      </c>
      <c r="P3146" s="31"/>
      <c r="Q3146" s="31"/>
      <c r="R3146" s="33"/>
      <c r="S3146" s="34" t="str">
        <f>HYPERLINK("http://www.cnpol.ru/covers/10742.jpg","фото на сайте")</f>
        <v>фото на сайте</v>
      </c>
    </row>
    <row r="3147" spans="1:19" ht="50.1" customHeight="1">
      <c r="A3147" s="31" t="s">
        <v>43</v>
      </c>
      <c r="B3147" s="32" t="s">
        <v>11932</v>
      </c>
      <c r="C3147" s="31" t="s">
        <v>1050</v>
      </c>
      <c r="D3147" s="31" t="s">
        <v>11933</v>
      </c>
      <c r="E3147" s="31" t="s">
        <v>11934</v>
      </c>
      <c r="F3147" s="31" t="s">
        <v>31</v>
      </c>
      <c r="G3147" s="31">
        <v>386</v>
      </c>
      <c r="H3147" s="31">
        <v>10</v>
      </c>
      <c r="I3147" s="31">
        <v>16</v>
      </c>
      <c r="J3147" s="31" t="s">
        <v>11935</v>
      </c>
      <c r="K3147" s="31" t="s">
        <v>130</v>
      </c>
      <c r="L3147" s="31" t="s">
        <v>210</v>
      </c>
      <c r="M3147" s="31">
        <v>317</v>
      </c>
      <c r="N3147" s="31">
        <v>2025</v>
      </c>
      <c r="O3147" s="31" t="s">
        <v>220</v>
      </c>
      <c r="P3147" s="31"/>
      <c r="Q3147" s="31"/>
      <c r="R3147" s="33" t="s">
        <v>11936</v>
      </c>
      <c r="S3147" s="34" t="str">
        <f>HYPERLINK("http://www.cnpol.ru/covers/21398.jpg","фото на сайте")</f>
        <v>фото на сайте</v>
      </c>
    </row>
    <row r="3148" spans="1:19" ht="50.1" customHeight="1">
      <c r="A3148" s="31"/>
      <c r="B3148" s="32" t="s">
        <v>11937</v>
      </c>
      <c r="C3148" s="31" t="s">
        <v>390</v>
      </c>
      <c r="D3148" s="31" t="s">
        <v>8593</v>
      </c>
      <c r="E3148" s="31" t="s">
        <v>11938</v>
      </c>
      <c r="F3148" s="31">
        <v>429</v>
      </c>
      <c r="G3148" s="31">
        <v>86</v>
      </c>
      <c r="H3148" s="31">
        <v>10</v>
      </c>
      <c r="I3148" s="31">
        <v>30</v>
      </c>
      <c r="J3148" s="31" t="s">
        <v>11939</v>
      </c>
      <c r="K3148" s="31" t="s">
        <v>123</v>
      </c>
      <c r="L3148" s="31" t="s">
        <v>56</v>
      </c>
      <c r="M3148" s="31">
        <v>158</v>
      </c>
      <c r="N3148" s="31">
        <v>2014</v>
      </c>
      <c r="O3148" s="31">
        <v>76</v>
      </c>
      <c r="P3148" s="31"/>
      <c r="Q3148" s="31"/>
      <c r="R3148" s="33"/>
      <c r="S3148" s="34" t="str">
        <f>HYPERLINK("http://www.cnpol.ru/covers/15318.jpg","фото на сайте")</f>
        <v>фото на сайте</v>
      </c>
    </row>
    <row r="3149" spans="1:19" ht="50.1" customHeight="1">
      <c r="A3149" s="31"/>
      <c r="B3149" s="32" t="s">
        <v>11940</v>
      </c>
      <c r="C3149" s="31" t="s">
        <v>126</v>
      </c>
      <c r="D3149" s="31" t="s">
        <v>236</v>
      </c>
      <c r="E3149" s="31" t="s">
        <v>11941</v>
      </c>
      <c r="F3149" s="31" t="s">
        <v>31</v>
      </c>
      <c r="G3149" s="31">
        <v>154</v>
      </c>
      <c r="H3149" s="31">
        <v>10</v>
      </c>
      <c r="I3149" s="31">
        <v>30</v>
      </c>
      <c r="J3149" s="31" t="s">
        <v>11942</v>
      </c>
      <c r="K3149" s="31" t="s">
        <v>130</v>
      </c>
      <c r="L3149" s="31" t="s">
        <v>56</v>
      </c>
      <c r="M3149" s="31">
        <v>125</v>
      </c>
      <c r="N3149" s="31">
        <v>2012</v>
      </c>
      <c r="O3149" s="31" t="s">
        <v>220</v>
      </c>
      <c r="P3149" s="31"/>
      <c r="Q3149" s="31"/>
      <c r="R3149" s="33"/>
      <c r="S3149" s="34" t="str">
        <f>HYPERLINK("http://www.cnpol.ru/covers/13939.jpg","фото на сайте")</f>
        <v>фото на сайте</v>
      </c>
    </row>
    <row r="3150" spans="1:19" ht="50.1" customHeight="1">
      <c r="A3150" s="31"/>
      <c r="B3150" s="32" t="s">
        <v>11943</v>
      </c>
      <c r="C3150" s="31" t="s">
        <v>126</v>
      </c>
      <c r="D3150" s="31" t="s">
        <v>236</v>
      </c>
      <c r="E3150" s="31" t="s">
        <v>11941</v>
      </c>
      <c r="F3150" s="31" t="s">
        <v>31</v>
      </c>
      <c r="G3150" s="31">
        <v>162</v>
      </c>
      <c r="H3150" s="31">
        <v>10</v>
      </c>
      <c r="I3150" s="31">
        <v>30</v>
      </c>
      <c r="J3150" s="31" t="s">
        <v>11942</v>
      </c>
      <c r="K3150" s="31" t="s">
        <v>130</v>
      </c>
      <c r="L3150" s="31" t="s">
        <v>56</v>
      </c>
      <c r="M3150" s="31">
        <v>125</v>
      </c>
      <c r="N3150" s="31">
        <v>2012</v>
      </c>
      <c r="O3150" s="31">
        <v>82</v>
      </c>
      <c r="P3150" s="31"/>
      <c r="Q3150" s="31"/>
      <c r="R3150" s="33"/>
      <c r="S3150" s="34" t="str">
        <f>HYPERLINK("http://www.cnpol.ru/covers/14083.jpg","фото на сайте")</f>
        <v>фото на сайте</v>
      </c>
    </row>
    <row r="3151" spans="1:19" ht="50.1" customHeight="1">
      <c r="A3151" s="31"/>
      <c r="B3151" s="32" t="s">
        <v>11944</v>
      </c>
      <c r="C3151" s="31" t="s">
        <v>390</v>
      </c>
      <c r="D3151" s="31" t="s">
        <v>2253</v>
      </c>
      <c r="E3151" s="31" t="s">
        <v>11945</v>
      </c>
      <c r="F3151" s="31">
        <v>387</v>
      </c>
      <c r="G3151" s="31">
        <v>86</v>
      </c>
      <c r="H3151" s="31">
        <v>10</v>
      </c>
      <c r="I3151" s="31">
        <v>30</v>
      </c>
      <c r="J3151" s="31" t="s">
        <v>11946</v>
      </c>
      <c r="K3151" s="31" t="s">
        <v>123</v>
      </c>
      <c r="L3151" s="31" t="s">
        <v>56</v>
      </c>
      <c r="M3151" s="31">
        <v>158</v>
      </c>
      <c r="N3151" s="31">
        <v>2014</v>
      </c>
      <c r="O3151" s="31">
        <v>76</v>
      </c>
      <c r="P3151" s="31"/>
      <c r="Q3151" s="31"/>
      <c r="R3151" s="33"/>
      <c r="S3151" s="34" t="str">
        <f>HYPERLINK("http://www.cnpol.ru/covers/14915.jpg","фото на сайте")</f>
        <v>фото на сайте</v>
      </c>
    </row>
    <row r="3152" spans="1:19" ht="50.1" customHeight="1">
      <c r="A3152" s="31"/>
      <c r="B3152" s="32" t="s">
        <v>11947</v>
      </c>
      <c r="C3152" s="31" t="s">
        <v>10283</v>
      </c>
      <c r="D3152" s="31" t="s">
        <v>10284</v>
      </c>
      <c r="E3152" s="31" t="s">
        <v>11948</v>
      </c>
      <c r="F3152" s="31" t="s">
        <v>31</v>
      </c>
      <c r="G3152" s="31">
        <v>272</v>
      </c>
      <c r="H3152" s="31">
        <v>10</v>
      </c>
      <c r="I3152" s="31">
        <v>12</v>
      </c>
      <c r="J3152" s="31" t="s">
        <v>11949</v>
      </c>
      <c r="K3152" s="31" t="s">
        <v>33</v>
      </c>
      <c r="L3152" s="31" t="s">
        <v>34</v>
      </c>
      <c r="M3152" s="31">
        <v>446</v>
      </c>
      <c r="N3152" s="31">
        <v>2002</v>
      </c>
      <c r="O3152" s="31">
        <v>332</v>
      </c>
      <c r="P3152" s="31"/>
      <c r="Q3152" s="31"/>
      <c r="R3152" s="33"/>
      <c r="S3152" s="34" t="str">
        <f>HYPERLINK("http://www.cnpol.ru/covers/3182.jpg","фото на сайте")</f>
        <v>фото на сайте</v>
      </c>
    </row>
    <row r="3153" spans="1:19" ht="50.1" customHeight="1">
      <c r="A3153" s="31"/>
      <c r="B3153" s="32" t="s">
        <v>11950</v>
      </c>
      <c r="C3153" s="31" t="s">
        <v>390</v>
      </c>
      <c r="D3153" s="31" t="s">
        <v>2106</v>
      </c>
      <c r="E3153" s="31" t="s">
        <v>11951</v>
      </c>
      <c r="F3153" s="31">
        <v>325</v>
      </c>
      <c r="G3153" s="31">
        <v>86</v>
      </c>
      <c r="H3153" s="31">
        <v>10</v>
      </c>
      <c r="I3153" s="31">
        <v>30</v>
      </c>
      <c r="J3153" s="31" t="s">
        <v>11952</v>
      </c>
      <c r="K3153" s="31" t="s">
        <v>123</v>
      </c>
      <c r="L3153" s="31" t="s">
        <v>56</v>
      </c>
      <c r="M3153" s="31">
        <v>158</v>
      </c>
      <c r="N3153" s="31">
        <v>2013</v>
      </c>
      <c r="O3153" s="31">
        <v>76</v>
      </c>
      <c r="P3153" s="31"/>
      <c r="Q3153" s="31"/>
      <c r="R3153" s="33"/>
      <c r="S3153" s="34" t="str">
        <f>HYPERLINK("http://www.cnpol.ru/covers/14340.jpg","фото на сайте")</f>
        <v>фото на сайте</v>
      </c>
    </row>
    <row r="3154" spans="1:19" ht="50.1" customHeight="1">
      <c r="A3154" s="31"/>
      <c r="B3154" s="32" t="s">
        <v>11953</v>
      </c>
      <c r="C3154" s="31" t="s">
        <v>3422</v>
      </c>
      <c r="D3154" s="31" t="s">
        <v>7615</v>
      </c>
      <c r="E3154" s="31" t="s">
        <v>11954</v>
      </c>
      <c r="F3154" s="31" t="s">
        <v>31</v>
      </c>
      <c r="G3154" s="31">
        <v>154</v>
      </c>
      <c r="H3154" s="31">
        <v>10</v>
      </c>
      <c r="I3154" s="31">
        <v>20</v>
      </c>
      <c r="J3154" s="31" t="s">
        <v>11955</v>
      </c>
      <c r="K3154" s="31" t="s">
        <v>55</v>
      </c>
      <c r="L3154" s="31" t="s">
        <v>56</v>
      </c>
      <c r="M3154" s="31">
        <v>413</v>
      </c>
      <c r="N3154" s="31">
        <v>2008</v>
      </c>
      <c r="O3154" s="31">
        <v>164</v>
      </c>
      <c r="P3154" s="31"/>
      <c r="Q3154" s="31"/>
      <c r="R3154" s="33"/>
      <c r="S3154" s="34" t="str">
        <f>HYPERLINK("http://www.cnpol.ru/covers/10082.jpg","фото на сайте")</f>
        <v>фото на сайте</v>
      </c>
    </row>
    <row r="3155" spans="1:19" ht="50.1" customHeight="1">
      <c r="A3155" s="31" t="s">
        <v>35</v>
      </c>
      <c r="B3155" s="32" t="s">
        <v>11956</v>
      </c>
      <c r="C3155" s="31" t="s">
        <v>2124</v>
      </c>
      <c r="D3155" s="31" t="s">
        <v>2125</v>
      </c>
      <c r="E3155" s="31" t="s">
        <v>11957</v>
      </c>
      <c r="F3155" s="31" t="s">
        <v>31</v>
      </c>
      <c r="G3155" s="31">
        <v>366</v>
      </c>
      <c r="H3155" s="31">
        <v>10</v>
      </c>
      <c r="I3155" s="31">
        <v>6</v>
      </c>
      <c r="J3155" s="31" t="s">
        <v>11958</v>
      </c>
      <c r="K3155" s="31" t="s">
        <v>123</v>
      </c>
      <c r="L3155" s="31" t="s">
        <v>56</v>
      </c>
      <c r="M3155" s="31">
        <v>512</v>
      </c>
      <c r="N3155" s="31">
        <v>2024</v>
      </c>
      <c r="O3155" s="31">
        <v>233</v>
      </c>
      <c r="P3155" s="31"/>
      <c r="Q3155" s="31"/>
      <c r="R3155" s="33" t="s">
        <v>11959</v>
      </c>
      <c r="S3155" s="34" t="str">
        <f>HYPERLINK("http://www.cnpol.ru/covers/21243.jpg","фото на сайте")</f>
        <v>фото на сайте</v>
      </c>
    </row>
    <row r="3156" spans="1:19" ht="50.1" customHeight="1">
      <c r="A3156" s="31"/>
      <c r="B3156" s="32" t="s">
        <v>11960</v>
      </c>
      <c r="C3156" s="31" t="s">
        <v>1516</v>
      </c>
      <c r="D3156" s="31" t="s">
        <v>4519</v>
      </c>
      <c r="E3156" s="31" t="s">
        <v>11961</v>
      </c>
      <c r="F3156" s="31">
        <v>36</v>
      </c>
      <c r="G3156" s="31">
        <v>106</v>
      </c>
      <c r="H3156" s="31">
        <v>10</v>
      </c>
      <c r="I3156" s="31">
        <v>30</v>
      </c>
      <c r="J3156" s="31" t="s">
        <v>11962</v>
      </c>
      <c r="K3156" s="31" t="s">
        <v>123</v>
      </c>
      <c r="L3156" s="31" t="s">
        <v>56</v>
      </c>
      <c r="M3156" s="31">
        <v>159</v>
      </c>
      <c r="N3156" s="31">
        <v>2021</v>
      </c>
      <c r="O3156" s="31">
        <v>76</v>
      </c>
      <c r="P3156" s="31"/>
      <c r="Q3156" s="31"/>
      <c r="R3156" s="33"/>
      <c r="S3156" s="34" t="str">
        <f>HYPERLINK("http://www.cnpol.ru/covers/19887.jpg","фото на сайте")</f>
        <v>фото на сайте</v>
      </c>
    </row>
    <row r="3157" spans="1:19" ht="50.1" customHeight="1">
      <c r="A3157" s="31"/>
      <c r="B3157" s="32" t="s">
        <v>11963</v>
      </c>
      <c r="C3157" s="31" t="s">
        <v>546</v>
      </c>
      <c r="D3157" s="31" t="s">
        <v>6002</v>
      </c>
      <c r="E3157" s="31" t="s">
        <v>11964</v>
      </c>
      <c r="F3157" s="31">
        <v>226</v>
      </c>
      <c r="G3157" s="31">
        <v>93</v>
      </c>
      <c r="H3157" s="31">
        <v>10</v>
      </c>
      <c r="I3157" s="31">
        <v>30</v>
      </c>
      <c r="J3157" s="31" t="s">
        <v>11965</v>
      </c>
      <c r="K3157" s="31" t="s">
        <v>123</v>
      </c>
      <c r="L3157" s="31" t="s">
        <v>56</v>
      </c>
      <c r="M3157" s="31">
        <v>160</v>
      </c>
      <c r="N3157" s="31">
        <v>2017</v>
      </c>
      <c r="O3157" s="31">
        <v>76</v>
      </c>
      <c r="P3157" s="31"/>
      <c r="Q3157" s="31"/>
      <c r="R3157" s="33"/>
      <c r="S3157" s="34" t="str">
        <f>HYPERLINK("http://www.cnpol.ru/covers/17566.jpg","фото на сайте")</f>
        <v>фото на сайте</v>
      </c>
    </row>
    <row r="3158" spans="1:19" ht="50.1" customHeight="1">
      <c r="A3158" s="31"/>
      <c r="B3158" s="32" t="s">
        <v>11966</v>
      </c>
      <c r="C3158" s="31" t="s">
        <v>546</v>
      </c>
      <c r="D3158" s="31" t="s">
        <v>1774</v>
      </c>
      <c r="E3158" s="31" t="s">
        <v>11967</v>
      </c>
      <c r="F3158" s="31">
        <v>250</v>
      </c>
      <c r="G3158" s="31">
        <v>93</v>
      </c>
      <c r="H3158" s="31">
        <v>10</v>
      </c>
      <c r="I3158" s="31">
        <v>30</v>
      </c>
      <c r="J3158" s="31" t="s">
        <v>11968</v>
      </c>
      <c r="K3158" s="31" t="s">
        <v>123</v>
      </c>
      <c r="L3158" s="31" t="s">
        <v>56</v>
      </c>
      <c r="M3158" s="31">
        <v>160</v>
      </c>
      <c r="N3158" s="31">
        <v>2017</v>
      </c>
      <c r="O3158" s="31">
        <v>76</v>
      </c>
      <c r="P3158" s="31"/>
      <c r="Q3158" s="31"/>
      <c r="R3158" s="33"/>
      <c r="S3158" s="34" t="str">
        <f>HYPERLINK("http://www.cnpol.ru/covers/17884.jpg","фото на сайте")</f>
        <v>фото на сайте</v>
      </c>
    </row>
    <row r="3159" spans="1:19" ht="50.1" customHeight="1">
      <c r="A3159" s="31"/>
      <c r="B3159" s="32" t="s">
        <v>11969</v>
      </c>
      <c r="C3159" s="31" t="s">
        <v>385</v>
      </c>
      <c r="D3159" s="31" t="s">
        <v>386</v>
      </c>
      <c r="E3159" s="31" t="s">
        <v>11970</v>
      </c>
      <c r="F3159" s="31" t="s">
        <v>31</v>
      </c>
      <c r="G3159" s="31">
        <v>162</v>
      </c>
      <c r="H3159" s="31">
        <v>10</v>
      </c>
      <c r="I3159" s="31">
        <v>32</v>
      </c>
      <c r="J3159" s="31" t="s">
        <v>11971</v>
      </c>
      <c r="K3159" s="31" t="s">
        <v>55</v>
      </c>
      <c r="L3159" s="31" t="s">
        <v>56</v>
      </c>
      <c r="M3159" s="31">
        <v>224</v>
      </c>
      <c r="N3159" s="31">
        <v>2016</v>
      </c>
      <c r="O3159" s="31">
        <v>106</v>
      </c>
      <c r="P3159" s="31"/>
      <c r="Q3159" s="31"/>
      <c r="R3159" s="33"/>
      <c r="S3159" s="34" t="str">
        <f>HYPERLINK("http://www.cnpol.ru/covers/0159.jpg","фото на сайте")</f>
        <v>фото на сайте</v>
      </c>
    </row>
    <row r="3160" spans="1:19" ht="50.1" customHeight="1">
      <c r="A3160" s="31"/>
      <c r="B3160" s="32" t="s">
        <v>11972</v>
      </c>
      <c r="C3160" s="31" t="s">
        <v>1373</v>
      </c>
      <c r="D3160" s="31" t="s">
        <v>11973</v>
      </c>
      <c r="E3160" s="31" t="s">
        <v>11974</v>
      </c>
      <c r="F3160" s="31" t="s">
        <v>31</v>
      </c>
      <c r="G3160" s="31">
        <v>389</v>
      </c>
      <c r="H3160" s="31">
        <v>10</v>
      </c>
      <c r="I3160" s="31">
        <v>14</v>
      </c>
      <c r="J3160" s="31" t="s">
        <v>11975</v>
      </c>
      <c r="K3160" s="31" t="s">
        <v>1377</v>
      </c>
      <c r="L3160" s="31" t="s">
        <v>34</v>
      </c>
      <c r="M3160" s="31">
        <v>494</v>
      </c>
      <c r="N3160" s="31">
        <v>2001</v>
      </c>
      <c r="O3160" s="31">
        <v>354</v>
      </c>
      <c r="P3160" s="31"/>
      <c r="Q3160" s="31"/>
      <c r="R3160" s="33"/>
      <c r="S3160" s="34" t="str">
        <f>HYPERLINK("http://www.cnpol.ru/covers/2987.jpg","фото на сайте")</f>
        <v>фото на сайте</v>
      </c>
    </row>
    <row r="3161" spans="1:19" ht="50.1" customHeight="1">
      <c r="A3161" s="31"/>
      <c r="B3161" s="32" t="s">
        <v>11976</v>
      </c>
      <c r="C3161" s="31" t="s">
        <v>28</v>
      </c>
      <c r="D3161" s="31" t="s">
        <v>11977</v>
      </c>
      <c r="E3161" s="31" t="s">
        <v>11978</v>
      </c>
      <c r="F3161" s="31" t="s">
        <v>31</v>
      </c>
      <c r="G3161" s="31">
        <v>575</v>
      </c>
      <c r="H3161" s="31">
        <v>10</v>
      </c>
      <c r="I3161" s="31">
        <v>12</v>
      </c>
      <c r="J3161" s="31" t="s">
        <v>11979</v>
      </c>
      <c r="K3161" s="31" t="s">
        <v>33</v>
      </c>
      <c r="L3161" s="31" t="s">
        <v>34</v>
      </c>
      <c r="M3161" s="31">
        <v>288</v>
      </c>
      <c r="N3161" s="31">
        <v>2019</v>
      </c>
      <c r="O3161" s="31">
        <v>336</v>
      </c>
      <c r="P3161" s="31"/>
      <c r="Q3161" s="31"/>
      <c r="R3161" s="33"/>
      <c r="S3161" s="34" t="str">
        <f>HYPERLINK("http://www.cnpol.ru/covers/18666.jpg","фото на сайте")</f>
        <v>фото на сайте</v>
      </c>
    </row>
    <row r="3162" spans="1:19" ht="50.1" customHeight="1">
      <c r="A3162" s="31"/>
      <c r="B3162" s="32" t="s">
        <v>11980</v>
      </c>
      <c r="C3162" s="31" t="s">
        <v>413</v>
      </c>
      <c r="D3162" s="31" t="s">
        <v>7377</v>
      </c>
      <c r="E3162" s="31" t="s">
        <v>11981</v>
      </c>
      <c r="F3162" s="31">
        <v>154</v>
      </c>
      <c r="G3162" s="31">
        <v>117</v>
      </c>
      <c r="H3162" s="31">
        <v>10</v>
      </c>
      <c r="I3162" s="31">
        <v>36</v>
      </c>
      <c r="J3162" s="31" t="s">
        <v>11982</v>
      </c>
      <c r="K3162" s="31" t="s">
        <v>123</v>
      </c>
      <c r="L3162" s="31" t="s">
        <v>56</v>
      </c>
      <c r="M3162" s="31">
        <v>192</v>
      </c>
      <c r="N3162" s="31">
        <v>2018</v>
      </c>
      <c r="O3162" s="31">
        <v>90</v>
      </c>
      <c r="P3162" s="31"/>
      <c r="Q3162" s="31"/>
      <c r="R3162" s="33"/>
      <c r="S3162" s="34" t="str">
        <f>HYPERLINK("http://www.cnpol.ru/covers/18142.jpg","фото на сайте")</f>
        <v>фото на сайте</v>
      </c>
    </row>
    <row r="3163" spans="1:19" ht="50.1" customHeight="1">
      <c r="A3163" s="31"/>
      <c r="B3163" s="32" t="s">
        <v>11983</v>
      </c>
      <c r="C3163" s="31" t="s">
        <v>520</v>
      </c>
      <c r="D3163" s="31" t="s">
        <v>521</v>
      </c>
      <c r="E3163" s="31" t="s">
        <v>11984</v>
      </c>
      <c r="F3163" s="31">
        <v>29</v>
      </c>
      <c r="G3163" s="31">
        <v>117</v>
      </c>
      <c r="H3163" s="31">
        <v>10</v>
      </c>
      <c r="I3163" s="31">
        <v>30</v>
      </c>
      <c r="J3163" s="31" t="s">
        <v>11985</v>
      </c>
      <c r="K3163" s="31" t="s">
        <v>123</v>
      </c>
      <c r="L3163" s="31" t="s">
        <v>56</v>
      </c>
      <c r="M3163" s="31">
        <v>192</v>
      </c>
      <c r="N3163" s="31">
        <v>2016</v>
      </c>
      <c r="O3163" s="31">
        <v>90</v>
      </c>
      <c r="P3163" s="31"/>
      <c r="Q3163" s="31"/>
      <c r="R3163" s="33"/>
      <c r="S3163" s="34" t="str">
        <f>HYPERLINK("http://www.cnpol.ru/covers/16896.jpg","фото на сайте")</f>
        <v>фото на сайте</v>
      </c>
    </row>
    <row r="3164" spans="1:19" ht="50.1" customHeight="1">
      <c r="A3164" s="31"/>
      <c r="B3164" s="32" t="s">
        <v>11986</v>
      </c>
      <c r="C3164" s="31" t="s">
        <v>2434</v>
      </c>
      <c r="D3164" s="31" t="s">
        <v>2435</v>
      </c>
      <c r="E3164" s="31" t="s">
        <v>11987</v>
      </c>
      <c r="F3164" s="31" t="s">
        <v>31</v>
      </c>
      <c r="G3164" s="35">
        <v>1015</v>
      </c>
      <c r="H3164" s="31">
        <v>10</v>
      </c>
      <c r="I3164" s="31">
        <v>10</v>
      </c>
      <c r="J3164" s="31" t="s">
        <v>11988</v>
      </c>
      <c r="K3164" s="31" t="s">
        <v>33</v>
      </c>
      <c r="L3164" s="31" t="s">
        <v>34</v>
      </c>
      <c r="M3164" s="31">
        <v>379</v>
      </c>
      <c r="N3164" s="31">
        <v>2023</v>
      </c>
      <c r="O3164" s="31">
        <v>428</v>
      </c>
      <c r="P3164" s="31"/>
      <c r="Q3164" s="31"/>
      <c r="R3164" s="33" t="s">
        <v>11989</v>
      </c>
      <c r="S3164" s="34" t="str">
        <f>HYPERLINK("http://www.cnpol.ru/covers/20778.jpg","фото на сайте")</f>
        <v>фото на сайте</v>
      </c>
    </row>
    <row r="3165" spans="1:19" ht="50.1" customHeight="1">
      <c r="A3165" s="31"/>
      <c r="B3165" s="32" t="s">
        <v>11990</v>
      </c>
      <c r="C3165" s="31" t="s">
        <v>413</v>
      </c>
      <c r="D3165" s="31" t="s">
        <v>694</v>
      </c>
      <c r="E3165" s="31" t="s">
        <v>11991</v>
      </c>
      <c r="F3165" s="31">
        <v>161</v>
      </c>
      <c r="G3165" s="31">
        <v>117</v>
      </c>
      <c r="H3165" s="31">
        <v>10</v>
      </c>
      <c r="I3165" s="31">
        <v>30</v>
      </c>
      <c r="J3165" s="31" t="s">
        <v>11992</v>
      </c>
      <c r="K3165" s="31" t="s">
        <v>123</v>
      </c>
      <c r="L3165" s="31" t="s">
        <v>56</v>
      </c>
      <c r="M3165" s="31">
        <v>192</v>
      </c>
      <c r="N3165" s="31">
        <v>2019</v>
      </c>
      <c r="O3165" s="31">
        <v>90</v>
      </c>
      <c r="P3165" s="31"/>
      <c r="Q3165" s="31"/>
      <c r="R3165" s="33"/>
      <c r="S3165" s="34" t="str">
        <f>HYPERLINK("http://www.cnpol.ru/covers/18501.jpg","фото на сайте")</f>
        <v>фото на сайте</v>
      </c>
    </row>
    <row r="3166" spans="1:19" ht="50.1" customHeight="1">
      <c r="A3166" s="31"/>
      <c r="B3166" s="32" t="s">
        <v>11993</v>
      </c>
      <c r="C3166" s="31" t="s">
        <v>11994</v>
      </c>
      <c r="D3166" s="31" t="s">
        <v>11995</v>
      </c>
      <c r="E3166" s="31" t="s">
        <v>11996</v>
      </c>
      <c r="F3166" s="31" t="s">
        <v>31</v>
      </c>
      <c r="G3166" s="31">
        <v>640</v>
      </c>
      <c r="H3166" s="31">
        <v>10</v>
      </c>
      <c r="I3166" s="31">
        <v>14</v>
      </c>
      <c r="J3166" s="31" t="s">
        <v>11997</v>
      </c>
      <c r="K3166" s="31" t="s">
        <v>33</v>
      </c>
      <c r="L3166" s="31" t="s">
        <v>34</v>
      </c>
      <c r="M3166" s="31">
        <v>188</v>
      </c>
      <c r="N3166" s="31">
        <v>2023</v>
      </c>
      <c r="O3166" s="31">
        <v>284</v>
      </c>
      <c r="P3166" s="31"/>
      <c r="Q3166" s="31"/>
      <c r="R3166" s="33" t="s">
        <v>11998</v>
      </c>
      <c r="S3166" s="34" t="str">
        <f>HYPERLINK("http://www.cnpol.ru/covers/20889.jpg","фото на сайте")</f>
        <v>фото на сайте</v>
      </c>
    </row>
    <row r="3167" spans="1:19" ht="50.1" customHeight="1">
      <c r="A3167" s="31"/>
      <c r="B3167" s="32" t="s">
        <v>11999</v>
      </c>
      <c r="C3167" s="31" t="s">
        <v>11994</v>
      </c>
      <c r="D3167" s="31" t="s">
        <v>2115</v>
      </c>
      <c r="E3167" s="31" t="s">
        <v>12000</v>
      </c>
      <c r="F3167" s="31" t="s">
        <v>31</v>
      </c>
      <c r="G3167" s="31">
        <v>640</v>
      </c>
      <c r="H3167" s="31">
        <v>10</v>
      </c>
      <c r="I3167" s="31">
        <v>20</v>
      </c>
      <c r="J3167" s="31" t="s">
        <v>12001</v>
      </c>
      <c r="K3167" s="31" t="s">
        <v>33</v>
      </c>
      <c r="L3167" s="31" t="s">
        <v>34</v>
      </c>
      <c r="M3167" s="31">
        <v>234</v>
      </c>
      <c r="N3167" s="31">
        <v>2023</v>
      </c>
      <c r="O3167" s="31">
        <v>306</v>
      </c>
      <c r="P3167" s="31"/>
      <c r="Q3167" s="31"/>
      <c r="R3167" s="33" t="s">
        <v>12002</v>
      </c>
      <c r="S3167" s="34" t="str">
        <f>HYPERLINK("http://www.cnpol.ru/covers/20677.jpg","фото на сайте")</f>
        <v>фото на сайте</v>
      </c>
    </row>
    <row r="3168" spans="1:19" ht="50.1" customHeight="1">
      <c r="A3168" s="31"/>
      <c r="B3168" s="32" t="s">
        <v>12003</v>
      </c>
      <c r="C3168" s="31" t="s">
        <v>11994</v>
      </c>
      <c r="D3168" s="31" t="s">
        <v>12004</v>
      </c>
      <c r="E3168" s="31" t="s">
        <v>12005</v>
      </c>
      <c r="F3168" s="31" t="s">
        <v>31</v>
      </c>
      <c r="G3168" s="31">
        <v>640</v>
      </c>
      <c r="H3168" s="31">
        <v>10</v>
      </c>
      <c r="I3168" s="31">
        <v>12</v>
      </c>
      <c r="J3168" s="31" t="s">
        <v>12006</v>
      </c>
      <c r="K3168" s="31" t="s">
        <v>33</v>
      </c>
      <c r="L3168" s="31" t="s">
        <v>34</v>
      </c>
      <c r="M3168" s="31">
        <v>239</v>
      </c>
      <c r="N3168" s="31">
        <v>2021</v>
      </c>
      <c r="O3168" s="31">
        <v>230</v>
      </c>
      <c r="P3168" s="31"/>
      <c r="Q3168" s="31"/>
      <c r="R3168" s="33"/>
      <c r="S3168" s="34" t="str">
        <f>HYPERLINK("http://www.cnpol.ru/covers/20053.jpg","фото на сайте")</f>
        <v>фото на сайте</v>
      </c>
    </row>
    <row r="3169" spans="1:19" ht="50.1" customHeight="1">
      <c r="A3169" s="31"/>
      <c r="B3169" s="32" t="s">
        <v>12007</v>
      </c>
      <c r="C3169" s="31" t="s">
        <v>11994</v>
      </c>
      <c r="D3169" s="31" t="s">
        <v>12008</v>
      </c>
      <c r="E3169" s="31" t="s">
        <v>12009</v>
      </c>
      <c r="F3169" s="31" t="s">
        <v>31</v>
      </c>
      <c r="G3169" s="31">
        <v>640</v>
      </c>
      <c r="H3169" s="31">
        <v>10</v>
      </c>
      <c r="I3169" s="31">
        <v>12</v>
      </c>
      <c r="J3169" s="31" t="s">
        <v>12010</v>
      </c>
      <c r="K3169" s="31" t="s">
        <v>33</v>
      </c>
      <c r="L3169" s="31" t="s">
        <v>34</v>
      </c>
      <c r="M3169" s="31">
        <v>224</v>
      </c>
      <c r="N3169" s="31">
        <v>2021</v>
      </c>
      <c r="O3169" s="31">
        <v>294</v>
      </c>
      <c r="P3169" s="31"/>
      <c r="Q3169" s="31"/>
      <c r="R3169" s="33"/>
      <c r="S3169" s="34" t="str">
        <f>HYPERLINK("http://www.cnpol.ru/covers/19862.jpg","фото на сайте")</f>
        <v>фото на сайте</v>
      </c>
    </row>
    <row r="3170" spans="1:19" ht="50.1" customHeight="1">
      <c r="A3170" s="31"/>
      <c r="B3170" s="32" t="s">
        <v>12011</v>
      </c>
      <c r="C3170" s="31" t="s">
        <v>11994</v>
      </c>
      <c r="D3170" s="31" t="s">
        <v>12012</v>
      </c>
      <c r="E3170" s="31" t="s">
        <v>12013</v>
      </c>
      <c r="F3170" s="31" t="s">
        <v>31</v>
      </c>
      <c r="G3170" s="31">
        <v>640</v>
      </c>
      <c r="H3170" s="31">
        <v>10</v>
      </c>
      <c r="I3170" s="31">
        <v>16</v>
      </c>
      <c r="J3170" s="31" t="s">
        <v>12014</v>
      </c>
      <c r="K3170" s="31" t="s">
        <v>33</v>
      </c>
      <c r="L3170" s="31" t="s">
        <v>34</v>
      </c>
      <c r="M3170" s="31">
        <v>255</v>
      </c>
      <c r="N3170" s="31">
        <v>2023</v>
      </c>
      <c r="O3170" s="31">
        <v>230</v>
      </c>
      <c r="P3170" s="31"/>
      <c r="Q3170" s="31"/>
      <c r="R3170" s="33" t="s">
        <v>12015</v>
      </c>
      <c r="S3170" s="34" t="str">
        <f>HYPERLINK("http://www.cnpol.ru/covers/20657.jpg","фото на сайте")</f>
        <v>фото на сайте</v>
      </c>
    </row>
    <row r="3171" spans="1:19" ht="50.1" customHeight="1">
      <c r="A3171" s="31"/>
      <c r="B3171" s="32" t="s">
        <v>12016</v>
      </c>
      <c r="C3171" s="31" t="s">
        <v>11994</v>
      </c>
      <c r="D3171" s="31" t="s">
        <v>12017</v>
      </c>
      <c r="E3171" s="31" t="s">
        <v>12018</v>
      </c>
      <c r="F3171" s="31" t="s">
        <v>31</v>
      </c>
      <c r="G3171" s="31">
        <v>640</v>
      </c>
      <c r="H3171" s="31">
        <v>10</v>
      </c>
      <c r="I3171" s="31">
        <v>18</v>
      </c>
      <c r="J3171" s="31" t="s">
        <v>12019</v>
      </c>
      <c r="K3171" s="31" t="s">
        <v>33</v>
      </c>
      <c r="L3171" s="31" t="s">
        <v>34</v>
      </c>
      <c r="M3171" s="31">
        <v>192</v>
      </c>
      <c r="N3171" s="31">
        <v>2021</v>
      </c>
      <c r="O3171" s="31">
        <v>282</v>
      </c>
      <c r="P3171" s="31"/>
      <c r="Q3171" s="31"/>
      <c r="R3171" s="33"/>
      <c r="S3171" s="34" t="str">
        <f>HYPERLINK("http://www.cnpol.ru/covers/19786.jpg","фото на сайте")</f>
        <v>фото на сайте</v>
      </c>
    </row>
    <row r="3172" spans="1:19" ht="50.1" customHeight="1">
      <c r="A3172" s="31"/>
      <c r="B3172" s="32" t="s">
        <v>12020</v>
      </c>
      <c r="C3172" s="31" t="s">
        <v>11994</v>
      </c>
      <c r="D3172" s="31" t="s">
        <v>12021</v>
      </c>
      <c r="E3172" s="31" t="s">
        <v>12022</v>
      </c>
      <c r="F3172" s="31" t="s">
        <v>31</v>
      </c>
      <c r="G3172" s="31">
        <v>640</v>
      </c>
      <c r="H3172" s="31">
        <v>10</v>
      </c>
      <c r="I3172" s="31">
        <v>10</v>
      </c>
      <c r="J3172" s="31" t="s">
        <v>12023</v>
      </c>
      <c r="K3172" s="31" t="s">
        <v>33</v>
      </c>
      <c r="L3172" s="31" t="s">
        <v>34</v>
      </c>
      <c r="M3172" s="31">
        <v>238</v>
      </c>
      <c r="N3172" s="31">
        <v>2023</v>
      </c>
      <c r="O3172" s="31">
        <v>297</v>
      </c>
      <c r="P3172" s="31"/>
      <c r="Q3172" s="31"/>
      <c r="R3172" s="33" t="s">
        <v>12024</v>
      </c>
      <c r="S3172" s="34" t="str">
        <f>HYPERLINK("http://www.cnpol.ru/covers/20848.jpg","фото на сайте")</f>
        <v>фото на сайте</v>
      </c>
    </row>
    <row r="3173" spans="1:19" ht="50.1" customHeight="1">
      <c r="A3173" s="31"/>
      <c r="B3173" s="32" t="s">
        <v>12025</v>
      </c>
      <c r="C3173" s="31" t="s">
        <v>11994</v>
      </c>
      <c r="D3173" s="31" t="s">
        <v>12026</v>
      </c>
      <c r="E3173" s="31" t="s">
        <v>12027</v>
      </c>
      <c r="F3173" s="31" t="s">
        <v>31</v>
      </c>
      <c r="G3173" s="31">
        <v>640</v>
      </c>
      <c r="H3173" s="31">
        <v>10</v>
      </c>
      <c r="I3173" s="31">
        <v>20</v>
      </c>
      <c r="J3173" s="31" t="s">
        <v>12028</v>
      </c>
      <c r="K3173" s="31" t="s">
        <v>33</v>
      </c>
      <c r="L3173" s="31" t="s">
        <v>34</v>
      </c>
      <c r="M3173" s="31">
        <v>222</v>
      </c>
      <c r="N3173" s="31">
        <v>2023</v>
      </c>
      <c r="O3173" s="31">
        <v>289</v>
      </c>
      <c r="P3173" s="31"/>
      <c r="Q3173" s="31"/>
      <c r="R3173" s="33" t="s">
        <v>12029</v>
      </c>
      <c r="S3173" s="34" t="str">
        <f>HYPERLINK("http://www.cnpol.ru/covers/20804.jpg","фото на сайте")</f>
        <v>фото на сайте</v>
      </c>
    </row>
    <row r="3174" spans="1:19" ht="50.1" customHeight="1">
      <c r="A3174" s="31"/>
      <c r="B3174" s="32" t="s">
        <v>12030</v>
      </c>
      <c r="C3174" s="31" t="s">
        <v>390</v>
      </c>
      <c r="D3174" s="31" t="s">
        <v>3087</v>
      </c>
      <c r="E3174" s="31" t="s">
        <v>12031</v>
      </c>
      <c r="F3174" s="31">
        <v>993</v>
      </c>
      <c r="G3174" s="31">
        <v>86</v>
      </c>
      <c r="H3174" s="31">
        <v>10</v>
      </c>
      <c r="I3174" s="31">
        <v>30</v>
      </c>
      <c r="J3174" s="31" t="s">
        <v>12032</v>
      </c>
      <c r="K3174" s="31" t="s">
        <v>123</v>
      </c>
      <c r="L3174" s="31" t="s">
        <v>56</v>
      </c>
      <c r="M3174" s="31">
        <v>160</v>
      </c>
      <c r="N3174" s="31">
        <v>2020</v>
      </c>
      <c r="O3174" s="31">
        <v>76</v>
      </c>
      <c r="P3174" s="31"/>
      <c r="Q3174" s="31"/>
      <c r="R3174" s="33"/>
      <c r="S3174" s="34" t="str">
        <f>HYPERLINK("http://www.cnpol.ru/covers/19321.jpg","фото на сайте")</f>
        <v>фото на сайте</v>
      </c>
    </row>
    <row r="3175" spans="1:19" ht="50.1" customHeight="1">
      <c r="A3175" s="31"/>
      <c r="B3175" s="32" t="s">
        <v>12033</v>
      </c>
      <c r="C3175" s="31" t="s">
        <v>390</v>
      </c>
      <c r="D3175" s="31" t="s">
        <v>2294</v>
      </c>
      <c r="E3175" s="31" t="s">
        <v>12034</v>
      </c>
      <c r="F3175" s="31">
        <v>1060</v>
      </c>
      <c r="G3175" s="31">
        <v>86</v>
      </c>
      <c r="H3175" s="31">
        <v>10</v>
      </c>
      <c r="I3175" s="31">
        <v>30</v>
      </c>
      <c r="J3175" s="31" t="s">
        <v>12035</v>
      </c>
      <c r="K3175" s="31" t="s">
        <v>123</v>
      </c>
      <c r="L3175" s="31" t="s">
        <v>56</v>
      </c>
      <c r="M3175" s="31">
        <v>159</v>
      </c>
      <c r="N3175" s="31">
        <v>2021</v>
      </c>
      <c r="O3175" s="31">
        <v>76</v>
      </c>
      <c r="P3175" s="31"/>
      <c r="Q3175" s="31"/>
      <c r="R3175" s="33"/>
      <c r="S3175" s="34" t="str">
        <f>HYPERLINK("http://www.cnpol.ru/covers/19901.jpg","фото на сайте")</f>
        <v>фото на сайте</v>
      </c>
    </row>
    <row r="3176" spans="1:19" ht="50.1" customHeight="1">
      <c r="A3176" s="31" t="s">
        <v>43</v>
      </c>
      <c r="B3176" s="32" t="s">
        <v>12036</v>
      </c>
      <c r="C3176" s="31" t="s">
        <v>390</v>
      </c>
      <c r="D3176" s="31" t="s">
        <v>3798</v>
      </c>
      <c r="E3176" s="31" t="s">
        <v>12037</v>
      </c>
      <c r="F3176" s="31">
        <v>1185</v>
      </c>
      <c r="G3176" s="31">
        <v>86</v>
      </c>
      <c r="H3176" s="31">
        <v>10</v>
      </c>
      <c r="I3176" s="31">
        <v>30</v>
      </c>
      <c r="J3176" s="31" t="s">
        <v>12038</v>
      </c>
      <c r="K3176" s="31" t="s">
        <v>123</v>
      </c>
      <c r="L3176" s="31" t="s">
        <v>56</v>
      </c>
      <c r="M3176" s="31">
        <v>159</v>
      </c>
      <c r="N3176" s="31">
        <v>2024</v>
      </c>
      <c r="O3176" s="31">
        <v>76</v>
      </c>
      <c r="P3176" s="31"/>
      <c r="Q3176" s="31"/>
      <c r="R3176" s="33" t="s">
        <v>12039</v>
      </c>
      <c r="S3176" s="34" t="str">
        <f>HYPERLINK("http://www.cnpol.ru/covers/21490.jpg","фото на сайте")</f>
        <v>фото на сайте</v>
      </c>
    </row>
    <row r="3177" spans="1:19" ht="50.1" customHeight="1">
      <c r="A3177" s="31"/>
      <c r="B3177" s="32" t="s">
        <v>12040</v>
      </c>
      <c r="C3177" s="31" t="s">
        <v>390</v>
      </c>
      <c r="D3177" s="31" t="s">
        <v>3610</v>
      </c>
      <c r="E3177" s="31" t="s">
        <v>12041</v>
      </c>
      <c r="F3177" s="31">
        <v>632</v>
      </c>
      <c r="G3177" s="31">
        <v>86</v>
      </c>
      <c r="H3177" s="31">
        <v>10</v>
      </c>
      <c r="I3177" s="31">
        <v>30</v>
      </c>
      <c r="J3177" s="31" t="s">
        <v>12042</v>
      </c>
      <c r="K3177" s="31" t="s">
        <v>123</v>
      </c>
      <c r="L3177" s="31" t="s">
        <v>56</v>
      </c>
      <c r="M3177" s="31">
        <v>160</v>
      </c>
      <c r="N3177" s="31">
        <v>2016</v>
      </c>
      <c r="O3177" s="31">
        <v>76</v>
      </c>
      <c r="P3177" s="31"/>
      <c r="Q3177" s="31"/>
      <c r="R3177" s="33"/>
      <c r="S3177" s="34" t="str">
        <f>HYPERLINK("http://www.cnpol.ru/covers/16868.jpg","фото на сайте")</f>
        <v>фото на сайте</v>
      </c>
    </row>
    <row r="3178" spans="1:19" ht="50.1" customHeight="1">
      <c r="A3178" s="31"/>
      <c r="B3178" s="32" t="s">
        <v>12043</v>
      </c>
      <c r="C3178" s="31" t="s">
        <v>546</v>
      </c>
      <c r="D3178" s="31" t="s">
        <v>5684</v>
      </c>
      <c r="E3178" s="31" t="s">
        <v>12044</v>
      </c>
      <c r="F3178" s="31">
        <v>268</v>
      </c>
      <c r="G3178" s="31">
        <v>93</v>
      </c>
      <c r="H3178" s="31">
        <v>10</v>
      </c>
      <c r="I3178" s="31">
        <v>30</v>
      </c>
      <c r="J3178" s="31" t="s">
        <v>12045</v>
      </c>
      <c r="K3178" s="31" t="s">
        <v>123</v>
      </c>
      <c r="L3178" s="31" t="s">
        <v>56</v>
      </c>
      <c r="M3178" s="31">
        <v>160</v>
      </c>
      <c r="N3178" s="31">
        <v>2018</v>
      </c>
      <c r="O3178" s="31">
        <v>76</v>
      </c>
      <c r="P3178" s="31"/>
      <c r="Q3178" s="31"/>
      <c r="R3178" s="33"/>
      <c r="S3178" s="34" t="str">
        <f>HYPERLINK("http://www.cnpol.ru/covers/18180.jpg","фото на сайте")</f>
        <v>фото на сайте</v>
      </c>
    </row>
    <row r="3179" spans="1:19" ht="50.1" customHeight="1">
      <c r="A3179" s="31"/>
      <c r="B3179" s="32" t="s">
        <v>12046</v>
      </c>
      <c r="C3179" s="31" t="s">
        <v>818</v>
      </c>
      <c r="D3179" s="31" t="s">
        <v>9852</v>
      </c>
      <c r="E3179" s="31" t="s">
        <v>12047</v>
      </c>
      <c r="F3179" s="31" t="s">
        <v>31</v>
      </c>
      <c r="G3179" s="31">
        <v>47</v>
      </c>
      <c r="H3179" s="31">
        <v>10</v>
      </c>
      <c r="I3179" s="31">
        <v>30</v>
      </c>
      <c r="J3179" s="31" t="s">
        <v>12048</v>
      </c>
      <c r="K3179" s="31" t="s">
        <v>130</v>
      </c>
      <c r="L3179" s="31" t="s">
        <v>56</v>
      </c>
      <c r="M3179" s="31" t="s">
        <v>431</v>
      </c>
      <c r="N3179" s="31" t="s">
        <v>431</v>
      </c>
      <c r="O3179" s="31" t="s">
        <v>220</v>
      </c>
      <c r="P3179" s="31"/>
      <c r="Q3179" s="31"/>
      <c r="R3179" s="33"/>
      <c r="S3179" s="34" t="str">
        <f>HYPERLINK("http://www.cnpol.ru/covers/4599.jpg","фото на сайте")</f>
        <v>фото на сайте</v>
      </c>
    </row>
    <row r="3180" spans="1:19" ht="50.1" customHeight="1">
      <c r="A3180" s="31"/>
      <c r="B3180" s="32" t="s">
        <v>12049</v>
      </c>
      <c r="C3180" s="31" t="s">
        <v>818</v>
      </c>
      <c r="D3180" s="31" t="s">
        <v>9852</v>
      </c>
      <c r="E3180" s="31" t="s">
        <v>12047</v>
      </c>
      <c r="F3180" s="31" t="s">
        <v>31</v>
      </c>
      <c r="G3180" s="31">
        <v>56</v>
      </c>
      <c r="H3180" s="31">
        <v>10</v>
      </c>
      <c r="I3180" s="31">
        <v>36</v>
      </c>
      <c r="J3180" s="31" t="s">
        <v>12048</v>
      </c>
      <c r="K3180" s="31" t="s">
        <v>130</v>
      </c>
      <c r="L3180" s="31" t="s">
        <v>56</v>
      </c>
      <c r="M3180" s="31" t="s">
        <v>431</v>
      </c>
      <c r="N3180" s="31" t="s">
        <v>431</v>
      </c>
      <c r="O3180" s="31" t="s">
        <v>220</v>
      </c>
      <c r="P3180" s="31"/>
      <c r="Q3180" s="31"/>
      <c r="R3180" s="33"/>
      <c r="S3180" s="34" t="str">
        <f>HYPERLINK("http://www.cnpol.ru/covers/4226.jpg","фото на сайте")</f>
        <v>фото на сайте</v>
      </c>
    </row>
    <row r="3181" spans="1:19" ht="50.1" customHeight="1">
      <c r="A3181" s="31"/>
      <c r="B3181" s="32" t="s">
        <v>12050</v>
      </c>
      <c r="C3181" s="31" t="s">
        <v>818</v>
      </c>
      <c r="D3181" s="31" t="s">
        <v>9852</v>
      </c>
      <c r="E3181" s="31" t="s">
        <v>12047</v>
      </c>
      <c r="F3181" s="31" t="s">
        <v>31</v>
      </c>
      <c r="G3181" s="31">
        <v>88</v>
      </c>
      <c r="H3181" s="31">
        <v>10</v>
      </c>
      <c r="I3181" s="31">
        <v>30</v>
      </c>
      <c r="J3181" s="31" t="s">
        <v>12048</v>
      </c>
      <c r="K3181" s="31" t="s">
        <v>260</v>
      </c>
      <c r="L3181" s="31" t="s">
        <v>56</v>
      </c>
      <c r="M3181" s="31">
        <v>191</v>
      </c>
      <c r="N3181" s="31">
        <v>2004</v>
      </c>
      <c r="O3181" s="31">
        <v>118</v>
      </c>
      <c r="P3181" s="31"/>
      <c r="Q3181" s="31"/>
      <c r="R3181" s="33"/>
      <c r="S3181" s="34" t="str">
        <f>HYPERLINK("http://www.cnpol.ru/covers/4713.jpg","фото на сайте")</f>
        <v>фото на сайте</v>
      </c>
    </row>
    <row r="3182" spans="1:19" ht="50.1" customHeight="1">
      <c r="A3182" s="31"/>
      <c r="B3182" s="32" t="s">
        <v>12051</v>
      </c>
      <c r="C3182" s="31" t="s">
        <v>400</v>
      </c>
      <c r="D3182" s="31" t="s">
        <v>985</v>
      </c>
      <c r="E3182" s="31" t="s">
        <v>12052</v>
      </c>
      <c r="F3182" s="31" t="s">
        <v>31</v>
      </c>
      <c r="G3182" s="31">
        <v>503</v>
      </c>
      <c r="H3182" s="31">
        <v>10</v>
      </c>
      <c r="I3182" s="31">
        <v>10</v>
      </c>
      <c r="J3182" s="31" t="s">
        <v>12053</v>
      </c>
      <c r="K3182" s="31" t="s">
        <v>33</v>
      </c>
      <c r="L3182" s="31" t="s">
        <v>34</v>
      </c>
      <c r="M3182" s="31">
        <v>320</v>
      </c>
      <c r="N3182" s="31">
        <v>2020</v>
      </c>
      <c r="O3182" s="31">
        <v>274</v>
      </c>
      <c r="P3182" s="31"/>
      <c r="Q3182" s="31"/>
      <c r="R3182" s="33"/>
      <c r="S3182" s="34" t="str">
        <f>HYPERLINK("http://www.cnpol.ru/covers/19255.jpg","фото на сайте")</f>
        <v>фото на сайте</v>
      </c>
    </row>
    <row r="3183" spans="1:19" ht="50.1" customHeight="1">
      <c r="A3183" s="31"/>
      <c r="B3183" s="32" t="s">
        <v>12054</v>
      </c>
      <c r="C3183" s="31" t="s">
        <v>520</v>
      </c>
      <c r="D3183" s="31" t="s">
        <v>1690</v>
      </c>
      <c r="E3183" s="31" t="s">
        <v>12055</v>
      </c>
      <c r="F3183" s="31">
        <v>66</v>
      </c>
      <c r="G3183" s="31">
        <v>117</v>
      </c>
      <c r="H3183" s="31">
        <v>10</v>
      </c>
      <c r="I3183" s="31">
        <v>30</v>
      </c>
      <c r="J3183" s="31" t="s">
        <v>12056</v>
      </c>
      <c r="K3183" s="31" t="s">
        <v>123</v>
      </c>
      <c r="L3183" s="31" t="s">
        <v>56</v>
      </c>
      <c r="M3183" s="31">
        <v>192</v>
      </c>
      <c r="N3183" s="31">
        <v>2019</v>
      </c>
      <c r="O3183" s="31">
        <v>90</v>
      </c>
      <c r="P3183" s="31"/>
      <c r="Q3183" s="31"/>
      <c r="R3183" s="33"/>
      <c r="S3183" s="34" t="str">
        <f>HYPERLINK("http://www.cnpol.ru/covers/18650.jpg","фото на сайте")</f>
        <v>фото на сайте</v>
      </c>
    </row>
    <row r="3184" spans="1:19" ht="50.1" customHeight="1">
      <c r="A3184" s="31" t="s">
        <v>43</v>
      </c>
      <c r="B3184" s="32" t="s">
        <v>12057</v>
      </c>
      <c r="C3184" s="31" t="s">
        <v>119</v>
      </c>
      <c r="D3184" s="31" t="s">
        <v>120</v>
      </c>
      <c r="E3184" s="31" t="s">
        <v>12058</v>
      </c>
      <c r="F3184" s="31" t="s">
        <v>31</v>
      </c>
      <c r="G3184" s="31">
        <v>672</v>
      </c>
      <c r="H3184" s="31">
        <v>10</v>
      </c>
      <c r="I3184" s="31">
        <v>16</v>
      </c>
      <c r="J3184" s="31" t="s">
        <v>12059</v>
      </c>
      <c r="K3184" s="31" t="s">
        <v>194</v>
      </c>
      <c r="L3184" s="31" t="s">
        <v>34</v>
      </c>
      <c r="M3184" s="31">
        <v>319</v>
      </c>
      <c r="N3184" s="31">
        <v>2024</v>
      </c>
      <c r="O3184" s="31">
        <v>292</v>
      </c>
      <c r="P3184" s="31"/>
      <c r="Q3184" s="31"/>
      <c r="R3184" s="33" t="s">
        <v>12060</v>
      </c>
      <c r="S3184" s="34" t="str">
        <f>HYPERLINK("http://www.cnpol.ru/covers/21237.jpg","фото на сайте")</f>
        <v>фото на сайте</v>
      </c>
    </row>
    <row r="3185" spans="1:19" ht="50.1" customHeight="1">
      <c r="A3185" s="31"/>
      <c r="B3185" s="32" t="s">
        <v>12061</v>
      </c>
      <c r="C3185" s="31" t="s">
        <v>390</v>
      </c>
      <c r="D3185" s="31" t="s">
        <v>12062</v>
      </c>
      <c r="E3185" s="31" t="s">
        <v>12063</v>
      </c>
      <c r="F3185" s="31">
        <v>1101</v>
      </c>
      <c r="G3185" s="31">
        <v>86</v>
      </c>
      <c r="H3185" s="31">
        <v>10</v>
      </c>
      <c r="I3185" s="31">
        <v>30</v>
      </c>
      <c r="J3185" s="31" t="s">
        <v>12064</v>
      </c>
      <c r="K3185" s="31" t="s">
        <v>123</v>
      </c>
      <c r="L3185" s="31" t="s">
        <v>56</v>
      </c>
      <c r="M3185" s="31">
        <v>159</v>
      </c>
      <c r="N3185" s="31">
        <v>2022</v>
      </c>
      <c r="O3185" s="31">
        <v>76</v>
      </c>
      <c r="P3185" s="31"/>
      <c r="Q3185" s="31"/>
      <c r="R3185" s="33"/>
      <c r="S3185" s="34" t="str">
        <f>HYPERLINK("http://www.cnpol.ru/covers/20317.jpg","фото на сайте")</f>
        <v>фото на сайте</v>
      </c>
    </row>
    <row r="3186" spans="1:19" ht="50.1" customHeight="1">
      <c r="A3186" s="31"/>
      <c r="B3186" s="32" t="s">
        <v>12065</v>
      </c>
      <c r="C3186" s="31" t="s">
        <v>546</v>
      </c>
      <c r="D3186" s="31" t="s">
        <v>765</v>
      </c>
      <c r="E3186" s="31" t="s">
        <v>12066</v>
      </c>
      <c r="F3186" s="31">
        <v>368</v>
      </c>
      <c r="G3186" s="31">
        <v>93</v>
      </c>
      <c r="H3186" s="31">
        <v>10</v>
      </c>
      <c r="I3186" s="31">
        <v>30</v>
      </c>
      <c r="J3186" s="31" t="s">
        <v>12067</v>
      </c>
      <c r="K3186" s="31" t="s">
        <v>123</v>
      </c>
      <c r="L3186" s="31" t="s">
        <v>56</v>
      </c>
      <c r="M3186" s="31">
        <v>160</v>
      </c>
      <c r="N3186" s="31">
        <v>2021</v>
      </c>
      <c r="O3186" s="31">
        <v>76</v>
      </c>
      <c r="P3186" s="31"/>
      <c r="Q3186" s="31"/>
      <c r="R3186" s="33"/>
      <c r="S3186" s="34" t="str">
        <f>HYPERLINK("http://www.cnpol.ru/covers/19539.jpg","фото на сайте")</f>
        <v>фото на сайте</v>
      </c>
    </row>
    <row r="3187" spans="1:19" ht="50.1" customHeight="1">
      <c r="A3187" s="31"/>
      <c r="B3187" s="32" t="s">
        <v>12068</v>
      </c>
      <c r="C3187" s="31" t="s">
        <v>546</v>
      </c>
      <c r="D3187" s="31" t="s">
        <v>5291</v>
      </c>
      <c r="E3187" s="31" t="s">
        <v>12069</v>
      </c>
      <c r="F3187" s="31">
        <v>325</v>
      </c>
      <c r="G3187" s="31">
        <v>93</v>
      </c>
      <c r="H3187" s="31">
        <v>10</v>
      </c>
      <c r="I3187" s="31">
        <v>30</v>
      </c>
      <c r="J3187" s="31" t="s">
        <v>12070</v>
      </c>
      <c r="K3187" s="31" t="s">
        <v>123</v>
      </c>
      <c r="L3187" s="31" t="s">
        <v>56</v>
      </c>
      <c r="M3187" s="31">
        <v>160</v>
      </c>
      <c r="N3187" s="31">
        <v>2019</v>
      </c>
      <c r="O3187" s="31">
        <v>76</v>
      </c>
      <c r="P3187" s="31"/>
      <c r="Q3187" s="31"/>
      <c r="R3187" s="33"/>
      <c r="S3187" s="34" t="str">
        <f>HYPERLINK("http://www.cnpol.ru/covers/18886.jpg","фото на сайте")</f>
        <v>фото на сайте</v>
      </c>
    </row>
    <row r="3188" spans="1:19" ht="50.1" customHeight="1">
      <c r="A3188" s="31"/>
      <c r="B3188" s="32" t="s">
        <v>12071</v>
      </c>
      <c r="C3188" s="31" t="s">
        <v>546</v>
      </c>
      <c r="D3188" s="31" t="s">
        <v>1801</v>
      </c>
      <c r="E3188" s="31" t="s">
        <v>12072</v>
      </c>
      <c r="F3188" s="31">
        <v>399</v>
      </c>
      <c r="G3188" s="31">
        <v>93</v>
      </c>
      <c r="H3188" s="31">
        <v>10</v>
      </c>
      <c r="I3188" s="31">
        <v>30</v>
      </c>
      <c r="J3188" s="31" t="s">
        <v>12073</v>
      </c>
      <c r="K3188" s="31" t="s">
        <v>123</v>
      </c>
      <c r="L3188" s="31" t="s">
        <v>56</v>
      </c>
      <c r="M3188" s="31">
        <v>159</v>
      </c>
      <c r="N3188" s="31">
        <v>2022</v>
      </c>
      <c r="O3188" s="31">
        <v>76</v>
      </c>
      <c r="P3188" s="31"/>
      <c r="Q3188" s="31"/>
      <c r="R3188" s="33"/>
      <c r="S3188" s="34" t="str">
        <f>HYPERLINK("http://www.cnpol.ru/covers/20120.jpg","фото на сайте")</f>
        <v>фото на сайте</v>
      </c>
    </row>
    <row r="3189" spans="1:19" ht="50.1" customHeight="1">
      <c r="A3189" s="31"/>
      <c r="B3189" s="32" t="s">
        <v>12074</v>
      </c>
      <c r="C3189" s="31" t="s">
        <v>390</v>
      </c>
      <c r="D3189" s="31" t="s">
        <v>4953</v>
      </c>
      <c r="E3189" s="31" t="s">
        <v>12075</v>
      </c>
      <c r="F3189" s="31">
        <v>926</v>
      </c>
      <c r="G3189" s="31">
        <v>86</v>
      </c>
      <c r="H3189" s="31">
        <v>10</v>
      </c>
      <c r="I3189" s="31">
        <v>30</v>
      </c>
      <c r="J3189" s="31" t="s">
        <v>12076</v>
      </c>
      <c r="K3189" s="31" t="s">
        <v>194</v>
      </c>
      <c r="L3189" s="31" t="s">
        <v>56</v>
      </c>
      <c r="M3189" s="31">
        <v>160</v>
      </c>
      <c r="N3189" s="31">
        <v>2019</v>
      </c>
      <c r="O3189" s="31">
        <v>76</v>
      </c>
      <c r="P3189" s="31"/>
      <c r="Q3189" s="31"/>
      <c r="R3189" s="33"/>
      <c r="S3189" s="34" t="str">
        <f>HYPERLINK("http://www.cnpol.ru/covers/18868.jpg","фото на сайте")</f>
        <v>фото на сайте</v>
      </c>
    </row>
    <row r="3190" spans="1:19" ht="50.1" customHeight="1">
      <c r="A3190" s="31"/>
      <c r="B3190" s="32" t="s">
        <v>12077</v>
      </c>
      <c r="C3190" s="31" t="s">
        <v>546</v>
      </c>
      <c r="D3190" s="31" t="s">
        <v>653</v>
      </c>
      <c r="E3190" s="31" t="s">
        <v>12078</v>
      </c>
      <c r="F3190" s="31">
        <v>315</v>
      </c>
      <c r="G3190" s="31">
        <v>93</v>
      </c>
      <c r="H3190" s="31">
        <v>10</v>
      </c>
      <c r="I3190" s="31">
        <v>30</v>
      </c>
      <c r="J3190" s="31" t="s">
        <v>12079</v>
      </c>
      <c r="K3190" s="31" t="s">
        <v>123</v>
      </c>
      <c r="L3190" s="31" t="s">
        <v>56</v>
      </c>
      <c r="M3190" s="31">
        <v>160</v>
      </c>
      <c r="N3190" s="31">
        <v>2019</v>
      </c>
      <c r="O3190" s="31">
        <v>76</v>
      </c>
      <c r="P3190" s="31"/>
      <c r="Q3190" s="31"/>
      <c r="R3190" s="33"/>
      <c r="S3190" s="34" t="str">
        <f>HYPERLINK("http://www.cnpol.ru/covers/18760.jpg","фото на сайте")</f>
        <v>фото на сайте</v>
      </c>
    </row>
    <row r="3191" spans="1:19" ht="50.1" customHeight="1">
      <c r="A3191" s="31" t="s">
        <v>43</v>
      </c>
      <c r="B3191" s="32" t="s">
        <v>12080</v>
      </c>
      <c r="C3191" s="31" t="s">
        <v>1991</v>
      </c>
      <c r="D3191" s="31" t="s">
        <v>12081</v>
      </c>
      <c r="E3191" s="31" t="s">
        <v>12082</v>
      </c>
      <c r="F3191" s="31" t="s">
        <v>31</v>
      </c>
      <c r="G3191" s="31">
        <v>696</v>
      </c>
      <c r="H3191" s="31">
        <v>10</v>
      </c>
      <c r="I3191" s="31">
        <v>16</v>
      </c>
      <c r="J3191" s="31" t="s">
        <v>12083</v>
      </c>
      <c r="K3191" s="31" t="s">
        <v>33</v>
      </c>
      <c r="L3191" s="31" t="s">
        <v>34</v>
      </c>
      <c r="M3191" s="31">
        <v>222</v>
      </c>
      <c r="N3191" s="31">
        <v>2024</v>
      </c>
      <c r="O3191" s="31">
        <v>263</v>
      </c>
      <c r="P3191" s="31"/>
      <c r="Q3191" s="31"/>
      <c r="R3191" s="33" t="s">
        <v>12084</v>
      </c>
      <c r="S3191" s="34" t="str">
        <f>HYPERLINK("http://www.cnpol.ru/covers/21299.jpg","фото на сайте")</f>
        <v>фото на сайте</v>
      </c>
    </row>
    <row r="3192" spans="1:19" ht="50.1" customHeight="1">
      <c r="A3192" s="31"/>
      <c r="B3192" s="32" t="s">
        <v>12085</v>
      </c>
      <c r="C3192" s="31" t="s">
        <v>418</v>
      </c>
      <c r="D3192" s="31" t="s">
        <v>10724</v>
      </c>
      <c r="E3192" s="31" t="s">
        <v>12086</v>
      </c>
      <c r="F3192" s="31">
        <v>54</v>
      </c>
      <c r="G3192" s="31">
        <v>153</v>
      </c>
      <c r="H3192" s="31">
        <v>10</v>
      </c>
      <c r="I3192" s="31">
        <v>30</v>
      </c>
      <c r="J3192" s="31" t="s">
        <v>12087</v>
      </c>
      <c r="K3192" s="31" t="s">
        <v>123</v>
      </c>
      <c r="L3192" s="31" t="s">
        <v>56</v>
      </c>
      <c r="M3192" s="31">
        <v>256</v>
      </c>
      <c r="N3192" s="31">
        <v>2014</v>
      </c>
      <c r="O3192" s="31">
        <v>118</v>
      </c>
      <c r="P3192" s="31"/>
      <c r="Q3192" s="31"/>
      <c r="R3192" s="33"/>
      <c r="S3192" s="34" t="str">
        <f>HYPERLINK("http://www.cnpol.ru/covers/15561.jpg","фото на сайте")</f>
        <v>фото на сайте</v>
      </c>
    </row>
    <row r="3193" spans="1:19" ht="50.1" customHeight="1">
      <c r="A3193" s="31"/>
      <c r="B3193" s="32" t="s">
        <v>12088</v>
      </c>
      <c r="C3193" s="31" t="s">
        <v>479</v>
      </c>
      <c r="D3193" s="31" t="s">
        <v>12089</v>
      </c>
      <c r="E3193" s="31" t="s">
        <v>12090</v>
      </c>
      <c r="F3193" s="31" t="s">
        <v>31</v>
      </c>
      <c r="G3193" s="31">
        <v>539</v>
      </c>
      <c r="H3193" s="31">
        <v>10</v>
      </c>
      <c r="I3193" s="31">
        <v>10</v>
      </c>
      <c r="J3193" s="31" t="s">
        <v>12091</v>
      </c>
      <c r="K3193" s="31" t="s">
        <v>33</v>
      </c>
      <c r="L3193" s="31" t="s">
        <v>34</v>
      </c>
      <c r="M3193" s="31">
        <v>416</v>
      </c>
      <c r="N3193" s="31">
        <v>2017</v>
      </c>
      <c r="O3193" s="31">
        <v>332</v>
      </c>
      <c r="P3193" s="31"/>
      <c r="Q3193" s="31"/>
      <c r="R3193" s="33"/>
      <c r="S3193" s="34" t="str">
        <f>HYPERLINK("http://www.cnpol.ru/covers/17709.jpg","фото на сайте")</f>
        <v>фото на сайте</v>
      </c>
    </row>
    <row r="3194" spans="1:19" ht="50.1" customHeight="1">
      <c r="A3194" s="31"/>
      <c r="B3194" s="32" t="s">
        <v>12092</v>
      </c>
      <c r="C3194" s="31" t="s">
        <v>390</v>
      </c>
      <c r="D3194" s="31" t="s">
        <v>3116</v>
      </c>
      <c r="E3194" s="31" t="s">
        <v>12093</v>
      </c>
      <c r="F3194" s="31">
        <v>323</v>
      </c>
      <c r="G3194" s="31">
        <v>86</v>
      </c>
      <c r="H3194" s="31">
        <v>10</v>
      </c>
      <c r="I3194" s="31">
        <v>30</v>
      </c>
      <c r="J3194" s="31" t="s">
        <v>12094</v>
      </c>
      <c r="K3194" s="31" t="s">
        <v>123</v>
      </c>
      <c r="L3194" s="31" t="s">
        <v>56</v>
      </c>
      <c r="M3194" s="31">
        <v>158</v>
      </c>
      <c r="N3194" s="31">
        <v>2013</v>
      </c>
      <c r="O3194" s="31">
        <v>78</v>
      </c>
      <c r="P3194" s="31"/>
      <c r="Q3194" s="31"/>
      <c r="R3194" s="33"/>
      <c r="S3194" s="34" t="str">
        <f>HYPERLINK("http://www.cnpol.ru/covers/14315.jpg","фото на сайте")</f>
        <v>фото на сайте</v>
      </c>
    </row>
    <row r="3195" spans="1:19" ht="50.1" customHeight="1">
      <c r="A3195" s="31"/>
      <c r="B3195" s="32" t="s">
        <v>12095</v>
      </c>
      <c r="C3195" s="31" t="s">
        <v>390</v>
      </c>
      <c r="D3195" s="31" t="s">
        <v>10259</v>
      </c>
      <c r="E3195" s="31" t="s">
        <v>12096</v>
      </c>
      <c r="F3195" s="31">
        <v>81</v>
      </c>
      <c r="G3195" s="31">
        <v>86</v>
      </c>
      <c r="H3195" s="31">
        <v>10</v>
      </c>
      <c r="I3195" s="31">
        <v>30</v>
      </c>
      <c r="J3195" s="31" t="s">
        <v>12097</v>
      </c>
      <c r="K3195" s="31" t="s">
        <v>123</v>
      </c>
      <c r="L3195" s="31" t="s">
        <v>56</v>
      </c>
      <c r="M3195" s="31">
        <v>158</v>
      </c>
      <c r="N3195" s="31">
        <v>2011</v>
      </c>
      <c r="O3195" s="31">
        <v>78</v>
      </c>
      <c r="P3195" s="31"/>
      <c r="Q3195" s="31"/>
      <c r="R3195" s="33"/>
      <c r="S3195" s="34" t="str">
        <f>HYPERLINK("http://www.cnpol.ru/covers/12659.jpg","фото на сайте")</f>
        <v>фото на сайте</v>
      </c>
    </row>
    <row r="3196" spans="1:19" ht="50.1" customHeight="1">
      <c r="A3196" s="31"/>
      <c r="B3196" s="32" t="s">
        <v>12098</v>
      </c>
      <c r="C3196" s="31" t="s">
        <v>6139</v>
      </c>
      <c r="D3196" s="31" t="s">
        <v>12099</v>
      </c>
      <c r="E3196" s="31" t="s">
        <v>12100</v>
      </c>
      <c r="F3196" s="31" t="s">
        <v>31</v>
      </c>
      <c r="G3196" s="31">
        <v>88</v>
      </c>
      <c r="H3196" s="31">
        <v>10</v>
      </c>
      <c r="I3196" s="31">
        <v>30</v>
      </c>
      <c r="J3196" s="31" t="s">
        <v>12101</v>
      </c>
      <c r="K3196" s="31" t="s">
        <v>123</v>
      </c>
      <c r="L3196" s="31" t="s">
        <v>56</v>
      </c>
      <c r="M3196" s="31">
        <v>160</v>
      </c>
      <c r="N3196" s="31">
        <v>2008</v>
      </c>
      <c r="O3196" s="31">
        <v>74</v>
      </c>
      <c r="P3196" s="31"/>
      <c r="Q3196" s="31"/>
      <c r="R3196" s="33"/>
      <c r="S3196" s="34" t="str">
        <f>HYPERLINK("http://www.cnpol.ru/covers/10399.jpg","фото на сайте")</f>
        <v>фото на сайте</v>
      </c>
    </row>
    <row r="3197" spans="1:19" ht="50.1" customHeight="1">
      <c r="A3197" s="31" t="s">
        <v>35</v>
      </c>
      <c r="B3197" s="32" t="s">
        <v>12102</v>
      </c>
      <c r="C3197" s="31" t="s">
        <v>1668</v>
      </c>
      <c r="D3197" s="31" t="s">
        <v>1669</v>
      </c>
      <c r="E3197" s="31" t="s">
        <v>12103</v>
      </c>
      <c r="F3197" s="31" t="s">
        <v>31</v>
      </c>
      <c r="G3197" s="35">
        <v>1076</v>
      </c>
      <c r="H3197" s="31">
        <v>10</v>
      </c>
      <c r="I3197" s="31">
        <v>5</v>
      </c>
      <c r="J3197" s="31" t="s">
        <v>12104</v>
      </c>
      <c r="K3197" s="31" t="s">
        <v>33</v>
      </c>
      <c r="L3197" s="31" t="s">
        <v>34</v>
      </c>
      <c r="M3197" s="31">
        <v>414</v>
      </c>
      <c r="N3197" s="31">
        <v>2025</v>
      </c>
      <c r="O3197" s="31">
        <v>445</v>
      </c>
      <c r="P3197" s="31"/>
      <c r="Q3197" s="31"/>
      <c r="R3197" s="33" t="s">
        <v>12105</v>
      </c>
      <c r="S3197" s="34" t="str">
        <f>HYPERLINK("http://www.cnpol.ru/covers/21658.jpg","фото на сайте")</f>
        <v>фото на сайте</v>
      </c>
    </row>
    <row r="3198" spans="1:19" ht="50.1" customHeight="1">
      <c r="A3198" s="31"/>
      <c r="B3198" s="32" t="s">
        <v>12106</v>
      </c>
      <c r="C3198" s="31" t="s">
        <v>390</v>
      </c>
      <c r="D3198" s="31" t="s">
        <v>3798</v>
      </c>
      <c r="E3198" s="31" t="s">
        <v>12107</v>
      </c>
      <c r="F3198" s="31">
        <v>587</v>
      </c>
      <c r="G3198" s="31">
        <v>86</v>
      </c>
      <c r="H3198" s="31">
        <v>10</v>
      </c>
      <c r="I3198" s="31">
        <v>30</v>
      </c>
      <c r="J3198" s="31" t="s">
        <v>12108</v>
      </c>
      <c r="K3198" s="31" t="s">
        <v>123</v>
      </c>
      <c r="L3198" s="31" t="s">
        <v>56</v>
      </c>
      <c r="M3198" s="31">
        <v>158</v>
      </c>
      <c r="N3198" s="31">
        <v>2016</v>
      </c>
      <c r="O3198" s="31">
        <v>76</v>
      </c>
      <c r="P3198" s="31"/>
      <c r="Q3198" s="31"/>
      <c r="R3198" s="33"/>
      <c r="S3198" s="34" t="str">
        <f>HYPERLINK("http://www.cnpol.ru/covers/16522.jpg","фото на сайте")</f>
        <v>фото на сайте</v>
      </c>
    </row>
    <row r="3199" spans="1:19" ht="50.1" customHeight="1">
      <c r="A3199" s="31"/>
      <c r="B3199" s="32" t="s">
        <v>12109</v>
      </c>
      <c r="C3199" s="31" t="s">
        <v>390</v>
      </c>
      <c r="D3199" s="31" t="s">
        <v>3214</v>
      </c>
      <c r="E3199" s="31" t="s">
        <v>12110</v>
      </c>
      <c r="F3199" s="31">
        <v>1038</v>
      </c>
      <c r="G3199" s="31">
        <v>86</v>
      </c>
      <c r="H3199" s="31">
        <v>10</v>
      </c>
      <c r="I3199" s="31">
        <v>30</v>
      </c>
      <c r="J3199" s="31" t="s">
        <v>12111</v>
      </c>
      <c r="K3199" s="31" t="s">
        <v>123</v>
      </c>
      <c r="L3199" s="31" t="s">
        <v>56</v>
      </c>
      <c r="M3199" s="31">
        <v>160</v>
      </c>
      <c r="N3199" s="31">
        <v>2021</v>
      </c>
      <c r="O3199" s="31">
        <v>76</v>
      </c>
      <c r="P3199" s="31"/>
      <c r="Q3199" s="31"/>
      <c r="R3199" s="33"/>
      <c r="S3199" s="34" t="str">
        <f>HYPERLINK("http://www.cnpol.ru/covers/19694.jpg","фото на сайте")</f>
        <v>фото на сайте</v>
      </c>
    </row>
    <row r="3200" spans="1:19" ht="50.1" customHeight="1">
      <c r="A3200" s="31"/>
      <c r="B3200" s="32" t="s">
        <v>12112</v>
      </c>
      <c r="C3200" s="31" t="s">
        <v>546</v>
      </c>
      <c r="D3200" s="31" t="s">
        <v>12113</v>
      </c>
      <c r="E3200" s="31" t="s">
        <v>12114</v>
      </c>
      <c r="F3200" s="31">
        <v>395</v>
      </c>
      <c r="G3200" s="31">
        <v>93</v>
      </c>
      <c r="H3200" s="31">
        <v>10</v>
      </c>
      <c r="I3200" s="31">
        <v>30</v>
      </c>
      <c r="J3200" s="31" t="s">
        <v>12115</v>
      </c>
      <c r="K3200" s="31" t="s">
        <v>123</v>
      </c>
      <c r="L3200" s="31" t="s">
        <v>56</v>
      </c>
      <c r="M3200" s="31">
        <v>159</v>
      </c>
      <c r="N3200" s="31">
        <v>2022</v>
      </c>
      <c r="O3200" s="31">
        <v>76</v>
      </c>
      <c r="P3200" s="31"/>
      <c r="Q3200" s="31"/>
      <c r="R3200" s="33"/>
      <c r="S3200" s="34" t="str">
        <f>HYPERLINK("http://www.cnpol.ru/covers/20014.jpg","фото на сайте")</f>
        <v>фото на сайте</v>
      </c>
    </row>
    <row r="3201" spans="1:19" ht="50.1" customHeight="1">
      <c r="A3201" s="31"/>
      <c r="B3201" s="32" t="s">
        <v>12116</v>
      </c>
      <c r="C3201" s="31" t="s">
        <v>390</v>
      </c>
      <c r="D3201" s="31" t="s">
        <v>2511</v>
      </c>
      <c r="E3201" s="31" t="s">
        <v>12117</v>
      </c>
      <c r="F3201" s="31">
        <v>653</v>
      </c>
      <c r="G3201" s="31">
        <v>86</v>
      </c>
      <c r="H3201" s="31">
        <v>10</v>
      </c>
      <c r="I3201" s="31">
        <v>30</v>
      </c>
      <c r="J3201" s="31" t="s">
        <v>12118</v>
      </c>
      <c r="K3201" s="31" t="s">
        <v>123</v>
      </c>
      <c r="L3201" s="31" t="s">
        <v>56</v>
      </c>
      <c r="M3201" s="31">
        <v>160</v>
      </c>
      <c r="N3201" s="31">
        <v>2016</v>
      </c>
      <c r="O3201" s="31">
        <v>76</v>
      </c>
      <c r="P3201" s="31"/>
      <c r="Q3201" s="31"/>
      <c r="R3201" s="33"/>
      <c r="S3201" s="34" t="str">
        <f>HYPERLINK("http://www.cnpol.ru/covers/17015.jpg","фото на сайте")</f>
        <v>фото на сайте</v>
      </c>
    </row>
    <row r="3202" spans="1:19" ht="50.1" customHeight="1">
      <c r="A3202" s="31"/>
      <c r="B3202" s="32" t="s">
        <v>12119</v>
      </c>
      <c r="C3202" s="31" t="s">
        <v>11153</v>
      </c>
      <c r="D3202" s="31" t="s">
        <v>12120</v>
      </c>
      <c r="E3202" s="31" t="s">
        <v>12121</v>
      </c>
      <c r="F3202" s="31" t="s">
        <v>31</v>
      </c>
      <c r="G3202" s="31">
        <v>155</v>
      </c>
      <c r="H3202" s="31">
        <v>10</v>
      </c>
      <c r="I3202" s="31">
        <v>56</v>
      </c>
      <c r="J3202" s="31" t="s">
        <v>12122</v>
      </c>
      <c r="K3202" s="31" t="s">
        <v>1725</v>
      </c>
      <c r="L3202" s="31" t="s">
        <v>1726</v>
      </c>
      <c r="M3202" s="31">
        <v>16</v>
      </c>
      <c r="N3202" s="31">
        <v>2007</v>
      </c>
      <c r="O3202" s="31">
        <v>122</v>
      </c>
      <c r="P3202" s="31"/>
      <c r="Q3202" s="31"/>
      <c r="R3202" s="33"/>
      <c r="S3202" s="34" t="str">
        <f>HYPERLINK("http://www.cnpol.ru/covers/7307.jpg","фото на сайте")</f>
        <v>фото на сайте</v>
      </c>
    </row>
    <row r="3203" spans="1:19" ht="50.1" customHeight="1">
      <c r="A3203" s="31"/>
      <c r="B3203" s="32" t="s">
        <v>12123</v>
      </c>
      <c r="C3203" s="31" t="s">
        <v>520</v>
      </c>
      <c r="D3203" s="31" t="s">
        <v>4006</v>
      </c>
      <c r="E3203" s="31" t="s">
        <v>12124</v>
      </c>
      <c r="F3203" s="31">
        <v>38</v>
      </c>
      <c r="G3203" s="31">
        <v>117</v>
      </c>
      <c r="H3203" s="31">
        <v>10</v>
      </c>
      <c r="I3203" s="31">
        <v>36</v>
      </c>
      <c r="J3203" s="31" t="s">
        <v>12125</v>
      </c>
      <c r="K3203" s="31" t="s">
        <v>123</v>
      </c>
      <c r="L3203" s="31" t="s">
        <v>56</v>
      </c>
      <c r="M3203" s="31">
        <v>192</v>
      </c>
      <c r="N3203" s="31">
        <v>2016</v>
      </c>
      <c r="O3203" s="31">
        <v>90</v>
      </c>
      <c r="P3203" s="31"/>
      <c r="Q3203" s="31"/>
      <c r="R3203" s="33"/>
      <c r="S3203" s="34" t="str">
        <f>HYPERLINK("http://www.cnpol.ru/covers/17102.jpg","фото на сайте")</f>
        <v>фото на сайте</v>
      </c>
    </row>
    <row r="3204" spans="1:19" ht="50.1" customHeight="1">
      <c r="A3204" s="31"/>
      <c r="B3204" s="32" t="s">
        <v>12126</v>
      </c>
      <c r="C3204" s="31" t="s">
        <v>302</v>
      </c>
      <c r="D3204" s="31" t="s">
        <v>872</v>
      </c>
      <c r="E3204" s="31" t="s">
        <v>12127</v>
      </c>
      <c r="F3204" s="31" t="s">
        <v>31</v>
      </c>
      <c r="G3204" s="31">
        <v>925</v>
      </c>
      <c r="H3204" s="31">
        <v>10</v>
      </c>
      <c r="I3204" s="31">
        <v>18</v>
      </c>
      <c r="J3204" s="31" t="s">
        <v>12128</v>
      </c>
      <c r="K3204" s="31" t="s">
        <v>41</v>
      </c>
      <c r="L3204" s="31" t="s">
        <v>304</v>
      </c>
      <c r="M3204" s="31">
        <v>287</v>
      </c>
      <c r="N3204" s="31">
        <v>2022</v>
      </c>
      <c r="O3204" s="31">
        <v>424</v>
      </c>
      <c r="P3204" s="31"/>
      <c r="Q3204" s="31"/>
      <c r="R3204" s="33"/>
      <c r="S3204" s="34" t="str">
        <f>HYPERLINK("http://www.cnpol.ru/covers/20146.jpg","фото на сайте")</f>
        <v>фото на сайте</v>
      </c>
    </row>
    <row r="3205" spans="1:19" ht="50.1" customHeight="1">
      <c r="A3205" s="31"/>
      <c r="B3205" s="32" t="s">
        <v>12129</v>
      </c>
      <c r="C3205" s="31" t="s">
        <v>400</v>
      </c>
      <c r="D3205" s="31" t="s">
        <v>12130</v>
      </c>
      <c r="E3205" s="31" t="s">
        <v>12131</v>
      </c>
      <c r="F3205" s="31" t="s">
        <v>31</v>
      </c>
      <c r="G3205" s="31">
        <v>503</v>
      </c>
      <c r="H3205" s="31">
        <v>10</v>
      </c>
      <c r="I3205" s="31">
        <v>14</v>
      </c>
      <c r="J3205" s="31" t="s">
        <v>12132</v>
      </c>
      <c r="K3205" s="31" t="s">
        <v>33</v>
      </c>
      <c r="L3205" s="31" t="s">
        <v>34</v>
      </c>
      <c r="M3205" s="31">
        <v>320</v>
      </c>
      <c r="N3205" s="31">
        <v>2019</v>
      </c>
      <c r="O3205" s="31">
        <v>272</v>
      </c>
      <c r="P3205" s="31"/>
      <c r="Q3205" s="31"/>
      <c r="R3205" s="33"/>
      <c r="S3205" s="34" t="str">
        <f>HYPERLINK("http://www.cnpol.ru/covers/18591.jpg","фото на сайте")</f>
        <v>фото на сайте</v>
      </c>
    </row>
    <row r="3206" spans="1:19" ht="50.1" customHeight="1">
      <c r="A3206" s="31"/>
      <c r="B3206" s="32" t="s">
        <v>12133</v>
      </c>
      <c r="C3206" s="31" t="s">
        <v>12134</v>
      </c>
      <c r="D3206" s="31" t="s">
        <v>12135</v>
      </c>
      <c r="E3206" s="31" t="s">
        <v>12136</v>
      </c>
      <c r="F3206" s="31" t="s">
        <v>31</v>
      </c>
      <c r="G3206" s="31">
        <v>137</v>
      </c>
      <c r="H3206" s="31">
        <v>10</v>
      </c>
      <c r="I3206" s="31">
        <v>34</v>
      </c>
      <c r="J3206" s="31" t="s">
        <v>12137</v>
      </c>
      <c r="K3206" s="31" t="s">
        <v>130</v>
      </c>
      <c r="L3206" s="31" t="s">
        <v>56</v>
      </c>
      <c r="M3206" s="31">
        <v>157</v>
      </c>
      <c r="N3206" s="31">
        <v>2008</v>
      </c>
      <c r="O3206" s="31">
        <v>98</v>
      </c>
      <c r="P3206" s="31"/>
      <c r="Q3206" s="31"/>
      <c r="R3206" s="33"/>
      <c r="S3206" s="34" t="str">
        <f>HYPERLINK("http://www.cnpol.ru/covers/10916.jpg","фото на сайте")</f>
        <v>фото на сайте</v>
      </c>
    </row>
    <row r="3207" spans="1:19" ht="50.1" customHeight="1">
      <c r="A3207" s="31" t="s">
        <v>35</v>
      </c>
      <c r="B3207" s="32" t="s">
        <v>12138</v>
      </c>
      <c r="C3207" s="31" t="s">
        <v>2056</v>
      </c>
      <c r="D3207" s="31" t="s">
        <v>12139</v>
      </c>
      <c r="E3207" s="31" t="s">
        <v>12140</v>
      </c>
      <c r="F3207" s="31" t="s">
        <v>31</v>
      </c>
      <c r="G3207" s="35">
        <v>1095</v>
      </c>
      <c r="H3207" s="31">
        <v>10</v>
      </c>
      <c r="I3207" s="31">
        <v>6</v>
      </c>
      <c r="J3207" s="31" t="s">
        <v>12141</v>
      </c>
      <c r="K3207" s="31" t="s">
        <v>33</v>
      </c>
      <c r="L3207" s="31" t="s">
        <v>34</v>
      </c>
      <c r="M3207" s="31">
        <v>412</v>
      </c>
      <c r="N3207" s="31">
        <v>2025</v>
      </c>
      <c r="O3207" s="31">
        <v>288</v>
      </c>
      <c r="P3207" s="31"/>
      <c r="Q3207" s="31"/>
      <c r="R3207" s="33" t="s">
        <v>12142</v>
      </c>
      <c r="S3207" s="34" t="str">
        <f>HYPERLINK("http://www.cnpol.ru/covers/21627.jpg","фото на сайте")</f>
        <v>фото на сайте</v>
      </c>
    </row>
    <row r="3208" spans="1:19" ht="50.1" customHeight="1">
      <c r="A3208" s="31"/>
      <c r="B3208" s="32" t="s">
        <v>12143</v>
      </c>
      <c r="C3208" s="31" t="s">
        <v>315</v>
      </c>
      <c r="D3208" s="31" t="s">
        <v>316</v>
      </c>
      <c r="E3208" s="31" t="s">
        <v>12144</v>
      </c>
      <c r="F3208" s="31" t="s">
        <v>31</v>
      </c>
      <c r="G3208" s="31">
        <v>251</v>
      </c>
      <c r="H3208" s="31">
        <v>10</v>
      </c>
      <c r="I3208" s="31">
        <v>40</v>
      </c>
      <c r="J3208" s="31" t="s">
        <v>12145</v>
      </c>
      <c r="K3208" s="31" t="s">
        <v>319</v>
      </c>
      <c r="L3208" s="31" t="s">
        <v>210</v>
      </c>
      <c r="M3208" s="31">
        <v>36</v>
      </c>
      <c r="N3208" s="31">
        <v>2022</v>
      </c>
      <c r="O3208" s="31">
        <v>138</v>
      </c>
      <c r="P3208" s="31"/>
      <c r="Q3208" s="31"/>
      <c r="R3208" s="33"/>
      <c r="S3208" s="34" t="str">
        <f>HYPERLINK("http://www.cnpol.ru/covers/20010.jpg","фото на сайте")</f>
        <v>фото на сайте</v>
      </c>
    </row>
    <row r="3209" spans="1:19" ht="50.1" customHeight="1">
      <c r="A3209" s="31"/>
      <c r="B3209" s="32" t="s">
        <v>12146</v>
      </c>
      <c r="C3209" s="31" t="s">
        <v>315</v>
      </c>
      <c r="D3209" s="31" t="s">
        <v>316</v>
      </c>
      <c r="E3209" s="31" t="s">
        <v>12147</v>
      </c>
      <c r="F3209" s="31" t="s">
        <v>31</v>
      </c>
      <c r="G3209" s="31">
        <v>251</v>
      </c>
      <c r="H3209" s="31">
        <v>10</v>
      </c>
      <c r="I3209" s="31">
        <v>30</v>
      </c>
      <c r="J3209" s="31" t="s">
        <v>12148</v>
      </c>
      <c r="K3209" s="31" t="s">
        <v>319</v>
      </c>
      <c r="L3209" s="31" t="s">
        <v>210</v>
      </c>
      <c r="M3209" s="31">
        <v>36</v>
      </c>
      <c r="N3209" s="31">
        <v>2021</v>
      </c>
      <c r="O3209" s="31">
        <v>140</v>
      </c>
      <c r="P3209" s="31"/>
      <c r="Q3209" s="31"/>
      <c r="R3209" s="33"/>
      <c r="S3209" s="34" t="str">
        <f>HYPERLINK("http://www.cnpol.ru/covers/19944.jpg","фото на сайте")</f>
        <v>фото на сайте</v>
      </c>
    </row>
    <row r="3210" spans="1:19" ht="50.1" customHeight="1">
      <c r="A3210" s="31" t="s">
        <v>35</v>
      </c>
      <c r="B3210" s="32" t="s">
        <v>12149</v>
      </c>
      <c r="C3210" s="31" t="s">
        <v>37</v>
      </c>
      <c r="D3210" s="31" t="s">
        <v>12150</v>
      </c>
      <c r="E3210" s="31" t="s">
        <v>12151</v>
      </c>
      <c r="F3210" s="31" t="s">
        <v>31</v>
      </c>
      <c r="G3210" s="31">
        <v>733</v>
      </c>
      <c r="H3210" s="31">
        <v>10</v>
      </c>
      <c r="I3210" s="31">
        <v>6</v>
      </c>
      <c r="J3210" s="31" t="s">
        <v>12152</v>
      </c>
      <c r="K3210" s="31" t="s">
        <v>33</v>
      </c>
      <c r="L3210" s="31" t="s">
        <v>34</v>
      </c>
      <c r="M3210" s="31">
        <v>223</v>
      </c>
      <c r="N3210" s="31">
        <v>2025</v>
      </c>
      <c r="O3210" s="31">
        <v>295</v>
      </c>
      <c r="P3210" s="31"/>
      <c r="Q3210" s="31"/>
      <c r="R3210" s="33" t="s">
        <v>12153</v>
      </c>
      <c r="S3210" s="34" t="str">
        <f>HYPERLINK("http://www.cnpol.ru/covers/21449.jpg","фото на сайте")</f>
        <v>фото на сайте</v>
      </c>
    </row>
    <row r="3211" spans="1:19" ht="50.1" customHeight="1">
      <c r="A3211" s="31"/>
      <c r="B3211" s="32" t="s">
        <v>12154</v>
      </c>
      <c r="C3211" s="31" t="s">
        <v>2056</v>
      </c>
      <c r="D3211" s="31" t="s">
        <v>12155</v>
      </c>
      <c r="E3211" s="31" t="s">
        <v>12156</v>
      </c>
      <c r="F3211" s="31" t="s">
        <v>31</v>
      </c>
      <c r="G3211" s="31">
        <v>759</v>
      </c>
      <c r="H3211" s="31">
        <v>10</v>
      </c>
      <c r="I3211" s="31">
        <v>18</v>
      </c>
      <c r="J3211" s="31" t="s">
        <v>12157</v>
      </c>
      <c r="K3211" s="31" t="s">
        <v>33</v>
      </c>
      <c r="L3211" s="31" t="s">
        <v>34</v>
      </c>
      <c r="M3211" s="31">
        <v>221</v>
      </c>
      <c r="N3211" s="31">
        <v>2022</v>
      </c>
      <c r="O3211" s="31">
        <v>105</v>
      </c>
      <c r="P3211" s="31"/>
      <c r="Q3211" s="31"/>
      <c r="R3211" s="33" t="s">
        <v>12158</v>
      </c>
      <c r="S3211" s="34" t="str">
        <f>HYPERLINK("http://www.cnpol.ru/covers/20400.jpg","фото на сайте")</f>
        <v>фото на сайте</v>
      </c>
    </row>
    <row r="3212" spans="1:19" ht="50.1" customHeight="1">
      <c r="A3212" s="31"/>
      <c r="B3212" s="32" t="s">
        <v>12159</v>
      </c>
      <c r="C3212" s="31" t="s">
        <v>546</v>
      </c>
      <c r="D3212" s="31" t="s">
        <v>1698</v>
      </c>
      <c r="E3212" s="31" t="s">
        <v>12160</v>
      </c>
      <c r="F3212" s="31">
        <v>170</v>
      </c>
      <c r="G3212" s="31">
        <v>93</v>
      </c>
      <c r="H3212" s="31">
        <v>10</v>
      </c>
      <c r="I3212" s="31">
        <v>30</v>
      </c>
      <c r="J3212" s="31" t="s">
        <v>12161</v>
      </c>
      <c r="K3212" s="31" t="s">
        <v>123</v>
      </c>
      <c r="L3212" s="31" t="s">
        <v>56</v>
      </c>
      <c r="M3212" s="31">
        <v>160</v>
      </c>
      <c r="N3212" s="31">
        <v>2016</v>
      </c>
      <c r="O3212" s="31">
        <v>76</v>
      </c>
      <c r="P3212" s="31"/>
      <c r="Q3212" s="31"/>
      <c r="R3212" s="33"/>
      <c r="S3212" s="34" t="str">
        <f>HYPERLINK("http://www.cnpol.ru/covers/16755.jpg","фото на сайте")</f>
        <v>фото на сайте</v>
      </c>
    </row>
    <row r="3213" spans="1:19" ht="50.1" customHeight="1">
      <c r="A3213" s="31"/>
      <c r="B3213" s="32" t="s">
        <v>12162</v>
      </c>
      <c r="C3213" s="31" t="s">
        <v>4218</v>
      </c>
      <c r="D3213" s="31" t="s">
        <v>12163</v>
      </c>
      <c r="E3213" s="31" t="s">
        <v>12164</v>
      </c>
      <c r="F3213" s="31" t="s">
        <v>31</v>
      </c>
      <c r="G3213" s="31">
        <v>461</v>
      </c>
      <c r="H3213" s="31">
        <v>10</v>
      </c>
      <c r="I3213" s="31">
        <v>20</v>
      </c>
      <c r="J3213" s="31" t="s">
        <v>12165</v>
      </c>
      <c r="K3213" s="31" t="s">
        <v>33</v>
      </c>
      <c r="L3213" s="31" t="s">
        <v>34</v>
      </c>
      <c r="M3213" s="31">
        <v>255</v>
      </c>
      <c r="N3213" s="31">
        <v>2008</v>
      </c>
      <c r="O3213" s="31">
        <v>282</v>
      </c>
      <c r="P3213" s="31"/>
      <c r="Q3213" s="31"/>
      <c r="R3213" s="33"/>
      <c r="S3213" s="34" t="str">
        <f>HYPERLINK("http://www.cnpol.ru/covers/8855.jpg","фото на сайте")</f>
        <v>фото на сайте</v>
      </c>
    </row>
    <row r="3214" spans="1:19" ht="50.1" customHeight="1">
      <c r="A3214" s="31"/>
      <c r="B3214" s="32" t="s">
        <v>12166</v>
      </c>
      <c r="C3214" s="31" t="s">
        <v>297</v>
      </c>
      <c r="D3214" s="31" t="s">
        <v>5401</v>
      </c>
      <c r="E3214" s="31" t="s">
        <v>12167</v>
      </c>
      <c r="F3214" s="31" t="s">
        <v>31</v>
      </c>
      <c r="G3214" s="31">
        <v>356</v>
      </c>
      <c r="H3214" s="31">
        <v>10</v>
      </c>
      <c r="I3214" s="31">
        <v>12</v>
      </c>
      <c r="J3214" s="31" t="s">
        <v>12168</v>
      </c>
      <c r="K3214" s="31" t="s">
        <v>300</v>
      </c>
      <c r="L3214" s="31" t="s">
        <v>56</v>
      </c>
      <c r="M3214" s="31">
        <v>544</v>
      </c>
      <c r="N3214" s="31">
        <v>2017</v>
      </c>
      <c r="O3214" s="31">
        <v>268</v>
      </c>
      <c r="P3214" s="31"/>
      <c r="Q3214" s="31"/>
      <c r="R3214" s="33"/>
      <c r="S3214" s="34" t="str">
        <f>HYPERLINK("http://www.cnpol.ru/covers/17741.jpg","фото на сайте")</f>
        <v>фото на сайте</v>
      </c>
    </row>
    <row r="3215" spans="1:19" ht="50.1" customHeight="1">
      <c r="A3215" s="31"/>
      <c r="B3215" s="32" t="s">
        <v>12169</v>
      </c>
      <c r="C3215" s="31" t="s">
        <v>302</v>
      </c>
      <c r="D3215" s="31" t="s">
        <v>5401</v>
      </c>
      <c r="E3215" s="31" t="s">
        <v>12167</v>
      </c>
      <c r="F3215" s="31" t="s">
        <v>31</v>
      </c>
      <c r="G3215" s="31">
        <v>917</v>
      </c>
      <c r="H3215" s="31">
        <v>10</v>
      </c>
      <c r="I3215" s="31">
        <v>10</v>
      </c>
      <c r="J3215" s="31" t="s">
        <v>12170</v>
      </c>
      <c r="K3215" s="31" t="s">
        <v>41</v>
      </c>
      <c r="L3215" s="31" t="s">
        <v>304</v>
      </c>
      <c r="M3215" s="31">
        <v>448</v>
      </c>
      <c r="N3215" s="31">
        <v>2015</v>
      </c>
      <c r="O3215" s="31">
        <v>550</v>
      </c>
      <c r="P3215" s="31"/>
      <c r="Q3215" s="31"/>
      <c r="R3215" s="33"/>
      <c r="S3215" s="34" t="str">
        <f>HYPERLINK("http://www.cnpol.ru/covers/16392.jpg","фото на сайте")</f>
        <v>фото на сайте</v>
      </c>
    </row>
    <row r="3216" spans="1:19" ht="50.1" customHeight="1">
      <c r="A3216" s="31"/>
      <c r="B3216" s="32" t="s">
        <v>12171</v>
      </c>
      <c r="C3216" s="31" t="s">
        <v>390</v>
      </c>
      <c r="D3216" s="31" t="s">
        <v>4374</v>
      </c>
      <c r="E3216" s="31" t="s">
        <v>12172</v>
      </c>
      <c r="F3216" s="31">
        <v>694</v>
      </c>
      <c r="G3216" s="31">
        <v>86</v>
      </c>
      <c r="H3216" s="31">
        <v>10</v>
      </c>
      <c r="I3216" s="31">
        <v>30</v>
      </c>
      <c r="J3216" s="31" t="s">
        <v>12173</v>
      </c>
      <c r="K3216" s="31" t="s">
        <v>123</v>
      </c>
      <c r="L3216" s="31" t="s">
        <v>56</v>
      </c>
      <c r="M3216" s="31">
        <v>160</v>
      </c>
      <c r="N3216" s="31">
        <v>2017</v>
      </c>
      <c r="O3216" s="31">
        <v>76</v>
      </c>
      <c r="P3216" s="31"/>
      <c r="Q3216" s="31"/>
      <c r="R3216" s="33"/>
      <c r="S3216" s="34" t="str">
        <f>HYPERLINK("http://www.cnpol.ru/covers/17325.jpg","фото на сайте")</f>
        <v>фото на сайте</v>
      </c>
    </row>
    <row r="3217" spans="1:19" ht="50.1" customHeight="1">
      <c r="A3217" s="31" t="s">
        <v>43</v>
      </c>
      <c r="B3217" s="32" t="s">
        <v>12174</v>
      </c>
      <c r="C3217" s="31" t="s">
        <v>143</v>
      </c>
      <c r="D3217" s="31" t="s">
        <v>144</v>
      </c>
      <c r="E3217" s="31" t="s">
        <v>12175</v>
      </c>
      <c r="F3217" s="31" t="s">
        <v>31</v>
      </c>
      <c r="G3217" s="31">
        <v>640</v>
      </c>
      <c r="H3217" s="31">
        <v>10</v>
      </c>
      <c r="I3217" s="31">
        <v>12</v>
      </c>
      <c r="J3217" s="31" t="s">
        <v>12176</v>
      </c>
      <c r="K3217" s="31" t="s">
        <v>33</v>
      </c>
      <c r="L3217" s="31" t="s">
        <v>34</v>
      </c>
      <c r="M3217" s="31">
        <v>223</v>
      </c>
      <c r="N3217" s="31">
        <v>2025</v>
      </c>
      <c r="O3217" s="31" t="s">
        <v>220</v>
      </c>
      <c r="P3217" s="31"/>
      <c r="Q3217" s="31"/>
      <c r="R3217" s="33" t="s">
        <v>12177</v>
      </c>
      <c r="S3217" s="34" t="str">
        <f>HYPERLINK("http://www.cnpol.ru/covers/21872.jpg","фото на сайте")</f>
        <v>фото на сайте</v>
      </c>
    </row>
    <row r="3218" spans="1:19" ht="50.1" customHeight="1">
      <c r="A3218" s="31"/>
      <c r="B3218" s="32" t="s">
        <v>12178</v>
      </c>
      <c r="C3218" s="31" t="s">
        <v>546</v>
      </c>
      <c r="D3218" s="31" t="s">
        <v>1698</v>
      </c>
      <c r="E3218" s="31" t="s">
        <v>12179</v>
      </c>
      <c r="F3218" s="31">
        <v>350</v>
      </c>
      <c r="G3218" s="31">
        <v>93</v>
      </c>
      <c r="H3218" s="31">
        <v>10</v>
      </c>
      <c r="I3218" s="31">
        <v>30</v>
      </c>
      <c r="J3218" s="31" t="s">
        <v>12180</v>
      </c>
      <c r="K3218" s="31" t="s">
        <v>123</v>
      </c>
      <c r="L3218" s="31" t="s">
        <v>56</v>
      </c>
      <c r="M3218" s="31">
        <v>160</v>
      </c>
      <c r="N3218" s="31">
        <v>2020</v>
      </c>
      <c r="O3218" s="31">
        <v>76</v>
      </c>
      <c r="P3218" s="31"/>
      <c r="Q3218" s="31"/>
      <c r="R3218" s="33"/>
      <c r="S3218" s="34" t="str">
        <f>HYPERLINK("http://www.cnpol.ru/covers/19181.jpg","фото на сайте")</f>
        <v>фото на сайте</v>
      </c>
    </row>
    <row r="3219" spans="1:19" ht="50.1" customHeight="1">
      <c r="A3219" s="31"/>
      <c r="B3219" s="32" t="s">
        <v>12181</v>
      </c>
      <c r="C3219" s="31" t="s">
        <v>390</v>
      </c>
      <c r="D3219" s="31" t="s">
        <v>4657</v>
      </c>
      <c r="E3219" s="31" t="s">
        <v>12182</v>
      </c>
      <c r="F3219" s="31">
        <v>940</v>
      </c>
      <c r="G3219" s="31">
        <v>86</v>
      </c>
      <c r="H3219" s="31">
        <v>10</v>
      </c>
      <c r="I3219" s="31">
        <v>30</v>
      </c>
      <c r="J3219" s="31" t="s">
        <v>12183</v>
      </c>
      <c r="K3219" s="31" t="s">
        <v>123</v>
      </c>
      <c r="L3219" s="31" t="s">
        <v>56</v>
      </c>
      <c r="M3219" s="31">
        <v>160</v>
      </c>
      <c r="N3219" s="31">
        <v>2019</v>
      </c>
      <c r="O3219" s="31">
        <v>76</v>
      </c>
      <c r="P3219" s="31"/>
      <c r="Q3219" s="31"/>
      <c r="R3219" s="33"/>
      <c r="S3219" s="34" t="str">
        <f>HYPERLINK("http://www.cnpol.ru/covers/18938.jpg","фото на сайте")</f>
        <v>фото на сайте</v>
      </c>
    </row>
    <row r="3220" spans="1:19" ht="50.1" customHeight="1">
      <c r="A3220" s="31"/>
      <c r="B3220" s="32" t="s">
        <v>12184</v>
      </c>
      <c r="C3220" s="31" t="s">
        <v>6252</v>
      </c>
      <c r="D3220" s="31" t="s">
        <v>12185</v>
      </c>
      <c r="E3220" s="31" t="s">
        <v>12186</v>
      </c>
      <c r="F3220" s="31">
        <v>1</v>
      </c>
      <c r="G3220" s="35">
        <v>9569</v>
      </c>
      <c r="H3220" s="31">
        <v>10</v>
      </c>
      <c r="I3220" s="31">
        <v>2</v>
      </c>
      <c r="J3220" s="31" t="s">
        <v>12187</v>
      </c>
      <c r="K3220" s="31" t="s">
        <v>319</v>
      </c>
      <c r="L3220" s="31" t="s">
        <v>34</v>
      </c>
      <c r="M3220" s="31">
        <v>406</v>
      </c>
      <c r="N3220" s="31">
        <v>2004</v>
      </c>
      <c r="O3220" s="31">
        <v>1245</v>
      </c>
      <c r="P3220" s="31"/>
      <c r="Q3220" s="31"/>
      <c r="R3220" s="33"/>
      <c r="S3220" s="34" t="str">
        <f>HYPERLINK("http://www.cnpol.ru/covers/4822.jpg","фото на сайте")</f>
        <v>фото на сайте</v>
      </c>
    </row>
    <row r="3221" spans="1:19" ht="50.1" customHeight="1">
      <c r="A3221" s="31"/>
      <c r="B3221" s="32" t="s">
        <v>12188</v>
      </c>
      <c r="C3221" s="31" t="s">
        <v>6252</v>
      </c>
      <c r="D3221" s="31" t="s">
        <v>12185</v>
      </c>
      <c r="E3221" s="31" t="s">
        <v>12189</v>
      </c>
      <c r="F3221" s="31">
        <v>2</v>
      </c>
      <c r="G3221" s="35">
        <v>9569</v>
      </c>
      <c r="H3221" s="31">
        <v>10</v>
      </c>
      <c r="I3221" s="31">
        <v>2</v>
      </c>
      <c r="J3221" s="31" t="s">
        <v>12190</v>
      </c>
      <c r="K3221" s="31" t="s">
        <v>319</v>
      </c>
      <c r="L3221" s="31" t="s">
        <v>34</v>
      </c>
      <c r="M3221" s="31">
        <v>403</v>
      </c>
      <c r="N3221" s="31">
        <v>2004</v>
      </c>
      <c r="O3221" s="31">
        <v>1255</v>
      </c>
      <c r="P3221" s="31"/>
      <c r="Q3221" s="31"/>
      <c r="R3221" s="33"/>
      <c r="S3221" s="34" t="str">
        <f>HYPERLINK("http://www.cnpol.ru/covers/4823.jpg","фото на сайте")</f>
        <v>фото на сайте</v>
      </c>
    </row>
    <row r="3222" spans="1:19" ht="50.1" customHeight="1">
      <c r="A3222" s="31"/>
      <c r="B3222" s="32" t="s">
        <v>12191</v>
      </c>
      <c r="C3222" s="31" t="s">
        <v>1611</v>
      </c>
      <c r="D3222" s="31" t="s">
        <v>12192</v>
      </c>
      <c r="E3222" s="31" t="s">
        <v>12193</v>
      </c>
      <c r="F3222" s="31" t="s">
        <v>31</v>
      </c>
      <c r="G3222" s="31">
        <v>693</v>
      </c>
      <c r="H3222" s="31">
        <v>10</v>
      </c>
      <c r="I3222" s="31">
        <v>10</v>
      </c>
      <c r="J3222" s="31" t="s">
        <v>12194</v>
      </c>
      <c r="K3222" s="31" t="s">
        <v>33</v>
      </c>
      <c r="L3222" s="31" t="s">
        <v>34</v>
      </c>
      <c r="M3222" s="31">
        <v>542</v>
      </c>
      <c r="N3222" s="31">
        <v>2014</v>
      </c>
      <c r="O3222" s="31">
        <v>502</v>
      </c>
      <c r="P3222" s="31"/>
      <c r="Q3222" s="31"/>
      <c r="R3222" s="33"/>
      <c r="S3222" s="34" t="str">
        <f>HYPERLINK("http://www.cnpol.ru/covers/14764.jpg","фото на сайте")</f>
        <v>фото на сайте</v>
      </c>
    </row>
    <row r="3223" spans="1:19" ht="50.1" customHeight="1">
      <c r="A3223" s="31"/>
      <c r="B3223" s="32" t="s">
        <v>12195</v>
      </c>
      <c r="C3223" s="31" t="s">
        <v>413</v>
      </c>
      <c r="D3223" s="31" t="s">
        <v>2094</v>
      </c>
      <c r="E3223" s="31" t="s">
        <v>12196</v>
      </c>
      <c r="F3223" s="31">
        <v>33</v>
      </c>
      <c r="G3223" s="31">
        <v>117</v>
      </c>
      <c r="H3223" s="31">
        <v>10</v>
      </c>
      <c r="I3223" s="31">
        <v>36</v>
      </c>
      <c r="J3223" s="31" t="s">
        <v>12197</v>
      </c>
      <c r="K3223" s="31" t="s">
        <v>123</v>
      </c>
      <c r="L3223" s="31" t="s">
        <v>56</v>
      </c>
      <c r="M3223" s="31">
        <v>190</v>
      </c>
      <c r="N3223" s="31">
        <v>2014</v>
      </c>
      <c r="O3223" s="31">
        <v>90</v>
      </c>
      <c r="P3223" s="31"/>
      <c r="Q3223" s="31"/>
      <c r="R3223" s="33"/>
      <c r="S3223" s="34" t="str">
        <f>HYPERLINK("http://www.cnpol.ru/covers/15621.jpg","фото на сайте")</f>
        <v>фото на сайте</v>
      </c>
    </row>
    <row r="3224" spans="1:19" ht="50.1" customHeight="1">
      <c r="A3224" s="31" t="s">
        <v>35</v>
      </c>
      <c r="B3224" s="32" t="s">
        <v>12198</v>
      </c>
      <c r="C3224" s="31" t="s">
        <v>6074</v>
      </c>
      <c r="D3224" s="31" t="s">
        <v>5169</v>
      </c>
      <c r="E3224" s="31" t="s">
        <v>12199</v>
      </c>
      <c r="F3224" s="31" t="s">
        <v>31</v>
      </c>
      <c r="G3224" s="31">
        <v>258</v>
      </c>
      <c r="H3224" s="31">
        <v>10</v>
      </c>
      <c r="I3224" s="31">
        <v>16</v>
      </c>
      <c r="J3224" s="31" t="s">
        <v>12200</v>
      </c>
      <c r="K3224" s="31" t="s">
        <v>130</v>
      </c>
      <c r="L3224" s="31" t="s">
        <v>56</v>
      </c>
      <c r="M3224" s="31">
        <v>191</v>
      </c>
      <c r="N3224" s="31">
        <v>2024</v>
      </c>
      <c r="O3224" s="31">
        <v>116</v>
      </c>
      <c r="P3224" s="31"/>
      <c r="Q3224" s="31"/>
      <c r="R3224" s="33" t="s">
        <v>12201</v>
      </c>
      <c r="S3224" s="34" t="str">
        <f>HYPERLINK("http://www.cnpol.ru/covers/21445.jpg","фото на сайте")</f>
        <v>фото на сайте</v>
      </c>
    </row>
    <row r="3225" spans="1:19" ht="50.1" customHeight="1">
      <c r="A3225" s="31"/>
      <c r="B3225" s="32" t="s">
        <v>12202</v>
      </c>
      <c r="C3225" s="31" t="s">
        <v>956</v>
      </c>
      <c r="D3225" s="31" t="s">
        <v>1943</v>
      </c>
      <c r="E3225" s="31" t="s">
        <v>12203</v>
      </c>
      <c r="F3225" s="31" t="s">
        <v>31</v>
      </c>
      <c r="G3225" s="31">
        <v>425</v>
      </c>
      <c r="H3225" s="31">
        <v>10</v>
      </c>
      <c r="I3225" s="31">
        <v>14</v>
      </c>
      <c r="J3225" s="31" t="s">
        <v>12204</v>
      </c>
      <c r="K3225" s="31" t="s">
        <v>33</v>
      </c>
      <c r="L3225" s="31" t="s">
        <v>34</v>
      </c>
      <c r="M3225" s="31">
        <v>350</v>
      </c>
      <c r="N3225" s="31">
        <v>2011</v>
      </c>
      <c r="O3225" s="31">
        <v>340</v>
      </c>
      <c r="P3225" s="31"/>
      <c r="Q3225" s="31"/>
      <c r="R3225" s="33"/>
      <c r="S3225" s="34" t="str">
        <f>HYPERLINK("http://www.cnpol.ru/covers/12458.jpg","фото на сайте")</f>
        <v>фото на сайте</v>
      </c>
    </row>
    <row r="3226" spans="1:19" ht="50.1" customHeight="1">
      <c r="A3226" s="31"/>
      <c r="B3226" s="32" t="s">
        <v>12205</v>
      </c>
      <c r="C3226" s="31" t="s">
        <v>390</v>
      </c>
      <c r="D3226" s="31" t="s">
        <v>2511</v>
      </c>
      <c r="E3226" s="31" t="s">
        <v>12206</v>
      </c>
      <c r="F3226" s="31">
        <v>623</v>
      </c>
      <c r="G3226" s="31">
        <v>86</v>
      </c>
      <c r="H3226" s="31">
        <v>10</v>
      </c>
      <c r="I3226" s="31">
        <v>30</v>
      </c>
      <c r="J3226" s="31" t="s">
        <v>12207</v>
      </c>
      <c r="K3226" s="31" t="s">
        <v>123</v>
      </c>
      <c r="L3226" s="31" t="s">
        <v>56</v>
      </c>
      <c r="M3226" s="31">
        <v>160</v>
      </c>
      <c r="N3226" s="31">
        <v>2016</v>
      </c>
      <c r="O3226" s="31">
        <v>76</v>
      </c>
      <c r="P3226" s="31"/>
      <c r="Q3226" s="31"/>
      <c r="R3226" s="33"/>
      <c r="S3226" s="34" t="str">
        <f>HYPERLINK("http://www.cnpol.ru/covers/16793.jpg","фото на сайте")</f>
        <v>фото на сайте</v>
      </c>
    </row>
    <row r="3227" spans="1:19" ht="50.1" customHeight="1">
      <c r="A3227" s="31"/>
      <c r="B3227" s="32" t="s">
        <v>12208</v>
      </c>
      <c r="C3227" s="31" t="s">
        <v>390</v>
      </c>
      <c r="D3227" s="31" t="s">
        <v>1741</v>
      </c>
      <c r="E3227" s="31" t="s">
        <v>12209</v>
      </c>
      <c r="F3227" s="31">
        <v>1155</v>
      </c>
      <c r="G3227" s="31">
        <v>86</v>
      </c>
      <c r="H3227" s="31">
        <v>10</v>
      </c>
      <c r="I3227" s="31">
        <v>30</v>
      </c>
      <c r="J3227" s="31" t="s">
        <v>12210</v>
      </c>
      <c r="K3227" s="31" t="s">
        <v>123</v>
      </c>
      <c r="L3227" s="31" t="s">
        <v>56</v>
      </c>
      <c r="M3227" s="31">
        <v>159</v>
      </c>
      <c r="N3227" s="31">
        <v>2023</v>
      </c>
      <c r="O3227" s="31">
        <v>76</v>
      </c>
      <c r="P3227" s="31"/>
      <c r="Q3227" s="31"/>
      <c r="R3227" s="33" t="s">
        <v>12211</v>
      </c>
      <c r="S3227" s="34" t="str">
        <f>HYPERLINK("http://www.cnpol.ru/covers/20851.jpg","фото на сайте")</f>
        <v>фото на сайте</v>
      </c>
    </row>
    <row r="3228" spans="1:19" ht="50.1" customHeight="1">
      <c r="A3228" s="31"/>
      <c r="B3228" s="32" t="s">
        <v>12212</v>
      </c>
      <c r="C3228" s="31" t="s">
        <v>297</v>
      </c>
      <c r="D3228" s="31" t="s">
        <v>1096</v>
      </c>
      <c r="E3228" s="31" t="s">
        <v>12213</v>
      </c>
      <c r="F3228" s="31" t="s">
        <v>31</v>
      </c>
      <c r="G3228" s="31">
        <v>300</v>
      </c>
      <c r="H3228" s="31">
        <v>10</v>
      </c>
      <c r="I3228" s="31">
        <v>16</v>
      </c>
      <c r="J3228" s="31" t="s">
        <v>12214</v>
      </c>
      <c r="K3228" s="31" t="s">
        <v>300</v>
      </c>
      <c r="L3228" s="31" t="s">
        <v>56</v>
      </c>
      <c r="M3228" s="31">
        <v>416</v>
      </c>
      <c r="N3228" s="31">
        <v>2017</v>
      </c>
      <c r="O3228" s="31">
        <v>204</v>
      </c>
      <c r="P3228" s="31"/>
      <c r="Q3228" s="31"/>
      <c r="R3228" s="33"/>
      <c r="S3228" s="34" t="str">
        <f>HYPERLINK("http://www.cnpol.ru/covers/17572.jpg","фото на сайте")</f>
        <v>фото на сайте</v>
      </c>
    </row>
    <row r="3229" spans="1:19" ht="50.1" customHeight="1">
      <c r="A3229" s="31"/>
      <c r="B3229" s="32" t="s">
        <v>12215</v>
      </c>
      <c r="C3229" s="31" t="s">
        <v>8326</v>
      </c>
      <c r="D3229" s="31" t="s">
        <v>12216</v>
      </c>
      <c r="E3229" s="31" t="s">
        <v>12217</v>
      </c>
      <c r="F3229" s="31" t="s">
        <v>31</v>
      </c>
      <c r="G3229" s="31">
        <v>522</v>
      </c>
      <c r="H3229" s="31">
        <v>10</v>
      </c>
      <c r="I3229" s="31">
        <v>20</v>
      </c>
      <c r="J3229" s="31" t="s">
        <v>12218</v>
      </c>
      <c r="K3229" s="31" t="s">
        <v>33</v>
      </c>
      <c r="L3229" s="31" t="s">
        <v>34</v>
      </c>
      <c r="M3229" s="31">
        <v>253</v>
      </c>
      <c r="N3229" s="31">
        <v>2013</v>
      </c>
      <c r="O3229" s="31">
        <v>312</v>
      </c>
      <c r="P3229" s="31"/>
      <c r="Q3229" s="31"/>
      <c r="R3229" s="33"/>
      <c r="S3229" s="34" t="str">
        <f>HYPERLINK("http://www.cnpol.ru/covers/14596.jpg","фото на сайте")</f>
        <v>фото на сайте</v>
      </c>
    </row>
    <row r="3230" spans="1:19" ht="50.1" customHeight="1">
      <c r="A3230" s="31"/>
      <c r="B3230" s="32" t="s">
        <v>12219</v>
      </c>
      <c r="C3230" s="31" t="s">
        <v>390</v>
      </c>
      <c r="D3230" s="31" t="s">
        <v>1347</v>
      </c>
      <c r="E3230" s="31" t="s">
        <v>12220</v>
      </c>
      <c r="F3230" s="31">
        <v>866</v>
      </c>
      <c r="G3230" s="31">
        <v>86</v>
      </c>
      <c r="H3230" s="31">
        <v>10</v>
      </c>
      <c r="I3230" s="31">
        <v>30</v>
      </c>
      <c r="J3230" s="31" t="s">
        <v>12221</v>
      </c>
      <c r="K3230" s="31" t="s">
        <v>123</v>
      </c>
      <c r="L3230" s="31" t="s">
        <v>56</v>
      </c>
      <c r="M3230" s="31">
        <v>160</v>
      </c>
      <c r="N3230" s="31">
        <v>2019</v>
      </c>
      <c r="O3230" s="31">
        <v>76</v>
      </c>
      <c r="P3230" s="31"/>
      <c r="Q3230" s="31"/>
      <c r="R3230" s="33"/>
      <c r="S3230" s="34" t="str">
        <f>HYPERLINK("http://www.cnpol.ru/covers/18498.jpg","фото на сайте")</f>
        <v>фото на сайте</v>
      </c>
    </row>
    <row r="3231" spans="1:19" ht="50.1" customHeight="1">
      <c r="A3231" s="31"/>
      <c r="B3231" s="32" t="s">
        <v>12222</v>
      </c>
      <c r="C3231" s="31" t="s">
        <v>413</v>
      </c>
      <c r="D3231" s="31" t="s">
        <v>814</v>
      </c>
      <c r="E3231" s="31" t="s">
        <v>12223</v>
      </c>
      <c r="F3231" s="31">
        <v>127</v>
      </c>
      <c r="G3231" s="31">
        <v>117</v>
      </c>
      <c r="H3231" s="31">
        <v>10</v>
      </c>
      <c r="I3231" s="31">
        <v>36</v>
      </c>
      <c r="J3231" s="31" t="s">
        <v>12224</v>
      </c>
      <c r="K3231" s="31" t="s">
        <v>123</v>
      </c>
      <c r="L3231" s="31" t="s">
        <v>56</v>
      </c>
      <c r="M3231" s="31">
        <v>192</v>
      </c>
      <c r="N3231" s="31">
        <v>2016</v>
      </c>
      <c r="O3231" s="31">
        <v>90</v>
      </c>
      <c r="P3231" s="31"/>
      <c r="Q3231" s="31"/>
      <c r="R3231" s="33"/>
      <c r="S3231" s="34" t="str">
        <f>HYPERLINK("http://www.cnpol.ru/covers/17092.jpg","фото на сайте")</f>
        <v>фото на сайте</v>
      </c>
    </row>
    <row r="3232" spans="1:19" ht="50.1" customHeight="1">
      <c r="A3232" s="31"/>
      <c r="B3232" s="32" t="s">
        <v>12225</v>
      </c>
      <c r="C3232" s="31" t="s">
        <v>132</v>
      </c>
      <c r="D3232" s="31" t="s">
        <v>8761</v>
      </c>
      <c r="E3232" s="31" t="s">
        <v>12226</v>
      </c>
      <c r="F3232" s="31" t="s">
        <v>31</v>
      </c>
      <c r="G3232" s="31">
        <v>415</v>
      </c>
      <c r="H3232" s="31">
        <v>10</v>
      </c>
      <c r="I3232" s="31">
        <v>25</v>
      </c>
      <c r="J3232" s="31" t="s">
        <v>12227</v>
      </c>
      <c r="K3232" s="31" t="s">
        <v>3186</v>
      </c>
      <c r="L3232" s="31" t="s">
        <v>34</v>
      </c>
      <c r="M3232" s="31">
        <v>43</v>
      </c>
      <c r="N3232" s="31">
        <v>2008</v>
      </c>
      <c r="O3232" s="31">
        <v>110</v>
      </c>
      <c r="P3232" s="31"/>
      <c r="Q3232" s="31"/>
      <c r="R3232" s="33"/>
      <c r="S3232" s="34" t="str">
        <f>HYPERLINK("http://www.cnpol.ru/covers/15.jpg","фото на сайте")</f>
        <v>фото на сайте</v>
      </c>
    </row>
    <row r="3233" spans="1:19" ht="50.1" customHeight="1">
      <c r="A3233" s="31"/>
      <c r="B3233" s="32" t="s">
        <v>12228</v>
      </c>
      <c r="C3233" s="31" t="s">
        <v>132</v>
      </c>
      <c r="D3233" s="31" t="s">
        <v>8761</v>
      </c>
      <c r="E3233" s="31" t="s">
        <v>12229</v>
      </c>
      <c r="F3233" s="31" t="s">
        <v>31</v>
      </c>
      <c r="G3233" s="31">
        <v>461</v>
      </c>
      <c r="H3233" s="31">
        <v>10</v>
      </c>
      <c r="I3233" s="31">
        <v>25</v>
      </c>
      <c r="J3233" s="31" t="s">
        <v>12230</v>
      </c>
      <c r="K3233" s="31" t="s">
        <v>3186</v>
      </c>
      <c r="L3233" s="31" t="s">
        <v>34</v>
      </c>
      <c r="M3233" s="31">
        <v>43</v>
      </c>
      <c r="N3233" s="31">
        <v>2008</v>
      </c>
      <c r="O3233" s="31">
        <v>110</v>
      </c>
      <c r="P3233" s="31"/>
      <c r="Q3233" s="31"/>
      <c r="R3233" s="33"/>
      <c r="S3233" s="34" t="str">
        <f>HYPERLINK("http://www.cnpol.ru/covers/6796.jpg","фото на сайте")</f>
        <v>фото на сайте</v>
      </c>
    </row>
    <row r="3234" spans="1:19" ht="50.1" customHeight="1">
      <c r="A3234" s="31"/>
      <c r="B3234" s="32" t="s">
        <v>12231</v>
      </c>
      <c r="C3234" s="31" t="s">
        <v>390</v>
      </c>
      <c r="D3234" s="31" t="s">
        <v>4130</v>
      </c>
      <c r="E3234" s="31" t="s">
        <v>12232</v>
      </c>
      <c r="F3234" s="31">
        <v>794</v>
      </c>
      <c r="G3234" s="31">
        <v>86</v>
      </c>
      <c r="H3234" s="31">
        <v>10</v>
      </c>
      <c r="I3234" s="31">
        <v>30</v>
      </c>
      <c r="J3234" s="31" t="s">
        <v>12233</v>
      </c>
      <c r="K3234" s="31" t="s">
        <v>123</v>
      </c>
      <c r="L3234" s="31" t="s">
        <v>56</v>
      </c>
      <c r="M3234" s="31">
        <v>160</v>
      </c>
      <c r="N3234" s="31">
        <v>2018</v>
      </c>
      <c r="O3234" s="31">
        <v>76</v>
      </c>
      <c r="P3234" s="31"/>
      <c r="Q3234" s="31"/>
      <c r="R3234" s="33"/>
      <c r="S3234" s="34" t="str">
        <f>HYPERLINK("http://www.cnpol.ru/covers/17999.jpg","фото на сайте")</f>
        <v>фото на сайте</v>
      </c>
    </row>
    <row r="3235" spans="1:19" ht="50.1" customHeight="1">
      <c r="A3235" s="31"/>
      <c r="B3235" s="32" t="s">
        <v>12234</v>
      </c>
      <c r="C3235" s="31" t="s">
        <v>3429</v>
      </c>
      <c r="D3235" s="31" t="s">
        <v>3430</v>
      </c>
      <c r="E3235" s="31" t="s">
        <v>12235</v>
      </c>
      <c r="F3235" s="31" t="s">
        <v>31</v>
      </c>
      <c r="G3235" s="31">
        <v>105</v>
      </c>
      <c r="H3235" s="31">
        <v>10</v>
      </c>
      <c r="I3235" s="31">
        <v>30</v>
      </c>
      <c r="J3235" s="31" t="s">
        <v>12236</v>
      </c>
      <c r="K3235" s="31" t="s">
        <v>130</v>
      </c>
      <c r="L3235" s="31" t="s">
        <v>56</v>
      </c>
      <c r="M3235" s="31">
        <v>223</v>
      </c>
      <c r="N3235" s="31">
        <v>2001</v>
      </c>
      <c r="O3235" s="31">
        <v>132</v>
      </c>
      <c r="P3235" s="31"/>
      <c r="Q3235" s="31"/>
      <c r="R3235" s="33"/>
      <c r="S3235" s="34" t="str">
        <f>HYPERLINK("http://www.cnpol.ru/covers/2718.jpg","фото на сайте")</f>
        <v>фото на сайте</v>
      </c>
    </row>
    <row r="3236" spans="1:19" ht="50.1" customHeight="1">
      <c r="A3236" s="31"/>
      <c r="B3236" s="32" t="s">
        <v>12237</v>
      </c>
      <c r="C3236" s="31" t="s">
        <v>390</v>
      </c>
      <c r="D3236" s="31" t="s">
        <v>1638</v>
      </c>
      <c r="E3236" s="31" t="s">
        <v>12238</v>
      </c>
      <c r="F3236" s="31">
        <v>382</v>
      </c>
      <c r="G3236" s="31">
        <v>86</v>
      </c>
      <c r="H3236" s="31">
        <v>10</v>
      </c>
      <c r="I3236" s="31">
        <v>30</v>
      </c>
      <c r="J3236" s="31" t="s">
        <v>12239</v>
      </c>
      <c r="K3236" s="31" t="s">
        <v>123</v>
      </c>
      <c r="L3236" s="31" t="s">
        <v>56</v>
      </c>
      <c r="M3236" s="31">
        <v>158</v>
      </c>
      <c r="N3236" s="31">
        <v>2013</v>
      </c>
      <c r="O3236" s="31">
        <v>78</v>
      </c>
      <c r="P3236" s="31"/>
      <c r="Q3236" s="31"/>
      <c r="R3236" s="33"/>
      <c r="S3236" s="34" t="str">
        <f>HYPERLINK("http://www.cnpol.ru/covers/14850.jpg","фото на сайте")</f>
        <v>фото на сайте</v>
      </c>
    </row>
    <row r="3237" spans="1:19" ht="50.1" customHeight="1">
      <c r="A3237" s="31"/>
      <c r="B3237" s="32" t="s">
        <v>12240</v>
      </c>
      <c r="C3237" s="31" t="s">
        <v>400</v>
      </c>
      <c r="D3237" s="31" t="s">
        <v>12241</v>
      </c>
      <c r="E3237" s="31" t="s">
        <v>12242</v>
      </c>
      <c r="F3237" s="31" t="s">
        <v>31</v>
      </c>
      <c r="G3237" s="31">
        <v>503</v>
      </c>
      <c r="H3237" s="31">
        <v>10</v>
      </c>
      <c r="I3237" s="31">
        <v>14</v>
      </c>
      <c r="J3237" s="31" t="s">
        <v>12243</v>
      </c>
      <c r="K3237" s="31" t="s">
        <v>33</v>
      </c>
      <c r="L3237" s="31" t="s">
        <v>34</v>
      </c>
      <c r="M3237" s="31">
        <v>288</v>
      </c>
      <c r="N3237" s="31">
        <v>2018</v>
      </c>
      <c r="O3237" s="31">
        <v>252</v>
      </c>
      <c r="P3237" s="31"/>
      <c r="Q3237" s="31"/>
      <c r="R3237" s="33"/>
      <c r="S3237" s="34" t="str">
        <f>HYPERLINK("http://www.cnpol.ru/covers/18436.jpg","фото на сайте")</f>
        <v>фото на сайте</v>
      </c>
    </row>
    <row r="3238" spans="1:19" ht="50.1" customHeight="1">
      <c r="A3238" s="31"/>
      <c r="B3238" s="32" t="s">
        <v>12244</v>
      </c>
      <c r="C3238" s="31" t="s">
        <v>1623</v>
      </c>
      <c r="D3238" s="31" t="s">
        <v>7007</v>
      </c>
      <c r="E3238" s="31" t="s">
        <v>12245</v>
      </c>
      <c r="F3238" s="31" t="s">
        <v>31</v>
      </c>
      <c r="G3238" s="31">
        <v>169</v>
      </c>
      <c r="H3238" s="31">
        <v>10</v>
      </c>
      <c r="I3238" s="31">
        <v>48</v>
      </c>
      <c r="J3238" s="31" t="s">
        <v>12246</v>
      </c>
      <c r="K3238" s="31" t="s">
        <v>55</v>
      </c>
      <c r="L3238" s="31" t="s">
        <v>56</v>
      </c>
      <c r="M3238" s="31">
        <v>320</v>
      </c>
      <c r="N3238" s="31">
        <v>2020</v>
      </c>
      <c r="O3238" s="31">
        <v>136</v>
      </c>
      <c r="P3238" s="31"/>
      <c r="Q3238" s="31"/>
      <c r="R3238" s="33"/>
      <c r="S3238" s="34" t="str">
        <f>HYPERLINK("http://www.cnpol.ru/covers/19342.jpg","фото на сайте")</f>
        <v>фото на сайте</v>
      </c>
    </row>
    <row r="3239" spans="1:19" ht="50.1" customHeight="1">
      <c r="A3239" s="31"/>
      <c r="B3239" s="32" t="s">
        <v>12247</v>
      </c>
      <c r="C3239" s="31" t="s">
        <v>297</v>
      </c>
      <c r="D3239" s="31" t="s">
        <v>12248</v>
      </c>
      <c r="E3239" s="31" t="s">
        <v>12249</v>
      </c>
      <c r="F3239" s="31" t="s">
        <v>31</v>
      </c>
      <c r="G3239" s="31">
        <v>300</v>
      </c>
      <c r="H3239" s="31">
        <v>10</v>
      </c>
      <c r="I3239" s="31">
        <v>16</v>
      </c>
      <c r="J3239" s="31" t="s">
        <v>12250</v>
      </c>
      <c r="K3239" s="31" t="s">
        <v>300</v>
      </c>
      <c r="L3239" s="31" t="s">
        <v>56</v>
      </c>
      <c r="M3239" s="31">
        <v>416</v>
      </c>
      <c r="N3239" s="31">
        <v>2017</v>
      </c>
      <c r="O3239" s="31">
        <v>206</v>
      </c>
      <c r="P3239" s="31"/>
      <c r="Q3239" s="31"/>
      <c r="R3239" s="33"/>
      <c r="S3239" s="34" t="str">
        <f>HYPERLINK("http://www.cnpol.ru/covers/17551.jpg","фото на сайте")</f>
        <v>фото на сайте</v>
      </c>
    </row>
    <row r="3240" spans="1:19" ht="50.1" customHeight="1">
      <c r="A3240" s="31"/>
      <c r="B3240" s="32" t="s">
        <v>12251</v>
      </c>
      <c r="C3240" s="31" t="s">
        <v>302</v>
      </c>
      <c r="D3240" s="31" t="s">
        <v>12248</v>
      </c>
      <c r="E3240" s="31" t="s">
        <v>12249</v>
      </c>
      <c r="F3240" s="31" t="s">
        <v>31</v>
      </c>
      <c r="G3240" s="31">
        <v>917</v>
      </c>
      <c r="H3240" s="31">
        <v>10</v>
      </c>
      <c r="I3240" s="31">
        <v>10</v>
      </c>
      <c r="J3240" s="31" t="s">
        <v>12252</v>
      </c>
      <c r="K3240" s="31" t="s">
        <v>41</v>
      </c>
      <c r="L3240" s="31" t="s">
        <v>304</v>
      </c>
      <c r="M3240" s="31">
        <v>478</v>
      </c>
      <c r="N3240" s="31">
        <v>2014</v>
      </c>
      <c r="O3240" s="31">
        <v>622</v>
      </c>
      <c r="P3240" s="31"/>
      <c r="Q3240" s="31"/>
      <c r="R3240" s="33"/>
      <c r="S3240" s="34" t="str">
        <f>HYPERLINK("http://www.cnpol.ru/covers/15091.jpg","фото на сайте")</f>
        <v>фото на сайте</v>
      </c>
    </row>
    <row r="3241" spans="1:19" ht="50.1" customHeight="1">
      <c r="A3241" s="31"/>
      <c r="B3241" s="32" t="s">
        <v>12253</v>
      </c>
      <c r="C3241" s="31" t="s">
        <v>390</v>
      </c>
      <c r="D3241" s="31" t="s">
        <v>1801</v>
      </c>
      <c r="E3241" s="31" t="s">
        <v>12254</v>
      </c>
      <c r="F3241" s="31">
        <v>944</v>
      </c>
      <c r="G3241" s="31">
        <v>86</v>
      </c>
      <c r="H3241" s="31">
        <v>10</v>
      </c>
      <c r="I3241" s="31">
        <v>30</v>
      </c>
      <c r="J3241" s="31" t="s">
        <v>12255</v>
      </c>
      <c r="K3241" s="31" t="s">
        <v>123</v>
      </c>
      <c r="L3241" s="31" t="s">
        <v>56</v>
      </c>
      <c r="M3241" s="31">
        <v>160</v>
      </c>
      <c r="N3241" s="31">
        <v>2019</v>
      </c>
      <c r="O3241" s="31">
        <v>76</v>
      </c>
      <c r="P3241" s="31"/>
      <c r="Q3241" s="31"/>
      <c r="R3241" s="33"/>
      <c r="S3241" s="34" t="str">
        <f>HYPERLINK("http://www.cnpol.ru/covers/18961.jpg","фото на сайте")</f>
        <v>фото на сайте</v>
      </c>
    </row>
    <row r="3242" spans="1:19" ht="50.1" customHeight="1">
      <c r="A3242" s="31"/>
      <c r="B3242" s="32" t="s">
        <v>12256</v>
      </c>
      <c r="C3242" s="31" t="s">
        <v>28</v>
      </c>
      <c r="D3242" s="31" t="s">
        <v>3298</v>
      </c>
      <c r="E3242" s="31" t="s">
        <v>12257</v>
      </c>
      <c r="F3242" s="31" t="s">
        <v>31</v>
      </c>
      <c r="G3242" s="31">
        <v>773</v>
      </c>
      <c r="H3242" s="31">
        <v>10</v>
      </c>
      <c r="I3242" s="31">
        <v>14</v>
      </c>
      <c r="J3242" s="31" t="s">
        <v>12258</v>
      </c>
      <c r="K3242" s="31" t="s">
        <v>41</v>
      </c>
      <c r="L3242" s="31" t="s">
        <v>34</v>
      </c>
      <c r="M3242" s="31">
        <v>352</v>
      </c>
      <c r="N3242" s="31">
        <v>2014</v>
      </c>
      <c r="O3242" s="31">
        <v>440</v>
      </c>
      <c r="P3242" s="31"/>
      <c r="Q3242" s="31"/>
      <c r="R3242" s="33"/>
      <c r="S3242" s="34" t="str">
        <f>HYPERLINK("http://www.cnpol.ru/covers/14843.jpg","фото на сайте")</f>
        <v>фото на сайте</v>
      </c>
    </row>
    <row r="3243" spans="1:19" ht="50.1" customHeight="1">
      <c r="A3243" s="31"/>
      <c r="B3243" s="32" t="s">
        <v>12259</v>
      </c>
      <c r="C3243" s="31" t="s">
        <v>3969</v>
      </c>
      <c r="D3243" s="31" t="s">
        <v>3970</v>
      </c>
      <c r="E3243" s="31" t="s">
        <v>12260</v>
      </c>
      <c r="F3243" s="31" t="s">
        <v>31</v>
      </c>
      <c r="G3243" s="31">
        <v>32</v>
      </c>
      <c r="H3243" s="31">
        <v>10</v>
      </c>
      <c r="I3243" s="31">
        <v>40</v>
      </c>
      <c r="J3243" s="31">
        <v>2000069620018</v>
      </c>
      <c r="K3243" s="31" t="s">
        <v>260</v>
      </c>
      <c r="L3243" s="31" t="s">
        <v>56</v>
      </c>
      <c r="M3243" s="31" t="s">
        <v>431</v>
      </c>
      <c r="N3243" s="31" t="s">
        <v>431</v>
      </c>
      <c r="O3243" s="31" t="s">
        <v>220</v>
      </c>
      <c r="P3243" s="31"/>
      <c r="Q3243" s="31"/>
      <c r="R3243" s="33"/>
      <c r="S3243" s="34" t="str">
        <f>HYPERLINK("http://www.cnpol.ru/covers/6691.jpg","фото на сайте")</f>
        <v>фото на сайте</v>
      </c>
    </row>
    <row r="3244" spans="1:19" ht="50.1" customHeight="1">
      <c r="A3244" s="31"/>
      <c r="B3244" s="32" t="s">
        <v>12261</v>
      </c>
      <c r="C3244" s="31" t="s">
        <v>3969</v>
      </c>
      <c r="D3244" s="31" t="s">
        <v>3970</v>
      </c>
      <c r="E3244" s="31" t="s">
        <v>12262</v>
      </c>
      <c r="F3244" s="31" t="s">
        <v>31</v>
      </c>
      <c r="G3244" s="31">
        <v>32</v>
      </c>
      <c r="H3244" s="31">
        <v>10</v>
      </c>
      <c r="I3244" s="31">
        <v>40</v>
      </c>
      <c r="J3244" s="31">
        <v>2000069630017</v>
      </c>
      <c r="K3244" s="31" t="s">
        <v>260</v>
      </c>
      <c r="L3244" s="31" t="s">
        <v>56</v>
      </c>
      <c r="M3244" s="31" t="s">
        <v>431</v>
      </c>
      <c r="N3244" s="31" t="s">
        <v>431</v>
      </c>
      <c r="O3244" s="31" t="s">
        <v>220</v>
      </c>
      <c r="P3244" s="31"/>
      <c r="Q3244" s="31"/>
      <c r="R3244" s="33"/>
      <c r="S3244" s="34" t="str">
        <f>HYPERLINK("http://www.cnpol.ru/covers/6692.jpg","фото на сайте")</f>
        <v>фото на сайте</v>
      </c>
    </row>
    <row r="3245" spans="1:19" ht="50.1" customHeight="1">
      <c r="A3245" s="31"/>
      <c r="B3245" s="32" t="s">
        <v>12263</v>
      </c>
      <c r="C3245" s="31" t="s">
        <v>3969</v>
      </c>
      <c r="D3245" s="31" t="s">
        <v>3970</v>
      </c>
      <c r="E3245" s="31" t="s">
        <v>12264</v>
      </c>
      <c r="F3245" s="31" t="s">
        <v>31</v>
      </c>
      <c r="G3245" s="31">
        <v>32</v>
      </c>
      <c r="H3245" s="31">
        <v>10</v>
      </c>
      <c r="I3245" s="31">
        <v>40</v>
      </c>
      <c r="J3245" s="31">
        <v>2000069630017</v>
      </c>
      <c r="K3245" s="31" t="s">
        <v>260</v>
      </c>
      <c r="L3245" s="31" t="s">
        <v>56</v>
      </c>
      <c r="M3245" s="31" t="s">
        <v>431</v>
      </c>
      <c r="N3245" s="31" t="s">
        <v>431</v>
      </c>
      <c r="O3245" s="31" t="s">
        <v>220</v>
      </c>
      <c r="P3245" s="31"/>
      <c r="Q3245" s="31"/>
      <c r="R3245" s="33"/>
      <c r="S3245" s="34" t="str">
        <f>HYPERLINK("http://www.cnpol.ru/covers/6689.jpg","фото на сайте")</f>
        <v>фото на сайте</v>
      </c>
    </row>
    <row r="3246" spans="1:19" ht="50.1" customHeight="1">
      <c r="A3246" s="31"/>
      <c r="B3246" s="32" t="s">
        <v>12265</v>
      </c>
      <c r="C3246" s="31" t="s">
        <v>3969</v>
      </c>
      <c r="D3246" s="31" t="s">
        <v>3970</v>
      </c>
      <c r="E3246" s="31" t="s">
        <v>12266</v>
      </c>
      <c r="F3246" s="31" t="s">
        <v>31</v>
      </c>
      <c r="G3246" s="31">
        <v>32</v>
      </c>
      <c r="H3246" s="31">
        <v>10</v>
      </c>
      <c r="I3246" s="31">
        <v>40</v>
      </c>
      <c r="J3246" s="31">
        <v>2000069680012</v>
      </c>
      <c r="K3246" s="31" t="s">
        <v>260</v>
      </c>
      <c r="L3246" s="31" t="s">
        <v>56</v>
      </c>
      <c r="M3246" s="31" t="s">
        <v>431</v>
      </c>
      <c r="N3246" s="31" t="s">
        <v>431</v>
      </c>
      <c r="O3246" s="31" t="s">
        <v>220</v>
      </c>
      <c r="P3246" s="31"/>
      <c r="Q3246" s="31"/>
      <c r="R3246" s="33"/>
      <c r="S3246" s="34" t="str">
        <f>HYPERLINK("http://www.cnpol.ru/covers/9670.jpg","фото на сайте")</f>
        <v>фото на сайте</v>
      </c>
    </row>
    <row r="3247" spans="1:19" ht="50.1" customHeight="1">
      <c r="A3247" s="31"/>
      <c r="B3247" s="32" t="s">
        <v>12267</v>
      </c>
      <c r="C3247" s="31" t="s">
        <v>3969</v>
      </c>
      <c r="D3247" s="31" t="s">
        <v>3970</v>
      </c>
      <c r="E3247" s="31" t="s">
        <v>12268</v>
      </c>
      <c r="F3247" s="31" t="s">
        <v>31</v>
      </c>
      <c r="G3247" s="31">
        <v>32</v>
      </c>
      <c r="H3247" s="31">
        <v>10</v>
      </c>
      <c r="I3247" s="31">
        <v>40</v>
      </c>
      <c r="J3247" s="31">
        <v>2000069680011</v>
      </c>
      <c r="K3247" s="31" t="s">
        <v>260</v>
      </c>
      <c r="L3247" s="31" t="s">
        <v>56</v>
      </c>
      <c r="M3247" s="31" t="s">
        <v>431</v>
      </c>
      <c r="N3247" s="31" t="s">
        <v>431</v>
      </c>
      <c r="O3247" s="31" t="s">
        <v>220</v>
      </c>
      <c r="P3247" s="31"/>
      <c r="Q3247" s="31"/>
      <c r="R3247" s="33"/>
      <c r="S3247" s="34" t="str">
        <f>HYPERLINK("http://www.cnpol.ru/covers/9671.jpg","фото на сайте")</f>
        <v>фото на сайте</v>
      </c>
    </row>
    <row r="3248" spans="1:19" ht="50.1" customHeight="1">
      <c r="A3248" s="31"/>
      <c r="B3248" s="32" t="s">
        <v>12269</v>
      </c>
      <c r="C3248" s="31" t="s">
        <v>3969</v>
      </c>
      <c r="D3248" s="31" t="s">
        <v>3970</v>
      </c>
      <c r="E3248" s="31" t="s">
        <v>12270</v>
      </c>
      <c r="F3248" s="31" t="s">
        <v>31</v>
      </c>
      <c r="G3248" s="31">
        <v>32</v>
      </c>
      <c r="H3248" s="31">
        <v>10</v>
      </c>
      <c r="I3248" s="31">
        <v>40</v>
      </c>
      <c r="J3248" s="31">
        <v>2000069740013</v>
      </c>
      <c r="K3248" s="31" t="s">
        <v>260</v>
      </c>
      <c r="L3248" s="31" t="s">
        <v>56</v>
      </c>
      <c r="M3248" s="31" t="s">
        <v>431</v>
      </c>
      <c r="N3248" s="31" t="s">
        <v>431</v>
      </c>
      <c r="O3248" s="31" t="s">
        <v>220</v>
      </c>
      <c r="P3248" s="31"/>
      <c r="Q3248" s="31"/>
      <c r="R3248" s="33"/>
      <c r="S3248" s="34" t="str">
        <f>HYPERLINK("http://www.cnpol.ru/covers/9668.jpg","фото на сайте")</f>
        <v>фото на сайте</v>
      </c>
    </row>
    <row r="3249" spans="1:19" ht="50.1" customHeight="1">
      <c r="A3249" s="31"/>
      <c r="B3249" s="32" t="s">
        <v>12271</v>
      </c>
      <c r="C3249" s="31" t="s">
        <v>3969</v>
      </c>
      <c r="D3249" s="31" t="s">
        <v>12272</v>
      </c>
      <c r="E3249" s="31" t="s">
        <v>12273</v>
      </c>
      <c r="F3249" s="31" t="s">
        <v>31</v>
      </c>
      <c r="G3249" s="31">
        <v>32</v>
      </c>
      <c r="H3249" s="31">
        <v>10</v>
      </c>
      <c r="I3249" s="31">
        <v>40</v>
      </c>
      <c r="J3249" s="31">
        <v>2000069740013</v>
      </c>
      <c r="K3249" s="31" t="s">
        <v>260</v>
      </c>
      <c r="L3249" s="31" t="s">
        <v>56</v>
      </c>
      <c r="M3249" s="31" t="s">
        <v>431</v>
      </c>
      <c r="N3249" s="31" t="s">
        <v>431</v>
      </c>
      <c r="O3249" s="31" t="s">
        <v>220</v>
      </c>
      <c r="P3249" s="31"/>
      <c r="Q3249" s="31"/>
      <c r="R3249" s="33"/>
      <c r="S3249" s="34" t="str">
        <f>HYPERLINK("http://www.cnpol.ru/covers/9661.jpg","фото на сайте")</f>
        <v>фото на сайте</v>
      </c>
    </row>
    <row r="3250" spans="1:19" ht="50.1" customHeight="1">
      <c r="A3250" s="31"/>
      <c r="B3250" s="32" t="s">
        <v>12274</v>
      </c>
      <c r="C3250" s="31" t="s">
        <v>3969</v>
      </c>
      <c r="D3250" s="31" t="s">
        <v>3970</v>
      </c>
      <c r="E3250" s="31" t="s">
        <v>12275</v>
      </c>
      <c r="F3250" s="31" t="s">
        <v>31</v>
      </c>
      <c r="G3250" s="31">
        <v>32</v>
      </c>
      <c r="H3250" s="31">
        <v>10</v>
      </c>
      <c r="I3250" s="31">
        <v>40</v>
      </c>
      <c r="J3250" s="31">
        <v>2000069740013</v>
      </c>
      <c r="K3250" s="31" t="s">
        <v>260</v>
      </c>
      <c r="L3250" s="31" t="s">
        <v>56</v>
      </c>
      <c r="M3250" s="31" t="s">
        <v>431</v>
      </c>
      <c r="N3250" s="31" t="s">
        <v>431</v>
      </c>
      <c r="O3250" s="31" t="s">
        <v>220</v>
      </c>
      <c r="P3250" s="31"/>
      <c r="Q3250" s="31"/>
      <c r="R3250" s="33"/>
      <c r="S3250" s="34" t="str">
        <f>HYPERLINK("http://www.cnpol.ru/covers/9662.jpg","фото на сайте")</f>
        <v>фото на сайте</v>
      </c>
    </row>
    <row r="3251" spans="1:19" ht="50.1" customHeight="1">
      <c r="A3251" s="31"/>
      <c r="B3251" s="32" t="s">
        <v>12276</v>
      </c>
      <c r="C3251" s="31" t="s">
        <v>3969</v>
      </c>
      <c r="D3251" s="31" t="s">
        <v>3970</v>
      </c>
      <c r="E3251" s="31" t="s">
        <v>12277</v>
      </c>
      <c r="F3251" s="31" t="s">
        <v>31</v>
      </c>
      <c r="G3251" s="31">
        <v>32</v>
      </c>
      <c r="H3251" s="31">
        <v>10</v>
      </c>
      <c r="I3251" s="31">
        <v>40</v>
      </c>
      <c r="J3251" s="31">
        <v>2000069740013</v>
      </c>
      <c r="K3251" s="31" t="s">
        <v>260</v>
      </c>
      <c r="L3251" s="31" t="s">
        <v>56</v>
      </c>
      <c r="M3251" s="31" t="s">
        <v>431</v>
      </c>
      <c r="N3251" s="31" t="s">
        <v>431</v>
      </c>
      <c r="O3251" s="31" t="s">
        <v>220</v>
      </c>
      <c r="P3251" s="31"/>
      <c r="Q3251" s="31"/>
      <c r="R3251" s="33"/>
      <c r="S3251" s="34" t="str">
        <f>HYPERLINK("http://www.cnpol.ru/covers/9669.jpg","фото на сайте")</f>
        <v>фото на сайте</v>
      </c>
    </row>
    <row r="3252" spans="1:19" ht="50.1" customHeight="1">
      <c r="A3252" s="31"/>
      <c r="B3252" s="32" t="s">
        <v>12278</v>
      </c>
      <c r="C3252" s="31" t="s">
        <v>3969</v>
      </c>
      <c r="D3252" s="31" t="s">
        <v>3970</v>
      </c>
      <c r="E3252" s="31" t="s">
        <v>12279</v>
      </c>
      <c r="F3252" s="31" t="s">
        <v>31</v>
      </c>
      <c r="G3252" s="31">
        <v>32</v>
      </c>
      <c r="H3252" s="31">
        <v>10</v>
      </c>
      <c r="I3252" s="31">
        <v>40</v>
      </c>
      <c r="J3252" s="31">
        <v>2000069740013</v>
      </c>
      <c r="K3252" s="31" t="s">
        <v>260</v>
      </c>
      <c r="L3252" s="31" t="s">
        <v>56</v>
      </c>
      <c r="M3252" s="31" t="s">
        <v>431</v>
      </c>
      <c r="N3252" s="31" t="s">
        <v>431</v>
      </c>
      <c r="O3252" s="31" t="s">
        <v>220</v>
      </c>
      <c r="P3252" s="31"/>
      <c r="Q3252" s="31"/>
      <c r="R3252" s="33"/>
      <c r="S3252" s="34" t="str">
        <f>HYPERLINK("http://www.cnpol.ru/covers/9672.jpg","фото на сайте")</f>
        <v>фото на сайте</v>
      </c>
    </row>
    <row r="3253" spans="1:19" ht="50.1" customHeight="1">
      <c r="A3253" s="31" t="s">
        <v>43</v>
      </c>
      <c r="B3253" s="32" t="s">
        <v>12280</v>
      </c>
      <c r="C3253" s="31" t="s">
        <v>7061</v>
      </c>
      <c r="D3253" s="31" t="s">
        <v>7062</v>
      </c>
      <c r="E3253" s="31" t="s">
        <v>12281</v>
      </c>
      <c r="F3253" s="31" t="s">
        <v>31</v>
      </c>
      <c r="G3253" s="31">
        <v>666</v>
      </c>
      <c r="H3253" s="31">
        <v>10</v>
      </c>
      <c r="I3253" s="31">
        <v>10</v>
      </c>
      <c r="J3253" s="31" t="s">
        <v>12282</v>
      </c>
      <c r="K3253" s="31" t="s">
        <v>41</v>
      </c>
      <c r="L3253" s="31" t="s">
        <v>34</v>
      </c>
      <c r="M3253" s="31">
        <v>176</v>
      </c>
      <c r="N3253" s="31">
        <v>2025</v>
      </c>
      <c r="O3253" s="31">
        <v>241</v>
      </c>
      <c r="P3253" s="31"/>
      <c r="Q3253" s="31"/>
      <c r="R3253" s="33" t="s">
        <v>12283</v>
      </c>
      <c r="S3253" s="34" t="str">
        <f>HYPERLINK("http://www.cnpol.ru/covers/21587.jpg","фото на сайте")</f>
        <v>фото на сайте</v>
      </c>
    </row>
    <row r="3254" spans="1:19" ht="50.1" customHeight="1">
      <c r="A3254" s="31" t="s">
        <v>35</v>
      </c>
      <c r="B3254" s="32" t="s">
        <v>12284</v>
      </c>
      <c r="C3254" s="31" t="s">
        <v>143</v>
      </c>
      <c r="D3254" s="31" t="s">
        <v>12285</v>
      </c>
      <c r="E3254" s="31" t="s">
        <v>12286</v>
      </c>
      <c r="F3254" s="31" t="s">
        <v>31</v>
      </c>
      <c r="G3254" s="35">
        <v>1125</v>
      </c>
      <c r="H3254" s="31">
        <v>10</v>
      </c>
      <c r="I3254" s="31">
        <v>5</v>
      </c>
      <c r="J3254" s="31" t="s">
        <v>12287</v>
      </c>
      <c r="K3254" s="31" t="s">
        <v>33</v>
      </c>
      <c r="L3254" s="31" t="s">
        <v>34</v>
      </c>
      <c r="M3254" s="31">
        <v>447</v>
      </c>
      <c r="N3254" s="31">
        <v>2025</v>
      </c>
      <c r="O3254" s="31">
        <v>490</v>
      </c>
      <c r="P3254" s="31"/>
      <c r="Q3254" s="31"/>
      <c r="R3254" s="33" t="s">
        <v>12288</v>
      </c>
      <c r="S3254" s="34" t="str">
        <f>HYPERLINK("http://www.cnpol.ru/covers/21634.jpg","фото на сайте")</f>
        <v>фото на сайте</v>
      </c>
    </row>
    <row r="3255" spans="1:19" ht="50.1" customHeight="1">
      <c r="A3255" s="31"/>
      <c r="B3255" s="32" t="s">
        <v>12289</v>
      </c>
      <c r="C3255" s="31" t="s">
        <v>390</v>
      </c>
      <c r="D3255" s="31" t="s">
        <v>4519</v>
      </c>
      <c r="E3255" s="31" t="s">
        <v>12290</v>
      </c>
      <c r="F3255" s="31">
        <v>1105</v>
      </c>
      <c r="G3255" s="31">
        <v>86</v>
      </c>
      <c r="H3255" s="31">
        <v>10</v>
      </c>
      <c r="I3255" s="31">
        <v>30</v>
      </c>
      <c r="J3255" s="31" t="s">
        <v>12291</v>
      </c>
      <c r="K3255" s="31" t="s">
        <v>123</v>
      </c>
      <c r="L3255" s="31" t="s">
        <v>56</v>
      </c>
      <c r="M3255" s="31">
        <v>159</v>
      </c>
      <c r="N3255" s="31">
        <v>2022</v>
      </c>
      <c r="O3255" s="31">
        <v>76</v>
      </c>
      <c r="P3255" s="31"/>
      <c r="Q3255" s="31"/>
      <c r="R3255" s="33"/>
      <c r="S3255" s="34" t="str">
        <f>HYPERLINK("http://www.cnpol.ru/covers/20366.jpg","фото на сайте")</f>
        <v>фото на сайте</v>
      </c>
    </row>
    <row r="3256" spans="1:19" ht="50.1" customHeight="1">
      <c r="A3256" s="31"/>
      <c r="B3256" s="32" t="s">
        <v>12292</v>
      </c>
      <c r="C3256" s="31" t="s">
        <v>400</v>
      </c>
      <c r="D3256" s="31" t="s">
        <v>2412</v>
      </c>
      <c r="E3256" s="31" t="s">
        <v>12293</v>
      </c>
      <c r="F3256" s="31" t="s">
        <v>31</v>
      </c>
      <c r="G3256" s="31">
        <v>503</v>
      </c>
      <c r="H3256" s="31">
        <v>10</v>
      </c>
      <c r="I3256" s="31">
        <v>14</v>
      </c>
      <c r="J3256" s="31" t="s">
        <v>12294</v>
      </c>
      <c r="K3256" s="31" t="s">
        <v>33</v>
      </c>
      <c r="L3256" s="31" t="s">
        <v>34</v>
      </c>
      <c r="M3256" s="31">
        <v>320</v>
      </c>
      <c r="N3256" s="31">
        <v>2018</v>
      </c>
      <c r="O3256" s="31">
        <v>274</v>
      </c>
      <c r="P3256" s="31"/>
      <c r="Q3256" s="31"/>
      <c r="R3256" s="33"/>
      <c r="S3256" s="34" t="str">
        <f>HYPERLINK("http://www.cnpol.ru/covers/18120.jpg","фото на сайте")</f>
        <v>фото на сайте</v>
      </c>
    </row>
    <row r="3257" spans="1:19" ht="50.1" customHeight="1">
      <c r="A3257" s="31" t="s">
        <v>43</v>
      </c>
      <c r="B3257" s="32" t="s">
        <v>12295</v>
      </c>
      <c r="C3257" s="31" t="s">
        <v>143</v>
      </c>
      <c r="D3257" s="31" t="s">
        <v>12296</v>
      </c>
      <c r="E3257" s="31" t="s">
        <v>12297</v>
      </c>
      <c r="F3257" s="31" t="s">
        <v>31</v>
      </c>
      <c r="G3257" s="35">
        <v>1405</v>
      </c>
      <c r="H3257" s="31">
        <v>10</v>
      </c>
      <c r="I3257" s="31">
        <v>5</v>
      </c>
      <c r="J3257" s="31" t="s">
        <v>12298</v>
      </c>
      <c r="K3257" s="31" t="s">
        <v>41</v>
      </c>
      <c r="L3257" s="31" t="s">
        <v>34</v>
      </c>
      <c r="M3257" s="31">
        <v>576</v>
      </c>
      <c r="N3257" s="31">
        <v>2025</v>
      </c>
      <c r="O3257" s="31">
        <v>382</v>
      </c>
      <c r="P3257" s="31"/>
      <c r="Q3257" s="31"/>
      <c r="R3257" s="33" t="s">
        <v>12299</v>
      </c>
      <c r="S3257" s="34" t="str">
        <f>HYPERLINK("http://www.cnpol.ru/covers/21469.jpg","фото на сайте")</f>
        <v>фото на сайте</v>
      </c>
    </row>
    <row r="3258" spans="1:19" ht="50.1" customHeight="1">
      <c r="A3258" s="31"/>
      <c r="B3258" s="32" t="s">
        <v>12300</v>
      </c>
      <c r="C3258" s="31" t="s">
        <v>390</v>
      </c>
      <c r="D3258" s="31" t="s">
        <v>2285</v>
      </c>
      <c r="E3258" s="31" t="s">
        <v>12301</v>
      </c>
      <c r="F3258" s="31">
        <v>767</v>
      </c>
      <c r="G3258" s="31">
        <v>86</v>
      </c>
      <c r="H3258" s="31">
        <v>10</v>
      </c>
      <c r="I3258" s="31">
        <v>30</v>
      </c>
      <c r="J3258" s="31" t="s">
        <v>12302</v>
      </c>
      <c r="K3258" s="31" t="s">
        <v>123</v>
      </c>
      <c r="L3258" s="31" t="s">
        <v>56</v>
      </c>
      <c r="M3258" s="31">
        <v>160</v>
      </c>
      <c r="N3258" s="31">
        <v>2017</v>
      </c>
      <c r="O3258" s="31">
        <v>76</v>
      </c>
      <c r="P3258" s="31"/>
      <c r="Q3258" s="31"/>
      <c r="R3258" s="33"/>
      <c r="S3258" s="34" t="str">
        <f>HYPERLINK("http://www.cnpol.ru/covers/17796.jpg","фото на сайте")</f>
        <v>фото на сайте</v>
      </c>
    </row>
    <row r="3259" spans="1:19" ht="50.1" customHeight="1">
      <c r="A3259" s="31" t="s">
        <v>43</v>
      </c>
      <c r="B3259" s="32" t="s">
        <v>12303</v>
      </c>
      <c r="C3259" s="31" t="s">
        <v>546</v>
      </c>
      <c r="D3259" s="31" t="s">
        <v>3214</v>
      </c>
      <c r="E3259" s="31" t="s">
        <v>12304</v>
      </c>
      <c r="F3259" s="31">
        <v>447</v>
      </c>
      <c r="G3259" s="31">
        <v>93</v>
      </c>
      <c r="H3259" s="31">
        <v>10</v>
      </c>
      <c r="I3259" s="31">
        <v>30</v>
      </c>
      <c r="J3259" s="31" t="s">
        <v>12305</v>
      </c>
      <c r="K3259" s="31" t="s">
        <v>123</v>
      </c>
      <c r="L3259" s="31" t="s">
        <v>56</v>
      </c>
      <c r="M3259" s="31">
        <v>159</v>
      </c>
      <c r="N3259" s="31">
        <v>2024</v>
      </c>
      <c r="O3259" s="31">
        <v>76</v>
      </c>
      <c r="P3259" s="31"/>
      <c r="Q3259" s="31"/>
      <c r="R3259" s="33" t="s">
        <v>12306</v>
      </c>
      <c r="S3259" s="34" t="str">
        <f>HYPERLINK("http://www.cnpol.ru/covers/21236.jpg","фото на сайте")</f>
        <v>фото на сайте</v>
      </c>
    </row>
    <row r="3260" spans="1:19" ht="50.1" customHeight="1">
      <c r="A3260" s="31"/>
      <c r="B3260" s="32" t="s">
        <v>12307</v>
      </c>
      <c r="C3260" s="31" t="s">
        <v>418</v>
      </c>
      <c r="D3260" s="31" t="s">
        <v>2501</v>
      </c>
      <c r="E3260" s="31" t="s">
        <v>12308</v>
      </c>
      <c r="F3260" s="31">
        <v>100</v>
      </c>
      <c r="G3260" s="31">
        <v>153</v>
      </c>
      <c r="H3260" s="31">
        <v>10</v>
      </c>
      <c r="I3260" s="31">
        <v>24</v>
      </c>
      <c r="J3260" s="31" t="s">
        <v>12309</v>
      </c>
      <c r="K3260" s="31" t="s">
        <v>123</v>
      </c>
      <c r="L3260" s="31" t="s">
        <v>56</v>
      </c>
      <c r="M3260" s="31">
        <v>256</v>
      </c>
      <c r="N3260" s="31">
        <v>2019</v>
      </c>
      <c r="O3260" s="31">
        <v>118</v>
      </c>
      <c r="P3260" s="31"/>
      <c r="Q3260" s="31"/>
      <c r="R3260" s="33"/>
      <c r="S3260" s="34" t="str">
        <f>HYPERLINK("http://www.cnpol.ru/covers/18754.jpg","фото на сайте")</f>
        <v>фото на сайте</v>
      </c>
    </row>
    <row r="3261" spans="1:19" ht="50.1" customHeight="1">
      <c r="A3261" s="31"/>
      <c r="B3261" s="32" t="s">
        <v>12310</v>
      </c>
      <c r="C3261" s="31" t="s">
        <v>3135</v>
      </c>
      <c r="D3261" s="31" t="s">
        <v>12311</v>
      </c>
      <c r="E3261" s="31" t="s">
        <v>12312</v>
      </c>
      <c r="F3261" s="31" t="s">
        <v>31</v>
      </c>
      <c r="G3261" s="31">
        <v>730</v>
      </c>
      <c r="H3261" s="31">
        <v>10</v>
      </c>
      <c r="I3261" s="31">
        <v>6</v>
      </c>
      <c r="J3261" s="31" t="s">
        <v>12313</v>
      </c>
      <c r="K3261" s="31" t="s">
        <v>41</v>
      </c>
      <c r="L3261" s="31" t="s">
        <v>34</v>
      </c>
      <c r="M3261" s="31">
        <v>784</v>
      </c>
      <c r="N3261" s="31">
        <v>2014</v>
      </c>
      <c r="O3261" s="31">
        <v>684</v>
      </c>
      <c r="P3261" s="31"/>
      <c r="Q3261" s="31"/>
      <c r="R3261" s="33"/>
      <c r="S3261" s="34" t="str">
        <f>HYPERLINK("http://www.cnpol.ru/covers/14893.jpg","фото на сайте")</f>
        <v>фото на сайте</v>
      </c>
    </row>
    <row r="3262" spans="1:19" ht="50.1" customHeight="1">
      <c r="A3262" s="31"/>
      <c r="B3262" s="32" t="s">
        <v>12314</v>
      </c>
      <c r="C3262" s="31" t="s">
        <v>400</v>
      </c>
      <c r="D3262" s="31" t="s">
        <v>12315</v>
      </c>
      <c r="E3262" s="31" t="s">
        <v>12316</v>
      </c>
      <c r="F3262" s="31" t="s">
        <v>31</v>
      </c>
      <c r="G3262" s="31">
        <v>503</v>
      </c>
      <c r="H3262" s="31">
        <v>10</v>
      </c>
      <c r="I3262" s="31">
        <v>14</v>
      </c>
      <c r="J3262" s="31" t="s">
        <v>12317</v>
      </c>
      <c r="K3262" s="31" t="s">
        <v>33</v>
      </c>
      <c r="L3262" s="31" t="s">
        <v>34</v>
      </c>
      <c r="M3262" s="31">
        <v>319</v>
      </c>
      <c r="N3262" s="31">
        <v>2011</v>
      </c>
      <c r="O3262" s="31">
        <v>274</v>
      </c>
      <c r="P3262" s="31"/>
      <c r="Q3262" s="31"/>
      <c r="R3262" s="33"/>
      <c r="S3262" s="34" t="str">
        <f>HYPERLINK("http://www.cnpol.ru/covers/13115.jpg","фото на сайте")</f>
        <v>фото на сайте</v>
      </c>
    </row>
    <row r="3263" spans="1:19" ht="50.1" customHeight="1">
      <c r="A3263" s="31"/>
      <c r="B3263" s="32" t="s">
        <v>12318</v>
      </c>
      <c r="C3263" s="31" t="s">
        <v>28</v>
      </c>
      <c r="D3263" s="31" t="s">
        <v>2822</v>
      </c>
      <c r="E3263" s="31" t="s">
        <v>12319</v>
      </c>
      <c r="F3263" s="31" t="s">
        <v>31</v>
      </c>
      <c r="G3263" s="35">
        <v>1095</v>
      </c>
      <c r="H3263" s="31">
        <v>10</v>
      </c>
      <c r="I3263" s="31">
        <v>8</v>
      </c>
      <c r="J3263" s="31" t="s">
        <v>12320</v>
      </c>
      <c r="K3263" s="31" t="s">
        <v>33</v>
      </c>
      <c r="L3263" s="31" t="s">
        <v>34</v>
      </c>
      <c r="M3263" s="31">
        <v>800</v>
      </c>
      <c r="N3263" s="31">
        <v>2015</v>
      </c>
      <c r="O3263" s="31">
        <v>700</v>
      </c>
      <c r="P3263" s="31"/>
      <c r="Q3263" s="31"/>
      <c r="R3263" s="33"/>
      <c r="S3263" s="34" t="str">
        <f>HYPERLINK("http://www.cnpol.ru/covers/16409.jpg","фото на сайте")</f>
        <v>фото на сайте</v>
      </c>
    </row>
    <row r="3264" spans="1:19" ht="50.1" customHeight="1">
      <c r="A3264" s="31"/>
      <c r="B3264" s="32" t="s">
        <v>12321</v>
      </c>
      <c r="C3264" s="31" t="s">
        <v>390</v>
      </c>
      <c r="D3264" s="31" t="s">
        <v>2285</v>
      </c>
      <c r="E3264" s="31" t="s">
        <v>12322</v>
      </c>
      <c r="F3264" s="31">
        <v>519</v>
      </c>
      <c r="G3264" s="31">
        <v>86</v>
      </c>
      <c r="H3264" s="31">
        <v>10</v>
      </c>
      <c r="I3264" s="31">
        <v>30</v>
      </c>
      <c r="J3264" s="31" t="s">
        <v>12323</v>
      </c>
      <c r="K3264" s="31" t="s">
        <v>123</v>
      </c>
      <c r="L3264" s="31" t="s">
        <v>56</v>
      </c>
      <c r="M3264" s="31">
        <v>158</v>
      </c>
      <c r="N3264" s="31">
        <v>2015</v>
      </c>
      <c r="O3264" s="31">
        <v>76</v>
      </c>
      <c r="P3264" s="31"/>
      <c r="Q3264" s="31"/>
      <c r="R3264" s="33"/>
      <c r="S3264" s="34" t="str">
        <f>HYPERLINK("http://www.cnpol.ru/covers/16009.jpg","фото на сайте")</f>
        <v>фото на сайте</v>
      </c>
    </row>
    <row r="3265" spans="1:19" ht="50.1" customHeight="1">
      <c r="A3265" s="31"/>
      <c r="B3265" s="32" t="s">
        <v>12324</v>
      </c>
      <c r="C3265" s="31" t="s">
        <v>1390</v>
      </c>
      <c r="D3265" s="31" t="s">
        <v>12325</v>
      </c>
      <c r="E3265" s="31" t="s">
        <v>12326</v>
      </c>
      <c r="F3265" s="31" t="s">
        <v>31</v>
      </c>
      <c r="G3265" s="31">
        <v>169</v>
      </c>
      <c r="H3265" s="31">
        <v>10</v>
      </c>
      <c r="I3265" s="31">
        <v>24</v>
      </c>
      <c r="J3265" s="31" t="s">
        <v>12327</v>
      </c>
      <c r="K3265" s="31" t="s">
        <v>130</v>
      </c>
      <c r="L3265" s="31" t="s">
        <v>56</v>
      </c>
      <c r="M3265" s="31">
        <v>220</v>
      </c>
      <c r="N3265" s="31">
        <v>2014</v>
      </c>
      <c r="O3265" s="31">
        <v>138</v>
      </c>
      <c r="P3265" s="31"/>
      <c r="Q3265" s="31"/>
      <c r="R3265" s="33"/>
      <c r="S3265" s="34" t="str">
        <f>HYPERLINK("http://www.cnpol.ru/covers/15452.jpg","фото на сайте")</f>
        <v>фото на сайте</v>
      </c>
    </row>
    <row r="3266" spans="1:19" ht="50.1" customHeight="1">
      <c r="A3266" s="31"/>
      <c r="B3266" s="32" t="s">
        <v>12328</v>
      </c>
      <c r="C3266" s="31" t="s">
        <v>1390</v>
      </c>
      <c r="D3266" s="31" t="s">
        <v>12325</v>
      </c>
      <c r="E3266" s="31" t="s">
        <v>12326</v>
      </c>
      <c r="F3266" s="31" t="s">
        <v>31</v>
      </c>
      <c r="G3266" s="31">
        <v>169</v>
      </c>
      <c r="H3266" s="31">
        <v>10</v>
      </c>
      <c r="I3266" s="31">
        <v>24</v>
      </c>
      <c r="J3266" s="31" t="s">
        <v>12329</v>
      </c>
      <c r="K3266" s="31" t="s">
        <v>130</v>
      </c>
      <c r="L3266" s="31" t="s">
        <v>56</v>
      </c>
      <c r="M3266" s="31">
        <v>220</v>
      </c>
      <c r="N3266" s="31">
        <v>2014</v>
      </c>
      <c r="O3266" s="31">
        <v>138</v>
      </c>
      <c r="P3266" s="31"/>
      <c r="Q3266" s="31"/>
      <c r="R3266" s="33"/>
      <c r="S3266" s="34" t="str">
        <f>HYPERLINK("http://www.cnpol.ru/covers/15702.jpg","фото на сайте")</f>
        <v>фото на сайте</v>
      </c>
    </row>
    <row r="3267" spans="1:19" ht="50.1" customHeight="1">
      <c r="A3267" s="31"/>
      <c r="B3267" s="32" t="s">
        <v>12330</v>
      </c>
      <c r="C3267" s="31" t="s">
        <v>3446</v>
      </c>
      <c r="D3267" s="31" t="s">
        <v>1324</v>
      </c>
      <c r="E3267" s="31" t="s">
        <v>12331</v>
      </c>
      <c r="F3267" s="31" t="s">
        <v>31</v>
      </c>
      <c r="G3267" s="31">
        <v>675</v>
      </c>
      <c r="H3267" s="31">
        <v>10</v>
      </c>
      <c r="I3267" s="31">
        <v>8</v>
      </c>
      <c r="J3267" s="31" t="s">
        <v>12332</v>
      </c>
      <c r="K3267" s="31" t="s">
        <v>33</v>
      </c>
      <c r="L3267" s="31" t="s">
        <v>34</v>
      </c>
      <c r="M3267" s="31">
        <v>416</v>
      </c>
      <c r="N3267" s="31">
        <v>2021</v>
      </c>
      <c r="O3267" s="31">
        <v>360</v>
      </c>
      <c r="P3267" s="31"/>
      <c r="Q3267" s="31"/>
      <c r="R3267" s="33"/>
      <c r="S3267" s="34" t="str">
        <f>HYPERLINK("http://www.cnpol.ru/covers/19788.jpg","фото на сайте")</f>
        <v>фото на сайте</v>
      </c>
    </row>
    <row r="3268" spans="1:19" ht="50.1" customHeight="1">
      <c r="A3268" s="31" t="s">
        <v>35</v>
      </c>
      <c r="B3268" s="32" t="s">
        <v>12333</v>
      </c>
      <c r="C3268" s="31" t="s">
        <v>143</v>
      </c>
      <c r="D3268" s="31" t="s">
        <v>5669</v>
      </c>
      <c r="E3268" s="31" t="s">
        <v>12334</v>
      </c>
      <c r="F3268" s="31" t="s">
        <v>31</v>
      </c>
      <c r="G3268" s="35">
        <v>1832</v>
      </c>
      <c r="H3268" s="31">
        <v>10</v>
      </c>
      <c r="I3268" s="31">
        <v>4</v>
      </c>
      <c r="J3268" s="31" t="s">
        <v>12335</v>
      </c>
      <c r="K3268" s="31" t="s">
        <v>41</v>
      </c>
      <c r="L3268" s="31" t="s">
        <v>34</v>
      </c>
      <c r="M3268" s="31">
        <v>783</v>
      </c>
      <c r="N3268" s="31">
        <v>2025</v>
      </c>
      <c r="O3268" s="31">
        <v>902</v>
      </c>
      <c r="P3268" s="31"/>
      <c r="Q3268" s="31"/>
      <c r="R3268" s="33" t="s">
        <v>12336</v>
      </c>
      <c r="S3268" s="34" t="str">
        <f>HYPERLINK("http://www.cnpol.ru/covers/21457.jpg","фото на сайте")</f>
        <v>фото на сайте</v>
      </c>
    </row>
    <row r="3269" spans="1:19" ht="50.1" customHeight="1">
      <c r="A3269" s="31"/>
      <c r="B3269" s="32" t="s">
        <v>12337</v>
      </c>
      <c r="C3269" s="31" t="s">
        <v>385</v>
      </c>
      <c r="D3269" s="31" t="s">
        <v>386</v>
      </c>
      <c r="E3269" s="31" t="s">
        <v>12338</v>
      </c>
      <c r="F3269" s="31" t="s">
        <v>31</v>
      </c>
      <c r="G3269" s="31">
        <v>162</v>
      </c>
      <c r="H3269" s="31">
        <v>10</v>
      </c>
      <c r="I3269" s="31">
        <v>32</v>
      </c>
      <c r="J3269" s="31" t="s">
        <v>12339</v>
      </c>
      <c r="K3269" s="31" t="s">
        <v>55</v>
      </c>
      <c r="L3269" s="31" t="s">
        <v>56</v>
      </c>
      <c r="M3269" s="31">
        <v>222</v>
      </c>
      <c r="N3269" s="31">
        <v>2014</v>
      </c>
      <c r="O3269" s="31">
        <v>96</v>
      </c>
      <c r="P3269" s="31"/>
      <c r="Q3269" s="31"/>
      <c r="R3269" s="33"/>
      <c r="S3269" s="34" t="str">
        <f>HYPERLINK("http://www.cnpol.ru/covers/15440.jpg","фото на сайте")</f>
        <v>фото на сайте</v>
      </c>
    </row>
    <row r="3270" spans="1:19" ht="50.1" customHeight="1">
      <c r="A3270" s="31"/>
      <c r="B3270" s="32" t="s">
        <v>12340</v>
      </c>
      <c r="C3270" s="31" t="s">
        <v>385</v>
      </c>
      <c r="D3270" s="31" t="s">
        <v>386</v>
      </c>
      <c r="E3270" s="31" t="s">
        <v>12338</v>
      </c>
      <c r="F3270" s="31" t="s">
        <v>31</v>
      </c>
      <c r="G3270" s="31">
        <v>162</v>
      </c>
      <c r="H3270" s="31">
        <v>10</v>
      </c>
      <c r="I3270" s="31">
        <v>32</v>
      </c>
      <c r="J3270" s="31" t="s">
        <v>12341</v>
      </c>
      <c r="K3270" s="31" t="s">
        <v>55</v>
      </c>
      <c r="L3270" s="31" t="s">
        <v>56</v>
      </c>
      <c r="M3270" s="31">
        <v>224</v>
      </c>
      <c r="N3270" s="31">
        <v>2016</v>
      </c>
      <c r="O3270" s="31">
        <v>96</v>
      </c>
      <c r="P3270" s="31"/>
      <c r="Q3270" s="31"/>
      <c r="R3270" s="33"/>
      <c r="S3270" s="34" t="str">
        <f>HYPERLINK("http://www.cnpol.ru/covers/0180.jpg","фото на сайте")</f>
        <v>фото на сайте</v>
      </c>
    </row>
    <row r="3271" spans="1:19" ht="50.1" customHeight="1">
      <c r="A3271" s="31"/>
      <c r="B3271" s="32" t="s">
        <v>12342</v>
      </c>
      <c r="C3271" s="31" t="s">
        <v>2228</v>
      </c>
      <c r="D3271" s="31" t="s">
        <v>213</v>
      </c>
      <c r="E3271" s="31" t="s">
        <v>12343</v>
      </c>
      <c r="F3271" s="31">
        <v>1</v>
      </c>
      <c r="G3271" s="31">
        <v>461</v>
      </c>
      <c r="H3271" s="31">
        <v>10</v>
      </c>
      <c r="I3271" s="31">
        <v>12</v>
      </c>
      <c r="J3271" s="31" t="s">
        <v>12344</v>
      </c>
      <c r="K3271" s="31" t="s">
        <v>2231</v>
      </c>
      <c r="L3271" s="31" t="s">
        <v>34</v>
      </c>
      <c r="M3271" s="31">
        <v>160</v>
      </c>
      <c r="N3271" s="31">
        <v>2018</v>
      </c>
      <c r="O3271" s="31">
        <v>324</v>
      </c>
      <c r="P3271" s="31"/>
      <c r="Q3271" s="31"/>
      <c r="R3271" s="33"/>
      <c r="S3271" s="34" t="str">
        <f>HYPERLINK("http://www.cnpol.ru/covers/17930.jpg","фото на сайте")</f>
        <v>фото на сайте</v>
      </c>
    </row>
    <row r="3272" spans="1:19" ht="50.1" customHeight="1">
      <c r="A3272" s="31"/>
      <c r="B3272" s="32" t="s">
        <v>12345</v>
      </c>
      <c r="C3272" s="31" t="s">
        <v>7044</v>
      </c>
      <c r="D3272" s="31" t="s">
        <v>7045</v>
      </c>
      <c r="E3272" s="31" t="s">
        <v>12346</v>
      </c>
      <c r="F3272" s="31">
        <v>7</v>
      </c>
      <c r="G3272" s="31">
        <v>486</v>
      </c>
      <c r="H3272" s="31">
        <v>10</v>
      </c>
      <c r="I3272" s="31">
        <v>20</v>
      </c>
      <c r="J3272" s="31" t="s">
        <v>12347</v>
      </c>
      <c r="K3272" s="31" t="s">
        <v>41</v>
      </c>
      <c r="L3272" s="31" t="s">
        <v>34</v>
      </c>
      <c r="M3272" s="31">
        <v>143</v>
      </c>
      <c r="N3272" s="31">
        <v>2021</v>
      </c>
      <c r="O3272" s="31">
        <v>180</v>
      </c>
      <c r="P3272" s="31"/>
      <c r="Q3272" s="31"/>
      <c r="R3272" s="33"/>
      <c r="S3272" s="34" t="str">
        <f>HYPERLINK("http://www.cnpol.ru/covers/19611.jpg","фото на сайте")</f>
        <v>фото на сайте</v>
      </c>
    </row>
    <row r="3273" spans="1:19" ht="50.1" customHeight="1">
      <c r="A3273" s="31" t="s">
        <v>43</v>
      </c>
      <c r="B3273" s="32" t="s">
        <v>12348</v>
      </c>
      <c r="C3273" s="31" t="s">
        <v>1016</v>
      </c>
      <c r="D3273" s="31" t="s">
        <v>2389</v>
      </c>
      <c r="E3273" s="31" t="s">
        <v>12349</v>
      </c>
      <c r="F3273" s="31" t="s">
        <v>31</v>
      </c>
      <c r="G3273" s="31">
        <v>985</v>
      </c>
      <c r="H3273" s="31">
        <v>10</v>
      </c>
      <c r="I3273" s="31">
        <v>5</v>
      </c>
      <c r="J3273" s="31" t="s">
        <v>12350</v>
      </c>
      <c r="K3273" s="31" t="s">
        <v>33</v>
      </c>
      <c r="L3273" s="31" t="s">
        <v>34</v>
      </c>
      <c r="M3273" s="31">
        <v>350</v>
      </c>
      <c r="N3273" s="31">
        <v>2024</v>
      </c>
      <c r="O3273" s="31">
        <v>399</v>
      </c>
      <c r="P3273" s="31"/>
      <c r="Q3273" s="31"/>
      <c r="R3273" s="33" t="s">
        <v>12351</v>
      </c>
      <c r="S3273" s="34" t="str">
        <f>HYPERLINK("http://www.cnpol.ru/covers/21705.jpg","фото на сайте")</f>
        <v>фото на сайте</v>
      </c>
    </row>
    <row r="3274" spans="1:19" ht="50.1" customHeight="1">
      <c r="A3274" s="31"/>
      <c r="B3274" s="32" t="s">
        <v>12352</v>
      </c>
      <c r="C3274" s="31" t="s">
        <v>546</v>
      </c>
      <c r="D3274" s="31" t="s">
        <v>10815</v>
      </c>
      <c r="E3274" s="31" t="s">
        <v>12353</v>
      </c>
      <c r="F3274" s="31">
        <v>349</v>
      </c>
      <c r="G3274" s="31">
        <v>93</v>
      </c>
      <c r="H3274" s="31">
        <v>10</v>
      </c>
      <c r="I3274" s="31">
        <v>30</v>
      </c>
      <c r="J3274" s="31" t="s">
        <v>12354</v>
      </c>
      <c r="K3274" s="31" t="s">
        <v>123</v>
      </c>
      <c r="L3274" s="31" t="s">
        <v>56</v>
      </c>
      <c r="M3274" s="31">
        <v>160</v>
      </c>
      <c r="N3274" s="31">
        <v>2020</v>
      </c>
      <c r="O3274" s="31">
        <v>76</v>
      </c>
      <c r="P3274" s="31"/>
      <c r="Q3274" s="31"/>
      <c r="R3274" s="33"/>
      <c r="S3274" s="34" t="str">
        <f>HYPERLINK("http://www.cnpol.ru/covers/19154.jpg","фото на сайте")</f>
        <v>фото на сайте</v>
      </c>
    </row>
    <row r="3275" spans="1:19" ht="50.1" customHeight="1">
      <c r="A3275" s="31"/>
      <c r="B3275" s="32" t="s">
        <v>12355</v>
      </c>
      <c r="C3275" s="31" t="s">
        <v>953</v>
      </c>
      <c r="D3275" s="31" t="s">
        <v>8298</v>
      </c>
      <c r="E3275" s="31" t="s">
        <v>12356</v>
      </c>
      <c r="F3275" s="31" t="s">
        <v>31</v>
      </c>
      <c r="G3275" s="31">
        <v>154</v>
      </c>
      <c r="H3275" s="31">
        <v>10</v>
      </c>
      <c r="I3275" s="31">
        <v>20</v>
      </c>
      <c r="J3275" s="31" t="s">
        <v>12357</v>
      </c>
      <c r="K3275" s="31" t="s">
        <v>55</v>
      </c>
      <c r="L3275" s="31" t="s">
        <v>56</v>
      </c>
      <c r="M3275" s="31">
        <v>287</v>
      </c>
      <c r="N3275" s="31">
        <v>2008</v>
      </c>
      <c r="O3275" s="31">
        <v>118</v>
      </c>
      <c r="P3275" s="31"/>
      <c r="Q3275" s="31"/>
      <c r="R3275" s="33"/>
      <c r="S3275" s="34" t="str">
        <f>HYPERLINK("http://www.cnpol.ru/covers/10691.jpg","фото на сайте")</f>
        <v>фото на сайте</v>
      </c>
    </row>
    <row r="3276" spans="1:19" ht="50.1" customHeight="1">
      <c r="A3276" s="31"/>
      <c r="B3276" s="32" t="s">
        <v>12358</v>
      </c>
      <c r="C3276" s="31" t="s">
        <v>2120</v>
      </c>
      <c r="D3276" s="31" t="s">
        <v>1449</v>
      </c>
      <c r="E3276" s="31" t="s">
        <v>12359</v>
      </c>
      <c r="F3276" s="31" t="s">
        <v>31</v>
      </c>
      <c r="G3276" s="31">
        <v>81</v>
      </c>
      <c r="H3276" s="31">
        <v>10</v>
      </c>
      <c r="I3276" s="31">
        <v>100</v>
      </c>
      <c r="J3276" s="31" t="s">
        <v>12360</v>
      </c>
      <c r="K3276" s="31" t="s">
        <v>123</v>
      </c>
      <c r="L3276" s="31" t="s">
        <v>56</v>
      </c>
      <c r="M3276" s="31">
        <v>47</v>
      </c>
      <c r="N3276" s="31">
        <v>2005</v>
      </c>
      <c r="O3276" s="31">
        <v>28</v>
      </c>
      <c r="P3276" s="31"/>
      <c r="Q3276" s="31"/>
      <c r="R3276" s="33"/>
      <c r="S3276" s="34" t="str">
        <f>HYPERLINK("http://www.cnpol.ru/covers/5893.jpg","фото на сайте")</f>
        <v>фото на сайте</v>
      </c>
    </row>
    <row r="3277" spans="1:19" ht="50.1" customHeight="1">
      <c r="A3277" s="31"/>
      <c r="B3277" s="32" t="s">
        <v>12361</v>
      </c>
      <c r="C3277" s="31" t="s">
        <v>1265</v>
      </c>
      <c r="D3277" s="31" t="s">
        <v>1266</v>
      </c>
      <c r="E3277" s="31" t="s">
        <v>12362</v>
      </c>
      <c r="F3277" s="31" t="s">
        <v>31</v>
      </c>
      <c r="G3277" s="31">
        <v>88</v>
      </c>
      <c r="H3277" s="31">
        <v>10</v>
      </c>
      <c r="I3277" s="31">
        <v>48</v>
      </c>
      <c r="J3277" s="31" t="s">
        <v>12363</v>
      </c>
      <c r="K3277" s="31" t="s">
        <v>123</v>
      </c>
      <c r="L3277" s="31" t="s">
        <v>56</v>
      </c>
      <c r="M3277" s="31">
        <v>126</v>
      </c>
      <c r="N3277" s="31">
        <v>2012</v>
      </c>
      <c r="O3277" s="31">
        <v>64</v>
      </c>
      <c r="P3277" s="31"/>
      <c r="Q3277" s="31"/>
      <c r="R3277" s="33"/>
      <c r="S3277" s="34" t="str">
        <f>HYPERLINK("http://www.cnpol.ru/covers/13374.jpg","фото на сайте")</f>
        <v>фото на сайте</v>
      </c>
    </row>
    <row r="3278" spans="1:19" ht="50.1" customHeight="1">
      <c r="A3278" s="31"/>
      <c r="B3278" s="32" t="s">
        <v>12364</v>
      </c>
      <c r="C3278" s="31" t="s">
        <v>390</v>
      </c>
      <c r="D3278" s="31" t="s">
        <v>1758</v>
      </c>
      <c r="E3278" s="31" t="s">
        <v>12365</v>
      </c>
      <c r="F3278" s="31">
        <v>715</v>
      </c>
      <c r="G3278" s="31">
        <v>86</v>
      </c>
      <c r="H3278" s="31">
        <v>10</v>
      </c>
      <c r="I3278" s="31">
        <v>30</v>
      </c>
      <c r="J3278" s="31" t="s">
        <v>12366</v>
      </c>
      <c r="K3278" s="31" t="s">
        <v>123</v>
      </c>
      <c r="L3278" s="31" t="s">
        <v>56</v>
      </c>
      <c r="M3278" s="31">
        <v>160</v>
      </c>
      <c r="N3278" s="31">
        <v>2017</v>
      </c>
      <c r="O3278" s="31">
        <v>76</v>
      </c>
      <c r="P3278" s="31"/>
      <c r="Q3278" s="31"/>
      <c r="R3278" s="33"/>
      <c r="S3278" s="34" t="str">
        <f>HYPERLINK("http://www.cnpol.ru/covers/17464.jpg","фото на сайте")</f>
        <v>фото на сайте</v>
      </c>
    </row>
    <row r="3279" spans="1:19" ht="50.1" customHeight="1">
      <c r="A3279" s="31"/>
      <c r="B3279" s="32" t="s">
        <v>12367</v>
      </c>
      <c r="C3279" s="31" t="s">
        <v>390</v>
      </c>
      <c r="D3279" s="31" t="s">
        <v>1698</v>
      </c>
      <c r="E3279" s="31" t="s">
        <v>12368</v>
      </c>
      <c r="F3279" s="31">
        <v>1051</v>
      </c>
      <c r="G3279" s="31">
        <v>86</v>
      </c>
      <c r="H3279" s="31">
        <v>10</v>
      </c>
      <c r="I3279" s="31">
        <v>30</v>
      </c>
      <c r="J3279" s="31" t="s">
        <v>12369</v>
      </c>
      <c r="K3279" s="31" t="s">
        <v>123</v>
      </c>
      <c r="L3279" s="31" t="s">
        <v>56</v>
      </c>
      <c r="M3279" s="31">
        <v>160</v>
      </c>
      <c r="N3279" s="31">
        <v>2021</v>
      </c>
      <c r="O3279" s="31">
        <v>76</v>
      </c>
      <c r="P3279" s="31"/>
      <c r="Q3279" s="31"/>
      <c r="R3279" s="33"/>
      <c r="S3279" s="34" t="str">
        <f>HYPERLINK("http://www.cnpol.ru/covers/19817.jpg","фото на сайте")</f>
        <v>фото на сайте</v>
      </c>
    </row>
    <row r="3280" spans="1:19" ht="50.1" customHeight="1">
      <c r="A3280" s="31"/>
      <c r="B3280" s="32" t="s">
        <v>12370</v>
      </c>
      <c r="C3280" s="31" t="s">
        <v>390</v>
      </c>
      <c r="D3280" s="31" t="s">
        <v>2518</v>
      </c>
      <c r="E3280" s="31" t="s">
        <v>12371</v>
      </c>
      <c r="F3280" s="31">
        <v>768</v>
      </c>
      <c r="G3280" s="31">
        <v>86</v>
      </c>
      <c r="H3280" s="31">
        <v>10</v>
      </c>
      <c r="I3280" s="31">
        <v>30</v>
      </c>
      <c r="J3280" s="31" t="s">
        <v>12372</v>
      </c>
      <c r="K3280" s="31" t="s">
        <v>123</v>
      </c>
      <c r="L3280" s="31" t="s">
        <v>56</v>
      </c>
      <c r="M3280" s="31">
        <v>160</v>
      </c>
      <c r="N3280" s="31">
        <v>2017</v>
      </c>
      <c r="O3280" s="31">
        <v>76</v>
      </c>
      <c r="P3280" s="31"/>
      <c r="Q3280" s="31"/>
      <c r="R3280" s="33"/>
      <c r="S3280" s="34" t="str">
        <f>HYPERLINK("http://www.cnpol.ru/covers/17803.jpg","фото на сайте")</f>
        <v>фото на сайте</v>
      </c>
    </row>
    <row r="3281" spans="1:19" ht="50.1" customHeight="1">
      <c r="A3281" s="31"/>
      <c r="B3281" s="32" t="s">
        <v>12373</v>
      </c>
      <c r="C3281" s="31" t="s">
        <v>390</v>
      </c>
      <c r="D3281" s="31" t="s">
        <v>2094</v>
      </c>
      <c r="E3281" s="31" t="s">
        <v>12374</v>
      </c>
      <c r="F3281" s="31">
        <v>86</v>
      </c>
      <c r="G3281" s="31">
        <v>86</v>
      </c>
      <c r="H3281" s="31">
        <v>10</v>
      </c>
      <c r="I3281" s="31">
        <v>30</v>
      </c>
      <c r="J3281" s="31" t="s">
        <v>12375</v>
      </c>
      <c r="K3281" s="31" t="s">
        <v>123</v>
      </c>
      <c r="L3281" s="31" t="s">
        <v>56</v>
      </c>
      <c r="M3281" s="31">
        <v>158</v>
      </c>
      <c r="N3281" s="31">
        <v>2011</v>
      </c>
      <c r="O3281" s="31">
        <v>78</v>
      </c>
      <c r="P3281" s="31"/>
      <c r="Q3281" s="31"/>
      <c r="R3281" s="33"/>
      <c r="S3281" s="34" t="str">
        <f>HYPERLINK("http://www.cnpol.ru/covers/12701.jpg","фото на сайте")</f>
        <v>фото на сайте</v>
      </c>
    </row>
    <row r="3282" spans="1:19" ht="50.1" customHeight="1">
      <c r="A3282" s="31"/>
      <c r="B3282" s="32" t="s">
        <v>12376</v>
      </c>
      <c r="C3282" s="31" t="s">
        <v>390</v>
      </c>
      <c r="D3282" s="31" t="s">
        <v>10628</v>
      </c>
      <c r="E3282" s="31" t="s">
        <v>12377</v>
      </c>
      <c r="F3282" s="31">
        <v>1143</v>
      </c>
      <c r="G3282" s="31">
        <v>86</v>
      </c>
      <c r="H3282" s="31">
        <v>10</v>
      </c>
      <c r="I3282" s="31">
        <v>30</v>
      </c>
      <c r="J3282" s="31" t="s">
        <v>12378</v>
      </c>
      <c r="K3282" s="31" t="s">
        <v>123</v>
      </c>
      <c r="L3282" s="31" t="s">
        <v>56</v>
      </c>
      <c r="M3282" s="31">
        <v>159</v>
      </c>
      <c r="N3282" s="31">
        <v>2023</v>
      </c>
      <c r="O3282" s="31">
        <v>76</v>
      </c>
      <c r="P3282" s="31"/>
      <c r="Q3282" s="31"/>
      <c r="R3282" s="33" t="s">
        <v>12379</v>
      </c>
      <c r="S3282" s="34" t="str">
        <f>HYPERLINK("http://www.cnpol.ru/covers/20665.jpg","фото на сайте")</f>
        <v>фото на сайте</v>
      </c>
    </row>
    <row r="3283" spans="1:19" ht="50.1" customHeight="1">
      <c r="A3283" s="31"/>
      <c r="B3283" s="32" t="s">
        <v>12380</v>
      </c>
      <c r="C3283" s="31" t="s">
        <v>390</v>
      </c>
      <c r="D3283" s="31" t="s">
        <v>1469</v>
      </c>
      <c r="E3283" s="31" t="s">
        <v>12381</v>
      </c>
      <c r="F3283" s="31">
        <v>1134</v>
      </c>
      <c r="G3283" s="31">
        <v>86</v>
      </c>
      <c r="H3283" s="31">
        <v>10</v>
      </c>
      <c r="I3283" s="31">
        <v>30</v>
      </c>
      <c r="J3283" s="31" t="s">
        <v>12382</v>
      </c>
      <c r="K3283" s="31" t="s">
        <v>123</v>
      </c>
      <c r="L3283" s="31" t="s">
        <v>56</v>
      </c>
      <c r="M3283" s="31">
        <v>159</v>
      </c>
      <c r="N3283" s="31">
        <v>2023</v>
      </c>
      <c r="O3283" s="31">
        <v>76</v>
      </c>
      <c r="P3283" s="31"/>
      <c r="Q3283" s="31"/>
      <c r="R3283" s="33" t="s">
        <v>12383</v>
      </c>
      <c r="S3283" s="34" t="str">
        <f>HYPERLINK("http://www.cnpol.ru/covers/20604.jpg","фото на сайте")</f>
        <v>фото на сайте</v>
      </c>
    </row>
    <row r="3284" spans="1:19" ht="50.1" customHeight="1">
      <c r="A3284" s="31"/>
      <c r="B3284" s="32" t="s">
        <v>12384</v>
      </c>
      <c r="C3284" s="31" t="s">
        <v>1516</v>
      </c>
      <c r="D3284" s="31" t="s">
        <v>414</v>
      </c>
      <c r="E3284" s="31" t="s">
        <v>12385</v>
      </c>
      <c r="F3284" s="31">
        <v>19</v>
      </c>
      <c r="G3284" s="31">
        <v>106</v>
      </c>
      <c r="H3284" s="31">
        <v>10</v>
      </c>
      <c r="I3284" s="31">
        <v>30</v>
      </c>
      <c r="J3284" s="31" t="s">
        <v>12386</v>
      </c>
      <c r="K3284" s="31" t="s">
        <v>123</v>
      </c>
      <c r="L3284" s="31" t="s">
        <v>56</v>
      </c>
      <c r="M3284" s="31">
        <v>160</v>
      </c>
      <c r="N3284" s="31">
        <v>2019</v>
      </c>
      <c r="O3284" s="31">
        <v>78</v>
      </c>
      <c r="P3284" s="31"/>
      <c r="Q3284" s="31"/>
      <c r="R3284" s="33"/>
      <c r="S3284" s="34" t="str">
        <f>HYPERLINK("http://www.cnpol.ru/covers/18689.jpg","фото на сайте")</f>
        <v>фото на сайте</v>
      </c>
    </row>
    <row r="3285" spans="1:19" ht="50.1" customHeight="1">
      <c r="A3285" s="31"/>
      <c r="B3285" s="32" t="s">
        <v>12387</v>
      </c>
      <c r="C3285" s="31" t="s">
        <v>400</v>
      </c>
      <c r="D3285" s="31" t="s">
        <v>12388</v>
      </c>
      <c r="E3285" s="31" t="s">
        <v>12389</v>
      </c>
      <c r="F3285" s="31" t="s">
        <v>31</v>
      </c>
      <c r="G3285" s="31">
        <v>503</v>
      </c>
      <c r="H3285" s="31">
        <v>10</v>
      </c>
      <c r="I3285" s="31">
        <v>16</v>
      </c>
      <c r="J3285" s="31" t="s">
        <v>12390</v>
      </c>
      <c r="K3285" s="31" t="s">
        <v>33</v>
      </c>
      <c r="L3285" s="31" t="s">
        <v>34</v>
      </c>
      <c r="M3285" s="31">
        <v>319</v>
      </c>
      <c r="N3285" s="31">
        <v>2011</v>
      </c>
      <c r="O3285" s="31">
        <v>268</v>
      </c>
      <c r="P3285" s="31"/>
      <c r="Q3285" s="31"/>
      <c r="R3285" s="33"/>
      <c r="S3285" s="34" t="str">
        <f>HYPERLINK("http://www.cnpol.ru/covers/12648.jpg","фото на сайте")</f>
        <v>фото на сайте</v>
      </c>
    </row>
    <row r="3286" spans="1:19" ht="50.1" customHeight="1">
      <c r="A3286" s="31"/>
      <c r="B3286" s="32" t="s">
        <v>12391</v>
      </c>
      <c r="C3286" s="31" t="s">
        <v>390</v>
      </c>
      <c r="D3286" s="31" t="s">
        <v>4130</v>
      </c>
      <c r="E3286" s="31" t="s">
        <v>12392</v>
      </c>
      <c r="F3286" s="31">
        <v>970</v>
      </c>
      <c r="G3286" s="31">
        <v>86</v>
      </c>
      <c r="H3286" s="31">
        <v>10</v>
      </c>
      <c r="I3286" s="31">
        <v>30</v>
      </c>
      <c r="J3286" s="31" t="s">
        <v>12393</v>
      </c>
      <c r="K3286" s="31" t="s">
        <v>123</v>
      </c>
      <c r="L3286" s="31" t="s">
        <v>56</v>
      </c>
      <c r="M3286" s="31">
        <v>160</v>
      </c>
      <c r="N3286" s="31">
        <v>2020</v>
      </c>
      <c r="O3286" s="31">
        <v>76</v>
      </c>
      <c r="P3286" s="31"/>
      <c r="Q3286" s="31"/>
      <c r="R3286" s="33"/>
      <c r="S3286" s="34" t="str">
        <f>HYPERLINK("http://www.cnpol.ru/covers/19119.jpg","фото на сайте")</f>
        <v>фото на сайте</v>
      </c>
    </row>
    <row r="3287" spans="1:19" ht="50.1" customHeight="1">
      <c r="A3287" s="31"/>
      <c r="B3287" s="32" t="s">
        <v>12394</v>
      </c>
      <c r="C3287" s="31" t="s">
        <v>546</v>
      </c>
      <c r="D3287" s="31" t="s">
        <v>12395</v>
      </c>
      <c r="E3287" s="31" t="s">
        <v>12396</v>
      </c>
      <c r="F3287" s="31">
        <v>438</v>
      </c>
      <c r="G3287" s="31">
        <v>93</v>
      </c>
      <c r="H3287" s="31">
        <v>10</v>
      </c>
      <c r="I3287" s="31">
        <v>30</v>
      </c>
      <c r="J3287" s="31" t="s">
        <v>12397</v>
      </c>
      <c r="K3287" s="31" t="s">
        <v>123</v>
      </c>
      <c r="L3287" s="31" t="s">
        <v>56</v>
      </c>
      <c r="M3287" s="31">
        <v>159</v>
      </c>
      <c r="N3287" s="31">
        <v>2024</v>
      </c>
      <c r="O3287" s="31">
        <v>76</v>
      </c>
      <c r="P3287" s="31"/>
      <c r="Q3287" s="31"/>
      <c r="R3287" s="33" t="s">
        <v>12398</v>
      </c>
      <c r="S3287" s="34" t="str">
        <f>HYPERLINK("http://www.cnpol.ru/covers/20942.jpg","фото на сайте")</f>
        <v>фото на сайте</v>
      </c>
    </row>
    <row r="3288" spans="1:19" ht="50.1" customHeight="1">
      <c r="A3288" s="31"/>
      <c r="B3288" s="32" t="s">
        <v>12399</v>
      </c>
      <c r="C3288" s="31" t="s">
        <v>1516</v>
      </c>
      <c r="D3288" s="31" t="s">
        <v>1758</v>
      </c>
      <c r="E3288" s="31" t="s">
        <v>12400</v>
      </c>
      <c r="F3288" s="31">
        <v>34</v>
      </c>
      <c r="G3288" s="31">
        <v>106</v>
      </c>
      <c r="H3288" s="31">
        <v>10</v>
      </c>
      <c r="I3288" s="31">
        <v>30</v>
      </c>
      <c r="J3288" s="31" t="s">
        <v>12401</v>
      </c>
      <c r="K3288" s="31" t="s">
        <v>123</v>
      </c>
      <c r="L3288" s="31" t="s">
        <v>56</v>
      </c>
      <c r="M3288" s="31">
        <v>160</v>
      </c>
      <c r="N3288" s="31">
        <v>2021</v>
      </c>
      <c r="O3288" s="31">
        <v>76</v>
      </c>
      <c r="P3288" s="31"/>
      <c r="Q3288" s="31"/>
      <c r="R3288" s="33"/>
      <c r="S3288" s="34" t="str">
        <f>HYPERLINK("http://www.cnpol.ru/covers/19599.jpg","фото на сайте")</f>
        <v>фото на сайте</v>
      </c>
    </row>
    <row r="3289" spans="1:19" ht="50.1" customHeight="1">
      <c r="A3289" s="31"/>
      <c r="B3289" s="32" t="s">
        <v>12402</v>
      </c>
      <c r="C3289" s="31" t="s">
        <v>390</v>
      </c>
      <c r="D3289" s="31" t="s">
        <v>414</v>
      </c>
      <c r="E3289" s="31" t="s">
        <v>12403</v>
      </c>
      <c r="F3289" s="31">
        <v>531</v>
      </c>
      <c r="G3289" s="31">
        <v>86</v>
      </c>
      <c r="H3289" s="31">
        <v>10</v>
      </c>
      <c r="I3289" s="31">
        <v>30</v>
      </c>
      <c r="J3289" s="31" t="s">
        <v>12404</v>
      </c>
      <c r="K3289" s="31" t="s">
        <v>123</v>
      </c>
      <c r="L3289" s="31" t="s">
        <v>56</v>
      </c>
      <c r="M3289" s="31">
        <v>158</v>
      </c>
      <c r="N3289" s="31">
        <v>2015</v>
      </c>
      <c r="O3289" s="31">
        <v>76</v>
      </c>
      <c r="P3289" s="31"/>
      <c r="Q3289" s="31"/>
      <c r="R3289" s="33"/>
      <c r="S3289" s="34" t="str">
        <f>HYPERLINK("http://www.cnpol.ru/covers/16110.jpg","фото на сайте")</f>
        <v>фото на сайте</v>
      </c>
    </row>
    <row r="3290" spans="1:19" ht="50.1" customHeight="1">
      <c r="A3290" s="31"/>
      <c r="B3290" s="32" t="s">
        <v>12405</v>
      </c>
      <c r="C3290" s="31" t="s">
        <v>390</v>
      </c>
      <c r="D3290" s="31" t="s">
        <v>2511</v>
      </c>
      <c r="E3290" s="31" t="s">
        <v>12403</v>
      </c>
      <c r="F3290" s="31">
        <v>818</v>
      </c>
      <c r="G3290" s="31">
        <v>86</v>
      </c>
      <c r="H3290" s="31">
        <v>10</v>
      </c>
      <c r="I3290" s="31">
        <v>30</v>
      </c>
      <c r="J3290" s="31" t="s">
        <v>12406</v>
      </c>
      <c r="K3290" s="31" t="s">
        <v>123</v>
      </c>
      <c r="L3290" s="31" t="s">
        <v>56</v>
      </c>
      <c r="M3290" s="31">
        <v>160</v>
      </c>
      <c r="N3290" s="31">
        <v>2018</v>
      </c>
      <c r="O3290" s="31">
        <v>76</v>
      </c>
      <c r="P3290" s="31"/>
      <c r="Q3290" s="31"/>
      <c r="R3290" s="33"/>
      <c r="S3290" s="34" t="str">
        <f>HYPERLINK("http://www.cnpol.ru/covers/18211.jpg","фото на сайте")</f>
        <v>фото на сайте</v>
      </c>
    </row>
    <row r="3291" spans="1:19" ht="50.1" customHeight="1">
      <c r="A3291" s="31"/>
      <c r="B3291" s="32" t="s">
        <v>12407</v>
      </c>
      <c r="C3291" s="31" t="s">
        <v>400</v>
      </c>
      <c r="D3291" s="31" t="s">
        <v>9086</v>
      </c>
      <c r="E3291" s="31" t="s">
        <v>12408</v>
      </c>
      <c r="F3291" s="31" t="s">
        <v>31</v>
      </c>
      <c r="G3291" s="31">
        <v>503</v>
      </c>
      <c r="H3291" s="31">
        <v>10</v>
      </c>
      <c r="I3291" s="31">
        <v>14</v>
      </c>
      <c r="J3291" s="31" t="s">
        <v>12409</v>
      </c>
      <c r="K3291" s="31" t="s">
        <v>33</v>
      </c>
      <c r="L3291" s="31" t="s">
        <v>34</v>
      </c>
      <c r="M3291" s="31">
        <v>288</v>
      </c>
      <c r="N3291" s="31">
        <v>2019</v>
      </c>
      <c r="O3291" s="31">
        <v>253</v>
      </c>
      <c r="P3291" s="31"/>
      <c r="Q3291" s="31"/>
      <c r="R3291" s="33"/>
      <c r="S3291" s="34" t="str">
        <f>HYPERLINK("http://www.cnpol.ru/covers/18784.jpg","фото на сайте")</f>
        <v>фото на сайте</v>
      </c>
    </row>
    <row r="3292" spans="1:19" ht="50.1" customHeight="1">
      <c r="A3292" s="31" t="s">
        <v>43</v>
      </c>
      <c r="B3292" s="32" t="s">
        <v>12410</v>
      </c>
      <c r="C3292" s="31" t="s">
        <v>1206</v>
      </c>
      <c r="D3292" s="31" t="s">
        <v>1207</v>
      </c>
      <c r="E3292" s="31" t="s">
        <v>12411</v>
      </c>
      <c r="F3292" s="31" t="s">
        <v>31</v>
      </c>
      <c r="G3292" s="31">
        <v>672</v>
      </c>
      <c r="H3292" s="31">
        <v>10</v>
      </c>
      <c r="I3292" s="31">
        <v>14</v>
      </c>
      <c r="J3292" s="31" t="s">
        <v>12412</v>
      </c>
      <c r="K3292" s="31" t="s">
        <v>739</v>
      </c>
      <c r="L3292" s="31" t="s">
        <v>34</v>
      </c>
      <c r="M3292" s="31">
        <v>398</v>
      </c>
      <c r="N3292" s="31">
        <v>2025</v>
      </c>
      <c r="O3292" s="31" t="s">
        <v>220</v>
      </c>
      <c r="P3292" s="31"/>
      <c r="Q3292" s="31"/>
      <c r="R3292" s="33" t="s">
        <v>12413</v>
      </c>
      <c r="S3292" s="34" t="str">
        <f>HYPERLINK("http://www.cnpol.ru/covers/21831.jpg","фото на сайте")</f>
        <v>фото на сайте</v>
      </c>
    </row>
    <row r="3293" spans="1:19" ht="50.1" customHeight="1">
      <c r="A3293" s="31" t="s">
        <v>43</v>
      </c>
      <c r="B3293" s="32" t="s">
        <v>12414</v>
      </c>
      <c r="C3293" s="31" t="s">
        <v>1206</v>
      </c>
      <c r="D3293" s="31" t="s">
        <v>1207</v>
      </c>
      <c r="E3293" s="31" t="s">
        <v>12415</v>
      </c>
      <c r="F3293" s="31" t="s">
        <v>31</v>
      </c>
      <c r="G3293" s="35">
        <v>1332</v>
      </c>
      <c r="H3293" s="31">
        <v>10</v>
      </c>
      <c r="I3293" s="31">
        <v>8</v>
      </c>
      <c r="J3293" s="31" t="s">
        <v>12416</v>
      </c>
      <c r="K3293" s="31" t="s">
        <v>41</v>
      </c>
      <c r="L3293" s="31" t="s">
        <v>34</v>
      </c>
      <c r="M3293" s="31">
        <v>752</v>
      </c>
      <c r="N3293" s="31">
        <v>2025</v>
      </c>
      <c r="O3293" s="31" t="s">
        <v>220</v>
      </c>
      <c r="P3293" s="31"/>
      <c r="Q3293" s="31"/>
      <c r="R3293" s="33" t="s">
        <v>12417</v>
      </c>
      <c r="S3293" s="34" t="str">
        <f>HYPERLINK("http://www.cnpol.ru/covers/21783.jpg","фото на сайте")</f>
        <v>фото на сайте</v>
      </c>
    </row>
    <row r="3294" spans="1:19" ht="50.1" customHeight="1">
      <c r="A3294" s="31"/>
      <c r="B3294" s="32" t="s">
        <v>12418</v>
      </c>
      <c r="C3294" s="31" t="s">
        <v>613</v>
      </c>
      <c r="D3294" s="31" t="s">
        <v>614</v>
      </c>
      <c r="E3294" s="31" t="s">
        <v>12419</v>
      </c>
      <c r="F3294" s="31" t="s">
        <v>31</v>
      </c>
      <c r="G3294" s="31">
        <v>353</v>
      </c>
      <c r="H3294" s="31">
        <v>10</v>
      </c>
      <c r="I3294" s="31">
        <v>12</v>
      </c>
      <c r="J3294" s="31" t="s">
        <v>12420</v>
      </c>
      <c r="K3294" s="31" t="s">
        <v>55</v>
      </c>
      <c r="L3294" s="31" t="s">
        <v>34</v>
      </c>
      <c r="M3294" s="31">
        <v>441</v>
      </c>
      <c r="N3294" s="31">
        <v>2015</v>
      </c>
      <c r="O3294" s="31">
        <v>294</v>
      </c>
      <c r="P3294" s="31"/>
      <c r="Q3294" s="31"/>
      <c r="R3294" s="33"/>
      <c r="S3294" s="34" t="str">
        <f>HYPERLINK("http://www.cnpol.ru/covers/15769.jpg","фото на сайте")</f>
        <v>фото на сайте</v>
      </c>
    </row>
    <row r="3295" spans="1:19" ht="50.1" customHeight="1">
      <c r="A3295" s="31"/>
      <c r="B3295" s="32" t="s">
        <v>12421</v>
      </c>
      <c r="C3295" s="31" t="s">
        <v>613</v>
      </c>
      <c r="D3295" s="31" t="s">
        <v>614</v>
      </c>
      <c r="E3295" s="31" t="s">
        <v>12422</v>
      </c>
      <c r="F3295" s="31" t="s">
        <v>31</v>
      </c>
      <c r="G3295" s="31">
        <v>425</v>
      </c>
      <c r="H3295" s="31">
        <v>10</v>
      </c>
      <c r="I3295" s="31">
        <v>12</v>
      </c>
      <c r="J3295" s="31" t="s">
        <v>12423</v>
      </c>
      <c r="K3295" s="31" t="s">
        <v>55</v>
      </c>
      <c r="L3295" s="31" t="s">
        <v>34</v>
      </c>
      <c r="M3295" s="31">
        <v>441</v>
      </c>
      <c r="N3295" s="31">
        <v>2024</v>
      </c>
      <c r="O3295" s="31">
        <v>292</v>
      </c>
      <c r="P3295" s="31"/>
      <c r="Q3295" s="31"/>
      <c r="R3295" s="33" t="s">
        <v>12424</v>
      </c>
      <c r="S3295" s="34" t="str">
        <f>HYPERLINK("http://www.cnpol.ru/covers/20937.jpg","фото на сайте")</f>
        <v>фото на сайте</v>
      </c>
    </row>
    <row r="3296" spans="1:19" ht="50.1" customHeight="1">
      <c r="A3296" s="31"/>
      <c r="B3296" s="32" t="s">
        <v>12425</v>
      </c>
      <c r="C3296" s="31" t="s">
        <v>12426</v>
      </c>
      <c r="D3296" s="31" t="s">
        <v>12427</v>
      </c>
      <c r="E3296" s="31" t="s">
        <v>12428</v>
      </c>
      <c r="F3296" s="31" t="s">
        <v>31</v>
      </c>
      <c r="G3296" s="31">
        <v>128</v>
      </c>
      <c r="H3296" s="31">
        <v>10</v>
      </c>
      <c r="I3296" s="31">
        <v>40</v>
      </c>
      <c r="J3296" s="31" t="s">
        <v>12429</v>
      </c>
      <c r="K3296" s="31" t="s">
        <v>55</v>
      </c>
      <c r="L3296" s="31" t="s">
        <v>56</v>
      </c>
      <c r="M3296" s="31">
        <v>174</v>
      </c>
      <c r="N3296" s="31">
        <v>2015</v>
      </c>
      <c r="O3296" s="31">
        <v>74</v>
      </c>
      <c r="P3296" s="31"/>
      <c r="Q3296" s="31"/>
      <c r="R3296" s="33"/>
      <c r="S3296" s="34" t="str">
        <f>HYPERLINK("http://www.cnpol.ru/covers/15821.jpg","фото на сайте")</f>
        <v>фото на сайте</v>
      </c>
    </row>
    <row r="3297" spans="1:19" ht="50.1" customHeight="1">
      <c r="A3297" s="31"/>
      <c r="B3297" s="32" t="s">
        <v>12430</v>
      </c>
      <c r="C3297" s="31" t="s">
        <v>12426</v>
      </c>
      <c r="D3297" s="31" t="s">
        <v>12431</v>
      </c>
      <c r="E3297" s="31" t="s">
        <v>12432</v>
      </c>
      <c r="F3297" s="31" t="s">
        <v>31</v>
      </c>
      <c r="G3297" s="31">
        <v>112</v>
      </c>
      <c r="H3297" s="31">
        <v>10</v>
      </c>
      <c r="I3297" s="31">
        <v>30</v>
      </c>
      <c r="J3297" s="31" t="s">
        <v>12433</v>
      </c>
      <c r="K3297" s="31" t="s">
        <v>55</v>
      </c>
      <c r="L3297" s="31" t="s">
        <v>56</v>
      </c>
      <c r="M3297" s="31">
        <v>222</v>
      </c>
      <c r="N3297" s="31">
        <v>2008</v>
      </c>
      <c r="O3297" s="31" t="s">
        <v>220</v>
      </c>
      <c r="P3297" s="31"/>
      <c r="Q3297" s="31"/>
      <c r="R3297" s="33"/>
      <c r="S3297" s="34" t="str">
        <f>HYPERLINK("http://www.cnpol.ru/covers/10145.jpg","фото на сайте")</f>
        <v>фото на сайте</v>
      </c>
    </row>
    <row r="3298" spans="1:19" ht="50.1" customHeight="1">
      <c r="A3298" s="31"/>
      <c r="B3298" s="32" t="s">
        <v>12434</v>
      </c>
      <c r="C3298" s="31" t="s">
        <v>12426</v>
      </c>
      <c r="D3298" s="31" t="s">
        <v>12427</v>
      </c>
      <c r="E3298" s="31" t="s">
        <v>12435</v>
      </c>
      <c r="F3298" s="31" t="s">
        <v>31</v>
      </c>
      <c r="G3298" s="31">
        <v>112</v>
      </c>
      <c r="H3298" s="31">
        <v>10</v>
      </c>
      <c r="I3298" s="31">
        <v>36</v>
      </c>
      <c r="J3298" s="31" t="s">
        <v>12436</v>
      </c>
      <c r="K3298" s="31" t="s">
        <v>55</v>
      </c>
      <c r="L3298" s="31" t="s">
        <v>56</v>
      </c>
      <c r="M3298" s="31">
        <v>156</v>
      </c>
      <c r="N3298" s="31">
        <v>2010</v>
      </c>
      <c r="O3298" s="31">
        <v>72</v>
      </c>
      <c r="P3298" s="31"/>
      <c r="Q3298" s="31"/>
      <c r="R3298" s="33"/>
      <c r="S3298" s="34" t="str">
        <f>HYPERLINK("http://www.cnpol.ru/covers/11879.jpg","фото на сайте")</f>
        <v>фото на сайте</v>
      </c>
    </row>
    <row r="3299" spans="1:19" ht="50.1" customHeight="1">
      <c r="A3299" s="31"/>
      <c r="B3299" s="32" t="s">
        <v>12437</v>
      </c>
      <c r="C3299" s="31" t="s">
        <v>413</v>
      </c>
      <c r="D3299" s="31" t="s">
        <v>694</v>
      </c>
      <c r="E3299" s="31" t="s">
        <v>12438</v>
      </c>
      <c r="F3299" s="31">
        <v>115</v>
      </c>
      <c r="G3299" s="31">
        <v>117</v>
      </c>
      <c r="H3299" s="31">
        <v>10</v>
      </c>
      <c r="I3299" s="31">
        <v>36</v>
      </c>
      <c r="J3299" s="31" t="s">
        <v>12439</v>
      </c>
      <c r="K3299" s="31" t="s">
        <v>123</v>
      </c>
      <c r="L3299" s="31" t="s">
        <v>56</v>
      </c>
      <c r="M3299" s="31">
        <v>192</v>
      </c>
      <c r="N3299" s="31">
        <v>2016</v>
      </c>
      <c r="O3299" s="31">
        <v>90</v>
      </c>
      <c r="P3299" s="31"/>
      <c r="Q3299" s="31"/>
      <c r="R3299" s="33"/>
      <c r="S3299" s="34" t="str">
        <f>HYPERLINK("http://www.cnpol.ru/covers/16893.jpg","фото на сайте")</f>
        <v>фото на сайте</v>
      </c>
    </row>
    <row r="3300" spans="1:19" ht="50.1" customHeight="1">
      <c r="A3300" s="31"/>
      <c r="B3300" s="32" t="s">
        <v>12440</v>
      </c>
      <c r="C3300" s="31" t="s">
        <v>400</v>
      </c>
      <c r="D3300" s="31" t="s">
        <v>5231</v>
      </c>
      <c r="E3300" s="31" t="s">
        <v>12441</v>
      </c>
      <c r="F3300" s="31" t="s">
        <v>31</v>
      </c>
      <c r="G3300" s="31">
        <v>503</v>
      </c>
      <c r="H3300" s="31">
        <v>10</v>
      </c>
      <c r="I3300" s="31">
        <v>14</v>
      </c>
      <c r="J3300" s="31" t="s">
        <v>12442</v>
      </c>
      <c r="K3300" s="31" t="s">
        <v>33</v>
      </c>
      <c r="L3300" s="31" t="s">
        <v>34</v>
      </c>
      <c r="M3300" s="31">
        <v>320</v>
      </c>
      <c r="N3300" s="31">
        <v>2017</v>
      </c>
      <c r="O3300" s="31">
        <v>266</v>
      </c>
      <c r="P3300" s="31"/>
      <c r="Q3300" s="31"/>
      <c r="R3300" s="33"/>
      <c r="S3300" s="34" t="str">
        <f>HYPERLINK("http://www.cnpol.ru/covers/17852.jpg","фото на сайте")</f>
        <v>фото на сайте</v>
      </c>
    </row>
    <row r="3301" spans="1:19" ht="50.1" customHeight="1">
      <c r="A3301" s="31"/>
      <c r="B3301" s="32" t="s">
        <v>12443</v>
      </c>
      <c r="C3301" s="31" t="s">
        <v>390</v>
      </c>
      <c r="D3301" s="31" t="s">
        <v>1681</v>
      </c>
      <c r="E3301" s="31" t="s">
        <v>12444</v>
      </c>
      <c r="F3301" s="31">
        <v>1015</v>
      </c>
      <c r="G3301" s="31">
        <v>86</v>
      </c>
      <c r="H3301" s="31">
        <v>10</v>
      </c>
      <c r="I3301" s="31">
        <v>30</v>
      </c>
      <c r="J3301" s="31" t="s">
        <v>12445</v>
      </c>
      <c r="K3301" s="31" t="s">
        <v>123</v>
      </c>
      <c r="L3301" s="31" t="s">
        <v>56</v>
      </c>
      <c r="M3301" s="31">
        <v>160</v>
      </c>
      <c r="N3301" s="31">
        <v>2021</v>
      </c>
      <c r="O3301" s="31">
        <v>76</v>
      </c>
      <c r="P3301" s="31"/>
      <c r="Q3301" s="31"/>
      <c r="R3301" s="33"/>
      <c r="S3301" s="34" t="str">
        <f>HYPERLINK("http://www.cnpol.ru/covers/19500.jpg","фото на сайте")</f>
        <v>фото на сайте</v>
      </c>
    </row>
    <row r="3302" spans="1:19" ht="50.1" customHeight="1">
      <c r="A3302" s="31"/>
      <c r="B3302" s="32" t="s">
        <v>12446</v>
      </c>
      <c r="C3302" s="31" t="s">
        <v>2056</v>
      </c>
      <c r="D3302" s="31" t="s">
        <v>12447</v>
      </c>
      <c r="E3302" s="31" t="s">
        <v>12448</v>
      </c>
      <c r="F3302" s="31" t="s">
        <v>31</v>
      </c>
      <c r="G3302" s="35">
        <v>1052</v>
      </c>
      <c r="H3302" s="31">
        <v>10</v>
      </c>
      <c r="I3302" s="31">
        <v>10</v>
      </c>
      <c r="J3302" s="31" t="s">
        <v>12449</v>
      </c>
      <c r="K3302" s="31" t="s">
        <v>33</v>
      </c>
      <c r="L3302" s="31" t="s">
        <v>34</v>
      </c>
      <c r="M3302" s="31">
        <v>408</v>
      </c>
      <c r="N3302" s="31">
        <v>2021</v>
      </c>
      <c r="O3302" s="31">
        <v>330</v>
      </c>
      <c r="P3302" s="31"/>
      <c r="Q3302" s="31"/>
      <c r="R3302" s="33"/>
      <c r="S3302" s="34" t="str">
        <f>HYPERLINK("http://www.cnpol.ru/covers/19799.jpg","фото на сайте")</f>
        <v>фото на сайте</v>
      </c>
    </row>
    <row r="3303" spans="1:19" ht="50.1" customHeight="1">
      <c r="A3303" s="31" t="s">
        <v>43</v>
      </c>
      <c r="B3303" s="32" t="s">
        <v>12450</v>
      </c>
      <c r="C3303" s="31" t="s">
        <v>2056</v>
      </c>
      <c r="D3303" s="31" t="s">
        <v>2399</v>
      </c>
      <c r="E3303" s="31" t="s">
        <v>12451</v>
      </c>
      <c r="F3303" s="31" t="s">
        <v>31</v>
      </c>
      <c r="G3303" s="31">
        <v>851</v>
      </c>
      <c r="H3303" s="31">
        <v>10</v>
      </c>
      <c r="I3303" s="31">
        <v>10</v>
      </c>
      <c r="J3303" s="31" t="s">
        <v>12452</v>
      </c>
      <c r="K3303" s="31" t="s">
        <v>33</v>
      </c>
      <c r="L3303" s="31" t="s">
        <v>34</v>
      </c>
      <c r="M3303" s="31">
        <v>271</v>
      </c>
      <c r="N3303" s="31">
        <v>2025</v>
      </c>
      <c r="O3303" s="31">
        <v>233</v>
      </c>
      <c r="P3303" s="31"/>
      <c r="Q3303" s="31"/>
      <c r="R3303" s="33" t="s">
        <v>12453</v>
      </c>
      <c r="S3303" s="34" t="str">
        <f>HYPERLINK("http://www.cnpol.ru/covers/21725.jpg","фото на сайте")</f>
        <v>фото на сайте</v>
      </c>
    </row>
    <row r="3304" spans="1:19" ht="50.1" customHeight="1">
      <c r="A3304" s="31"/>
      <c r="B3304" s="32" t="s">
        <v>12454</v>
      </c>
      <c r="C3304" s="31" t="s">
        <v>400</v>
      </c>
      <c r="D3304" s="31" t="s">
        <v>12455</v>
      </c>
      <c r="E3304" s="31" t="s">
        <v>12456</v>
      </c>
      <c r="F3304" s="31" t="s">
        <v>31</v>
      </c>
      <c r="G3304" s="31">
        <v>503</v>
      </c>
      <c r="H3304" s="31">
        <v>10</v>
      </c>
      <c r="I3304" s="31">
        <v>14</v>
      </c>
      <c r="J3304" s="31" t="s">
        <v>12457</v>
      </c>
      <c r="K3304" s="31" t="s">
        <v>33</v>
      </c>
      <c r="L3304" s="31" t="s">
        <v>34</v>
      </c>
      <c r="M3304" s="31">
        <v>287</v>
      </c>
      <c r="N3304" s="31">
        <v>2021</v>
      </c>
      <c r="O3304" s="31">
        <v>252</v>
      </c>
      <c r="P3304" s="31"/>
      <c r="Q3304" s="31"/>
      <c r="R3304" s="33"/>
      <c r="S3304" s="34" t="str">
        <f>HYPERLINK("http://www.cnpol.ru/covers/19453.jpg","фото на сайте")</f>
        <v>фото на сайте</v>
      </c>
    </row>
    <row r="3305" spans="1:19" ht="50.1" customHeight="1">
      <c r="A3305" s="31"/>
      <c r="B3305" s="32" t="s">
        <v>12458</v>
      </c>
      <c r="C3305" s="31" t="s">
        <v>390</v>
      </c>
      <c r="D3305" s="31" t="s">
        <v>2511</v>
      </c>
      <c r="E3305" s="31" t="s">
        <v>12459</v>
      </c>
      <c r="F3305" s="31">
        <v>408</v>
      </c>
      <c r="G3305" s="31">
        <v>86</v>
      </c>
      <c r="H3305" s="31">
        <v>10</v>
      </c>
      <c r="I3305" s="31">
        <v>30</v>
      </c>
      <c r="J3305" s="31" t="s">
        <v>12460</v>
      </c>
      <c r="K3305" s="31" t="s">
        <v>300</v>
      </c>
      <c r="L3305" s="31" t="s">
        <v>56</v>
      </c>
      <c r="M3305" s="31">
        <v>158</v>
      </c>
      <c r="N3305" s="31">
        <v>2014</v>
      </c>
      <c r="O3305" s="31">
        <v>76</v>
      </c>
      <c r="P3305" s="31"/>
      <c r="Q3305" s="31"/>
      <c r="R3305" s="33"/>
      <c r="S3305" s="34" t="str">
        <f>HYPERLINK("http://www.cnpol.ru/covers/15169.jpg","фото на сайте")</f>
        <v>фото на сайте</v>
      </c>
    </row>
    <row r="3306" spans="1:19" ht="50.1" customHeight="1">
      <c r="A3306" s="31"/>
      <c r="B3306" s="32" t="s">
        <v>12461</v>
      </c>
      <c r="C3306" s="31" t="s">
        <v>2920</v>
      </c>
      <c r="D3306" s="31" t="s">
        <v>2921</v>
      </c>
      <c r="E3306" s="31" t="s">
        <v>12462</v>
      </c>
      <c r="F3306" s="31" t="s">
        <v>31</v>
      </c>
      <c r="G3306" s="31">
        <v>154</v>
      </c>
      <c r="H3306" s="31">
        <v>10</v>
      </c>
      <c r="I3306" s="31">
        <v>20</v>
      </c>
      <c r="J3306" s="31" t="s">
        <v>12463</v>
      </c>
      <c r="K3306" s="31" t="s">
        <v>55</v>
      </c>
      <c r="L3306" s="31" t="s">
        <v>56</v>
      </c>
      <c r="M3306" s="31">
        <v>318</v>
      </c>
      <c r="N3306" s="31">
        <v>2008</v>
      </c>
      <c r="O3306" s="31">
        <v>140</v>
      </c>
      <c r="P3306" s="31"/>
      <c r="Q3306" s="31"/>
      <c r="R3306" s="33"/>
      <c r="S3306" s="34" t="str">
        <f>HYPERLINK("http://www.cnpol.ru/covers/7924.jpg","фото на сайте")</f>
        <v>фото на сайте</v>
      </c>
    </row>
    <row r="3307" spans="1:19" ht="50.1" customHeight="1">
      <c r="A3307" s="31"/>
      <c r="B3307" s="32" t="s">
        <v>12464</v>
      </c>
      <c r="C3307" s="31" t="s">
        <v>28</v>
      </c>
      <c r="D3307" s="31" t="s">
        <v>5610</v>
      </c>
      <c r="E3307" s="31" t="s">
        <v>12465</v>
      </c>
      <c r="F3307" s="31" t="s">
        <v>31</v>
      </c>
      <c r="G3307" s="35">
        <v>1394</v>
      </c>
      <c r="H3307" s="31">
        <v>10</v>
      </c>
      <c r="I3307" s="31">
        <v>6</v>
      </c>
      <c r="J3307" s="31" t="s">
        <v>12466</v>
      </c>
      <c r="K3307" s="31" t="s">
        <v>33</v>
      </c>
      <c r="L3307" s="31" t="s">
        <v>34</v>
      </c>
      <c r="M3307" s="31">
        <v>607</v>
      </c>
      <c r="N3307" s="31">
        <v>2023</v>
      </c>
      <c r="O3307" s="31">
        <v>606</v>
      </c>
      <c r="P3307" s="31"/>
      <c r="Q3307" s="31"/>
      <c r="R3307" s="33" t="s">
        <v>12467</v>
      </c>
      <c r="S3307" s="34" t="str">
        <f>HYPERLINK("http://www.cnpol.ru/covers/20535.jpg","фото на сайте")</f>
        <v>фото на сайте</v>
      </c>
    </row>
    <row r="3308" spans="1:19" ht="50.1" customHeight="1">
      <c r="A3308" s="31" t="s">
        <v>35</v>
      </c>
      <c r="B3308" s="32" t="s">
        <v>12468</v>
      </c>
      <c r="C3308" s="31" t="s">
        <v>37</v>
      </c>
      <c r="D3308" s="31" t="s">
        <v>3390</v>
      </c>
      <c r="E3308" s="31" t="s">
        <v>12469</v>
      </c>
      <c r="F3308" s="31" t="s">
        <v>31</v>
      </c>
      <c r="G3308" s="35">
        <v>1076</v>
      </c>
      <c r="H3308" s="31">
        <v>10</v>
      </c>
      <c r="I3308" s="31">
        <v>5</v>
      </c>
      <c r="J3308" s="31" t="s">
        <v>12470</v>
      </c>
      <c r="K3308" s="31" t="s">
        <v>33</v>
      </c>
      <c r="L3308" s="31" t="s">
        <v>34</v>
      </c>
      <c r="M3308" s="31">
        <v>416</v>
      </c>
      <c r="N3308" s="31">
        <v>2025</v>
      </c>
      <c r="O3308" s="31">
        <v>330</v>
      </c>
      <c r="P3308" s="31"/>
      <c r="Q3308" s="31"/>
      <c r="R3308" s="33" t="s">
        <v>12471</v>
      </c>
      <c r="S3308" s="34" t="str">
        <f>HYPERLINK("http://www.cnpol.ru/covers/21697.jpg","фото на сайте")</f>
        <v>фото на сайте</v>
      </c>
    </row>
    <row r="3309" spans="1:19" ht="50.1" customHeight="1">
      <c r="A3309" s="31"/>
      <c r="B3309" s="32" t="s">
        <v>12472</v>
      </c>
      <c r="C3309" s="31" t="s">
        <v>400</v>
      </c>
      <c r="D3309" s="31" t="s">
        <v>12388</v>
      </c>
      <c r="E3309" s="31" t="s">
        <v>12473</v>
      </c>
      <c r="F3309" s="31" t="s">
        <v>31</v>
      </c>
      <c r="G3309" s="31">
        <v>503</v>
      </c>
      <c r="H3309" s="31">
        <v>10</v>
      </c>
      <c r="I3309" s="31">
        <v>14</v>
      </c>
      <c r="J3309" s="31" t="s">
        <v>12474</v>
      </c>
      <c r="K3309" s="31" t="s">
        <v>33</v>
      </c>
      <c r="L3309" s="31" t="s">
        <v>34</v>
      </c>
      <c r="M3309" s="31">
        <v>319</v>
      </c>
      <c r="N3309" s="31">
        <v>2011</v>
      </c>
      <c r="O3309" s="31">
        <v>276</v>
      </c>
      <c r="P3309" s="31"/>
      <c r="Q3309" s="31"/>
      <c r="R3309" s="33"/>
      <c r="S3309" s="34" t="str">
        <f>HYPERLINK("http://www.cnpol.ru/covers/12732.jpg","фото на сайте")</f>
        <v>фото на сайте</v>
      </c>
    </row>
    <row r="3310" spans="1:19" ht="50.1" customHeight="1">
      <c r="A3310" s="31"/>
      <c r="B3310" s="32" t="s">
        <v>12475</v>
      </c>
      <c r="C3310" s="31" t="s">
        <v>4118</v>
      </c>
      <c r="D3310" s="31" t="s">
        <v>4119</v>
      </c>
      <c r="E3310" s="31" t="s">
        <v>12476</v>
      </c>
      <c r="F3310" s="31" t="s">
        <v>31</v>
      </c>
      <c r="G3310" s="31">
        <v>675</v>
      </c>
      <c r="H3310" s="31">
        <v>10</v>
      </c>
      <c r="I3310" s="31">
        <v>16</v>
      </c>
      <c r="J3310" s="31" t="s">
        <v>12477</v>
      </c>
      <c r="K3310" s="31" t="s">
        <v>33</v>
      </c>
      <c r="L3310" s="31" t="s">
        <v>34</v>
      </c>
      <c r="M3310" s="31">
        <v>288</v>
      </c>
      <c r="N3310" s="31">
        <v>2020</v>
      </c>
      <c r="O3310" s="31">
        <v>300</v>
      </c>
      <c r="P3310" s="31"/>
      <c r="Q3310" s="31"/>
      <c r="R3310" s="33"/>
      <c r="S3310" s="34" t="str">
        <f>HYPERLINK("http://www.cnpol.ru/covers/19047.jpg","фото на сайте")</f>
        <v>фото на сайте</v>
      </c>
    </row>
    <row r="3311" spans="1:19" ht="50.1" customHeight="1">
      <c r="A3311" s="31"/>
      <c r="B3311" s="32" t="s">
        <v>12478</v>
      </c>
      <c r="C3311" s="31" t="s">
        <v>8686</v>
      </c>
      <c r="D3311" s="31" t="s">
        <v>8687</v>
      </c>
      <c r="E3311" s="31" t="s">
        <v>12479</v>
      </c>
      <c r="F3311" s="31" t="s">
        <v>31</v>
      </c>
      <c r="G3311" s="31">
        <v>795</v>
      </c>
      <c r="H3311" s="31">
        <v>10</v>
      </c>
      <c r="I3311" s="31">
        <v>16</v>
      </c>
      <c r="J3311" s="31" t="s">
        <v>12480</v>
      </c>
      <c r="K3311" s="31" t="s">
        <v>33</v>
      </c>
      <c r="L3311" s="31" t="s">
        <v>34</v>
      </c>
      <c r="M3311" s="31">
        <v>237</v>
      </c>
      <c r="N3311" s="31">
        <v>2022</v>
      </c>
      <c r="O3311" s="31">
        <v>265</v>
      </c>
      <c r="P3311" s="31"/>
      <c r="Q3311" s="31"/>
      <c r="R3311" s="33"/>
      <c r="S3311" s="34" t="str">
        <f>HYPERLINK("http://www.cnpol.ru/covers/20214.jpg","фото на сайте")</f>
        <v>фото на сайте</v>
      </c>
    </row>
    <row r="3312" spans="1:19" ht="50.1" customHeight="1">
      <c r="A3312" s="31"/>
      <c r="B3312" s="32" t="s">
        <v>12481</v>
      </c>
      <c r="C3312" s="31" t="s">
        <v>975</v>
      </c>
      <c r="D3312" s="31" t="s">
        <v>1954</v>
      </c>
      <c r="E3312" s="31" t="s">
        <v>12482</v>
      </c>
      <c r="F3312" s="31" t="s">
        <v>31</v>
      </c>
      <c r="G3312" s="31">
        <v>154</v>
      </c>
      <c r="H3312" s="31">
        <v>10</v>
      </c>
      <c r="I3312" s="31">
        <v>20</v>
      </c>
      <c r="J3312" s="31" t="s">
        <v>12483</v>
      </c>
      <c r="K3312" s="31" t="s">
        <v>55</v>
      </c>
      <c r="L3312" s="31" t="s">
        <v>56</v>
      </c>
      <c r="M3312" s="31">
        <v>414</v>
      </c>
      <c r="N3312" s="31">
        <v>2005</v>
      </c>
      <c r="O3312" s="31">
        <v>170</v>
      </c>
      <c r="P3312" s="31"/>
      <c r="Q3312" s="31"/>
      <c r="R3312" s="33"/>
      <c r="S3312" s="34" t="str">
        <f>HYPERLINK("http://www.cnpol.ru/covers/5467.jpg","фото на сайте")</f>
        <v>фото на сайте</v>
      </c>
    </row>
    <row r="3313" spans="1:19" ht="50.1" customHeight="1">
      <c r="A3313" s="31"/>
      <c r="B3313" s="32" t="s">
        <v>12484</v>
      </c>
      <c r="C3313" s="31" t="s">
        <v>349</v>
      </c>
      <c r="D3313" s="31" t="s">
        <v>12485</v>
      </c>
      <c r="E3313" s="31" t="s">
        <v>12486</v>
      </c>
      <c r="F3313" s="31" t="s">
        <v>31</v>
      </c>
      <c r="G3313" s="31">
        <v>425</v>
      </c>
      <c r="H3313" s="31">
        <v>10</v>
      </c>
      <c r="I3313" s="31">
        <v>16</v>
      </c>
      <c r="J3313" s="31" t="s">
        <v>12487</v>
      </c>
      <c r="K3313" s="31" t="s">
        <v>33</v>
      </c>
      <c r="L3313" s="31" t="s">
        <v>34</v>
      </c>
      <c r="M3313" s="31">
        <v>255</v>
      </c>
      <c r="N3313" s="31">
        <v>2012</v>
      </c>
      <c r="O3313" s="31">
        <v>225</v>
      </c>
      <c r="P3313" s="31"/>
      <c r="Q3313" s="31"/>
      <c r="R3313" s="33" t="s">
        <v>12488</v>
      </c>
      <c r="S3313" s="34" t="str">
        <f>HYPERLINK("http://www.cnpol.ru/covers/13331.jpg","фото на сайте")</f>
        <v>фото на сайте</v>
      </c>
    </row>
    <row r="3314" spans="1:19" ht="50.1" customHeight="1">
      <c r="A3314" s="31"/>
      <c r="B3314" s="32" t="s">
        <v>12489</v>
      </c>
      <c r="C3314" s="31" t="s">
        <v>413</v>
      </c>
      <c r="D3314" s="31" t="s">
        <v>8877</v>
      </c>
      <c r="E3314" s="31" t="s">
        <v>12490</v>
      </c>
      <c r="F3314" s="31">
        <v>51</v>
      </c>
      <c r="G3314" s="31">
        <v>117</v>
      </c>
      <c r="H3314" s="31">
        <v>10</v>
      </c>
      <c r="I3314" s="31">
        <v>36</v>
      </c>
      <c r="J3314" s="31" t="s">
        <v>12491</v>
      </c>
      <c r="K3314" s="31" t="s">
        <v>123</v>
      </c>
      <c r="L3314" s="31" t="s">
        <v>56</v>
      </c>
      <c r="M3314" s="31">
        <v>190</v>
      </c>
      <c r="N3314" s="31">
        <v>2015</v>
      </c>
      <c r="O3314" s="31">
        <v>90</v>
      </c>
      <c r="P3314" s="31"/>
      <c r="Q3314" s="31"/>
      <c r="R3314" s="33"/>
      <c r="S3314" s="34" t="str">
        <f>HYPERLINK("http://www.cnpol.ru/covers/15938.jpg","фото на сайте")</f>
        <v>фото на сайте</v>
      </c>
    </row>
    <row r="3315" spans="1:19" ht="50.1" customHeight="1">
      <c r="A3315" s="31"/>
      <c r="B3315" s="32" t="s">
        <v>12492</v>
      </c>
      <c r="C3315" s="31" t="s">
        <v>138</v>
      </c>
      <c r="D3315" s="31" t="s">
        <v>12493</v>
      </c>
      <c r="E3315" s="31" t="s">
        <v>12494</v>
      </c>
      <c r="F3315" s="31" t="s">
        <v>31</v>
      </c>
      <c r="G3315" s="31">
        <v>522</v>
      </c>
      <c r="H3315" s="31">
        <v>10</v>
      </c>
      <c r="I3315" s="31">
        <v>16</v>
      </c>
      <c r="J3315" s="31" t="s">
        <v>12495</v>
      </c>
      <c r="K3315" s="31" t="s">
        <v>33</v>
      </c>
      <c r="L3315" s="31" t="s">
        <v>34</v>
      </c>
      <c r="M3315" s="31">
        <v>319</v>
      </c>
      <c r="N3315" s="31">
        <v>2014</v>
      </c>
      <c r="O3315" s="31">
        <v>342</v>
      </c>
      <c r="P3315" s="31"/>
      <c r="Q3315" s="31"/>
      <c r="R3315" s="33"/>
      <c r="S3315" s="34" t="str">
        <f>HYPERLINK("http://www.cnpol.ru/covers/15214.jpg","фото на сайте")</f>
        <v>фото на сайте</v>
      </c>
    </row>
    <row r="3316" spans="1:19" ht="50.1" customHeight="1">
      <c r="A3316" s="31"/>
      <c r="B3316" s="32" t="s">
        <v>12496</v>
      </c>
      <c r="C3316" s="31" t="s">
        <v>1781</v>
      </c>
      <c r="D3316" s="31" t="s">
        <v>11723</v>
      </c>
      <c r="E3316" s="31" t="s">
        <v>12497</v>
      </c>
      <c r="F3316" s="31" t="s">
        <v>31</v>
      </c>
      <c r="G3316" s="31">
        <v>522</v>
      </c>
      <c r="H3316" s="31">
        <v>10</v>
      </c>
      <c r="I3316" s="31">
        <v>14</v>
      </c>
      <c r="J3316" s="31" t="s">
        <v>12498</v>
      </c>
      <c r="K3316" s="31" t="s">
        <v>33</v>
      </c>
      <c r="L3316" s="31" t="s">
        <v>34</v>
      </c>
      <c r="M3316" s="31">
        <v>288</v>
      </c>
      <c r="N3316" s="31">
        <v>2018</v>
      </c>
      <c r="O3316" s="31">
        <v>258</v>
      </c>
      <c r="P3316" s="31"/>
      <c r="Q3316" s="31"/>
      <c r="R3316" s="33"/>
      <c r="S3316" s="34" t="str">
        <f>HYPERLINK("http://www.cnpol.ru/covers/18214.jpg","фото на сайте")</f>
        <v>фото на сайте</v>
      </c>
    </row>
    <row r="3317" spans="1:19" ht="50.1" customHeight="1">
      <c r="A3317" s="31"/>
      <c r="B3317" s="32" t="s">
        <v>12499</v>
      </c>
      <c r="C3317" s="31" t="s">
        <v>390</v>
      </c>
      <c r="D3317" s="31" t="s">
        <v>1599</v>
      </c>
      <c r="E3317" s="31" t="s">
        <v>12500</v>
      </c>
      <c r="F3317" s="31">
        <v>780</v>
      </c>
      <c r="G3317" s="31">
        <v>86</v>
      </c>
      <c r="H3317" s="31">
        <v>10</v>
      </c>
      <c r="I3317" s="31">
        <v>30</v>
      </c>
      <c r="J3317" s="31" t="s">
        <v>12501</v>
      </c>
      <c r="K3317" s="31" t="s">
        <v>123</v>
      </c>
      <c r="L3317" s="31" t="s">
        <v>56</v>
      </c>
      <c r="M3317" s="31">
        <v>160</v>
      </c>
      <c r="N3317" s="31">
        <v>2017</v>
      </c>
      <c r="O3317" s="31">
        <v>76</v>
      </c>
      <c r="P3317" s="31"/>
      <c r="Q3317" s="31"/>
      <c r="R3317" s="33"/>
      <c r="S3317" s="34" t="str">
        <f>HYPERLINK("http://www.cnpol.ru/covers/17882.jpg","фото на сайте")</f>
        <v>фото на сайте</v>
      </c>
    </row>
    <row r="3318" spans="1:19" ht="50.1" customHeight="1">
      <c r="A3318" s="31"/>
      <c r="B3318" s="32" t="s">
        <v>12502</v>
      </c>
      <c r="C3318" s="31" t="s">
        <v>302</v>
      </c>
      <c r="D3318" s="31" t="s">
        <v>5115</v>
      </c>
      <c r="E3318" s="31" t="s">
        <v>12503</v>
      </c>
      <c r="F3318" s="31" t="s">
        <v>31</v>
      </c>
      <c r="G3318" s="31">
        <v>917</v>
      </c>
      <c r="H3318" s="31">
        <v>10</v>
      </c>
      <c r="I3318" s="31">
        <v>16</v>
      </c>
      <c r="J3318" s="31" t="s">
        <v>12504</v>
      </c>
      <c r="K3318" s="31" t="s">
        <v>41</v>
      </c>
      <c r="L3318" s="31" t="s">
        <v>304</v>
      </c>
      <c r="M3318" s="31">
        <v>319</v>
      </c>
      <c r="N3318" s="31">
        <v>2021</v>
      </c>
      <c r="O3318" s="31">
        <v>444</v>
      </c>
      <c r="P3318" s="31"/>
      <c r="Q3318" s="31"/>
      <c r="R3318" s="33"/>
      <c r="S3318" s="34" t="str">
        <f>HYPERLINK("http://www.cnpol.ru/covers/19895.jpg","фото на сайте")</f>
        <v>фото на сайте</v>
      </c>
    </row>
    <row r="3319" spans="1:19" ht="50.1" customHeight="1">
      <c r="A3319" s="31" t="s">
        <v>35</v>
      </c>
      <c r="B3319" s="32" t="s">
        <v>12505</v>
      </c>
      <c r="C3319" s="31" t="s">
        <v>297</v>
      </c>
      <c r="D3319" s="31" t="s">
        <v>5115</v>
      </c>
      <c r="E3319" s="31" t="s">
        <v>12503</v>
      </c>
      <c r="F3319" s="31" t="s">
        <v>31</v>
      </c>
      <c r="G3319" s="31">
        <v>300</v>
      </c>
      <c r="H3319" s="31">
        <v>10</v>
      </c>
      <c r="I3319" s="31">
        <v>20</v>
      </c>
      <c r="J3319" s="31" t="s">
        <v>12506</v>
      </c>
      <c r="K3319" s="31" t="s">
        <v>300</v>
      </c>
      <c r="L3319" s="31" t="s">
        <v>56</v>
      </c>
      <c r="M3319" s="31">
        <v>319</v>
      </c>
      <c r="N3319" s="31">
        <v>2025</v>
      </c>
      <c r="O3319" s="31" t="s">
        <v>220</v>
      </c>
      <c r="P3319" s="31"/>
      <c r="Q3319" s="31"/>
      <c r="R3319" s="33" t="s">
        <v>12507</v>
      </c>
      <c r="S3319" s="34" t="str">
        <f>HYPERLINK("http://www.cnpol.ru/covers/21780.jpg","фото на сайте")</f>
        <v>фото на сайте</v>
      </c>
    </row>
    <row r="3320" spans="1:19" ht="50.1" customHeight="1">
      <c r="A3320" s="31"/>
      <c r="B3320" s="32" t="s">
        <v>12508</v>
      </c>
      <c r="C3320" s="31" t="s">
        <v>520</v>
      </c>
      <c r="D3320" s="31" t="s">
        <v>559</v>
      </c>
      <c r="E3320" s="31" t="s">
        <v>12509</v>
      </c>
      <c r="F3320" s="31">
        <v>76</v>
      </c>
      <c r="G3320" s="31">
        <v>117</v>
      </c>
      <c r="H3320" s="31">
        <v>10</v>
      </c>
      <c r="I3320" s="31">
        <v>30</v>
      </c>
      <c r="J3320" s="31" t="s">
        <v>12510</v>
      </c>
      <c r="K3320" s="31" t="s">
        <v>123</v>
      </c>
      <c r="L3320" s="31" t="s">
        <v>56</v>
      </c>
      <c r="M3320" s="31">
        <v>192</v>
      </c>
      <c r="N3320" s="31">
        <v>2020</v>
      </c>
      <c r="O3320" s="31">
        <v>90</v>
      </c>
      <c r="P3320" s="31"/>
      <c r="Q3320" s="31"/>
      <c r="R3320" s="33"/>
      <c r="S3320" s="34" t="str">
        <f>HYPERLINK("http://www.cnpol.ru/covers/19126.jpg","фото на сайте")</f>
        <v>фото на сайте</v>
      </c>
    </row>
    <row r="3321" spans="1:19" ht="50.1" customHeight="1">
      <c r="A3321" s="31" t="s">
        <v>43</v>
      </c>
      <c r="B3321" s="32" t="s">
        <v>12511</v>
      </c>
      <c r="C3321" s="31" t="s">
        <v>171</v>
      </c>
      <c r="D3321" s="31" t="s">
        <v>172</v>
      </c>
      <c r="E3321" s="31" t="s">
        <v>12512</v>
      </c>
      <c r="F3321" s="31" t="s">
        <v>31</v>
      </c>
      <c r="G3321" s="35">
        <v>1357</v>
      </c>
      <c r="H3321" s="31">
        <v>10</v>
      </c>
      <c r="I3321" s="31">
        <v>6</v>
      </c>
      <c r="J3321" s="31" t="s">
        <v>12513</v>
      </c>
      <c r="K3321" s="31" t="s">
        <v>41</v>
      </c>
      <c r="L3321" s="31" t="s">
        <v>34</v>
      </c>
      <c r="M3321" s="31">
        <v>447</v>
      </c>
      <c r="N3321" s="31">
        <v>2024</v>
      </c>
      <c r="O3321" s="31">
        <v>560</v>
      </c>
      <c r="P3321" s="31"/>
      <c r="Q3321" s="31"/>
      <c r="R3321" s="33" t="s">
        <v>12514</v>
      </c>
      <c r="S3321" s="34" t="str">
        <f>HYPERLINK("http://www.cnpol.ru/covers/21132.jpg","фото на сайте")</f>
        <v>фото на сайте</v>
      </c>
    </row>
    <row r="3322" spans="1:19" ht="50.1" customHeight="1">
      <c r="A3322" s="31" t="s">
        <v>43</v>
      </c>
      <c r="B3322" s="32" t="s">
        <v>12515</v>
      </c>
      <c r="C3322" s="31" t="s">
        <v>171</v>
      </c>
      <c r="D3322" s="31" t="s">
        <v>172</v>
      </c>
      <c r="E3322" s="31" t="s">
        <v>12516</v>
      </c>
      <c r="F3322" s="31" t="s">
        <v>31</v>
      </c>
      <c r="G3322" s="35">
        <v>2095</v>
      </c>
      <c r="H3322" s="31">
        <v>10</v>
      </c>
      <c r="I3322" s="31">
        <v>4</v>
      </c>
      <c r="J3322" s="31" t="s">
        <v>12517</v>
      </c>
      <c r="K3322" s="31" t="s">
        <v>41</v>
      </c>
      <c r="L3322" s="31" t="s">
        <v>34</v>
      </c>
      <c r="M3322" s="31">
        <v>815</v>
      </c>
      <c r="N3322" s="31">
        <v>2024</v>
      </c>
      <c r="O3322" s="31">
        <v>920</v>
      </c>
      <c r="P3322" s="31"/>
      <c r="Q3322" s="31"/>
      <c r="R3322" s="33" t="s">
        <v>12518</v>
      </c>
      <c r="S3322" s="34" t="str">
        <f>HYPERLINK("http://www.cnpol.ru/covers/21157.jpg","фото на сайте")</f>
        <v>фото на сайте</v>
      </c>
    </row>
    <row r="3323" spans="1:19" ht="50.1" customHeight="1">
      <c r="A3323" s="31"/>
      <c r="B3323" s="32" t="s">
        <v>12519</v>
      </c>
      <c r="C3323" s="31" t="s">
        <v>4267</v>
      </c>
      <c r="D3323" s="31" t="s">
        <v>3780</v>
      </c>
      <c r="E3323" s="31" t="s">
        <v>12520</v>
      </c>
      <c r="F3323" s="31">
        <v>3</v>
      </c>
      <c r="G3323" s="31">
        <v>461</v>
      </c>
      <c r="H3323" s="31">
        <v>10</v>
      </c>
      <c r="I3323" s="31">
        <v>14</v>
      </c>
      <c r="J3323" s="31" t="s">
        <v>12521</v>
      </c>
      <c r="K3323" s="31" t="s">
        <v>33</v>
      </c>
      <c r="L3323" s="31" t="s">
        <v>34</v>
      </c>
      <c r="M3323" s="31">
        <v>351</v>
      </c>
      <c r="N3323" s="31">
        <v>2012</v>
      </c>
      <c r="O3323" s="31">
        <v>290</v>
      </c>
      <c r="P3323" s="31"/>
      <c r="Q3323" s="31"/>
      <c r="R3323" s="33"/>
      <c r="S3323" s="34" t="str">
        <f>HYPERLINK("http://www.cnpol.ru/covers/13200.jpg","фото на сайте")</f>
        <v>фото на сайте</v>
      </c>
    </row>
    <row r="3324" spans="1:19" ht="50.1" customHeight="1">
      <c r="A3324" s="31"/>
      <c r="B3324" s="32" t="s">
        <v>12522</v>
      </c>
      <c r="C3324" s="31" t="s">
        <v>746</v>
      </c>
      <c r="D3324" s="31" t="s">
        <v>12523</v>
      </c>
      <c r="E3324" s="31" t="s">
        <v>12524</v>
      </c>
      <c r="F3324" s="31" t="s">
        <v>31</v>
      </c>
      <c r="G3324" s="31">
        <v>522</v>
      </c>
      <c r="H3324" s="31">
        <v>10</v>
      </c>
      <c r="I3324" s="31">
        <v>16</v>
      </c>
      <c r="J3324" s="31" t="s">
        <v>12525</v>
      </c>
      <c r="K3324" s="31" t="s">
        <v>33</v>
      </c>
      <c r="L3324" s="31" t="s">
        <v>34</v>
      </c>
      <c r="M3324" s="31">
        <v>319</v>
      </c>
      <c r="N3324" s="31">
        <v>2023</v>
      </c>
      <c r="O3324" s="31">
        <v>306</v>
      </c>
      <c r="P3324" s="31"/>
      <c r="Q3324" s="31"/>
      <c r="R3324" s="33" t="s">
        <v>12526</v>
      </c>
      <c r="S3324" s="34" t="str">
        <f>HYPERLINK("http://www.cnpol.ru/covers/20726.jpg","фото на сайте")</f>
        <v>фото на сайте</v>
      </c>
    </row>
    <row r="3325" spans="1:19" ht="50.1" customHeight="1">
      <c r="A3325" s="31"/>
      <c r="B3325" s="32" t="s">
        <v>12527</v>
      </c>
      <c r="C3325" s="31" t="s">
        <v>479</v>
      </c>
      <c r="D3325" s="31" t="s">
        <v>7146</v>
      </c>
      <c r="E3325" s="31" t="s">
        <v>12528</v>
      </c>
      <c r="F3325" s="31" t="s">
        <v>31</v>
      </c>
      <c r="G3325" s="31">
        <v>640</v>
      </c>
      <c r="H3325" s="31">
        <v>10</v>
      </c>
      <c r="I3325" s="31">
        <v>12</v>
      </c>
      <c r="J3325" s="31" t="s">
        <v>12529</v>
      </c>
      <c r="K3325" s="31" t="s">
        <v>33</v>
      </c>
      <c r="L3325" s="31" t="s">
        <v>34</v>
      </c>
      <c r="M3325" s="31">
        <v>416</v>
      </c>
      <c r="N3325" s="31">
        <v>2016</v>
      </c>
      <c r="O3325" s="31">
        <v>412</v>
      </c>
      <c r="P3325" s="31"/>
      <c r="Q3325" s="31"/>
      <c r="R3325" s="33"/>
      <c r="S3325" s="34" t="str">
        <f>HYPERLINK("http://www.cnpol.ru/covers/17030.jpg","фото на сайте")</f>
        <v>фото на сайте</v>
      </c>
    </row>
    <row r="3326" spans="1:19" ht="50.1" customHeight="1">
      <c r="A3326" s="31"/>
      <c r="B3326" s="32" t="s">
        <v>12530</v>
      </c>
      <c r="C3326" s="31" t="s">
        <v>418</v>
      </c>
      <c r="D3326" s="31" t="s">
        <v>12531</v>
      </c>
      <c r="E3326" s="31" t="s">
        <v>12532</v>
      </c>
      <c r="F3326" s="31">
        <v>39</v>
      </c>
      <c r="G3326" s="31">
        <v>153</v>
      </c>
      <c r="H3326" s="31">
        <v>10</v>
      </c>
      <c r="I3326" s="31">
        <v>30</v>
      </c>
      <c r="J3326" s="31" t="s">
        <v>12533</v>
      </c>
      <c r="K3326" s="31" t="s">
        <v>123</v>
      </c>
      <c r="L3326" s="31" t="s">
        <v>56</v>
      </c>
      <c r="M3326" s="31">
        <v>253</v>
      </c>
      <c r="N3326" s="31">
        <v>2014</v>
      </c>
      <c r="O3326" s="31">
        <v>118</v>
      </c>
      <c r="P3326" s="31"/>
      <c r="Q3326" s="31"/>
      <c r="R3326" s="33"/>
      <c r="S3326" s="34" t="str">
        <f>HYPERLINK("http://www.cnpol.ru/covers/14888.jpg","фото на сайте")</f>
        <v>фото на сайте</v>
      </c>
    </row>
    <row r="3327" spans="1:19" ht="50.1" customHeight="1">
      <c r="A3327" s="31"/>
      <c r="B3327" s="32" t="s">
        <v>12534</v>
      </c>
      <c r="C3327" s="31" t="s">
        <v>297</v>
      </c>
      <c r="D3327" s="31" t="s">
        <v>12535</v>
      </c>
      <c r="E3327" s="31" t="s">
        <v>12536</v>
      </c>
      <c r="F3327" s="31" t="s">
        <v>31</v>
      </c>
      <c r="G3327" s="31">
        <v>300</v>
      </c>
      <c r="H3327" s="31">
        <v>10</v>
      </c>
      <c r="I3327" s="31">
        <v>16</v>
      </c>
      <c r="J3327" s="31" t="s">
        <v>12537</v>
      </c>
      <c r="K3327" s="31" t="s">
        <v>300</v>
      </c>
      <c r="L3327" s="31" t="s">
        <v>56</v>
      </c>
      <c r="M3327" s="31">
        <v>414</v>
      </c>
      <c r="N3327" s="31">
        <v>2019</v>
      </c>
      <c r="O3327" s="31">
        <v>208</v>
      </c>
      <c r="P3327" s="31"/>
      <c r="Q3327" s="31"/>
      <c r="R3327" s="33"/>
      <c r="S3327" s="34" t="str">
        <f>HYPERLINK("http://www.cnpol.ru/covers/18728.jpg","фото на сайте")</f>
        <v>фото на сайте</v>
      </c>
    </row>
    <row r="3328" spans="1:19" ht="50.1" customHeight="1">
      <c r="A3328" s="31"/>
      <c r="B3328" s="32" t="s">
        <v>12538</v>
      </c>
      <c r="C3328" s="31" t="s">
        <v>418</v>
      </c>
      <c r="D3328" s="31" t="s">
        <v>419</v>
      </c>
      <c r="E3328" s="31" t="s">
        <v>12539</v>
      </c>
      <c r="F3328" s="31">
        <v>30</v>
      </c>
      <c r="G3328" s="31">
        <v>153</v>
      </c>
      <c r="H3328" s="31">
        <v>10</v>
      </c>
      <c r="I3328" s="31">
        <v>32</v>
      </c>
      <c r="J3328" s="31" t="s">
        <v>12540</v>
      </c>
      <c r="K3328" s="31" t="s">
        <v>123</v>
      </c>
      <c r="L3328" s="31" t="s">
        <v>56</v>
      </c>
      <c r="M3328" s="31">
        <v>254</v>
      </c>
      <c r="N3328" s="31">
        <v>2013</v>
      </c>
      <c r="O3328" s="31">
        <v>118</v>
      </c>
      <c r="P3328" s="31"/>
      <c r="Q3328" s="31"/>
      <c r="R3328" s="33"/>
      <c r="S3328" s="34" t="str">
        <f>HYPERLINK("http://www.cnpol.ru/covers/14550.jpg","фото на сайте")</f>
        <v>фото на сайте</v>
      </c>
    </row>
    <row r="3329" spans="1:19" ht="50.1" customHeight="1">
      <c r="A3329" s="31"/>
      <c r="B3329" s="32" t="s">
        <v>12541</v>
      </c>
      <c r="C3329" s="31" t="s">
        <v>2742</v>
      </c>
      <c r="D3329" s="31" t="s">
        <v>12542</v>
      </c>
      <c r="E3329" s="31" t="s">
        <v>12543</v>
      </c>
      <c r="F3329" s="31" t="s">
        <v>31</v>
      </c>
      <c r="G3329" s="31">
        <v>575</v>
      </c>
      <c r="H3329" s="31">
        <v>10</v>
      </c>
      <c r="I3329" s="31">
        <v>14</v>
      </c>
      <c r="J3329" s="31" t="s">
        <v>12544</v>
      </c>
      <c r="K3329" s="31" t="s">
        <v>33</v>
      </c>
      <c r="L3329" s="31" t="s">
        <v>34</v>
      </c>
      <c r="M3329" s="31">
        <v>448</v>
      </c>
      <c r="N3329" s="31">
        <v>2022</v>
      </c>
      <c r="O3329" s="31">
        <v>350</v>
      </c>
      <c r="P3329" s="31"/>
      <c r="Q3329" s="31"/>
      <c r="R3329" s="33"/>
      <c r="S3329" s="34" t="str">
        <f>HYPERLINK("http://www.cnpol.ru/covers/20346.jpg","фото на сайте")</f>
        <v>фото на сайте</v>
      </c>
    </row>
    <row r="3330" spans="1:19" ht="50.1" customHeight="1">
      <c r="A3330" s="31"/>
      <c r="B3330" s="32" t="s">
        <v>12545</v>
      </c>
      <c r="C3330" s="31" t="s">
        <v>1623</v>
      </c>
      <c r="D3330" s="31" t="s">
        <v>1624</v>
      </c>
      <c r="E3330" s="31" t="s">
        <v>12546</v>
      </c>
      <c r="F3330" s="31" t="s">
        <v>31</v>
      </c>
      <c r="G3330" s="31">
        <v>169</v>
      </c>
      <c r="H3330" s="31">
        <v>10</v>
      </c>
      <c r="I3330" s="31">
        <v>24</v>
      </c>
      <c r="J3330" s="31" t="s">
        <v>12547</v>
      </c>
      <c r="K3330" s="31" t="s">
        <v>55</v>
      </c>
      <c r="L3330" s="31" t="s">
        <v>56</v>
      </c>
      <c r="M3330" s="31">
        <v>288</v>
      </c>
      <c r="N3330" s="31">
        <v>2020</v>
      </c>
      <c r="O3330" s="31">
        <v>122</v>
      </c>
      <c r="P3330" s="31"/>
      <c r="Q3330" s="31"/>
      <c r="R3330" s="33"/>
      <c r="S3330" s="34" t="str">
        <f>HYPERLINK("http://www.cnpol.ru/covers/19020.jpg","фото на сайте")</f>
        <v>фото на сайте</v>
      </c>
    </row>
    <row r="3331" spans="1:19" ht="50.1" customHeight="1">
      <c r="A3331" s="31"/>
      <c r="B3331" s="32" t="s">
        <v>12548</v>
      </c>
      <c r="C3331" s="31" t="s">
        <v>390</v>
      </c>
      <c r="D3331" s="31" t="s">
        <v>2645</v>
      </c>
      <c r="E3331" s="31" t="s">
        <v>12549</v>
      </c>
      <c r="F3331" s="31">
        <v>620</v>
      </c>
      <c r="G3331" s="31">
        <v>86</v>
      </c>
      <c r="H3331" s="31">
        <v>10</v>
      </c>
      <c r="I3331" s="31">
        <v>30</v>
      </c>
      <c r="J3331" s="31" t="s">
        <v>12550</v>
      </c>
      <c r="K3331" s="31" t="s">
        <v>123</v>
      </c>
      <c r="L3331" s="31" t="s">
        <v>56</v>
      </c>
      <c r="M3331" s="31">
        <v>160</v>
      </c>
      <c r="N3331" s="31">
        <v>2016</v>
      </c>
      <c r="O3331" s="31">
        <v>76</v>
      </c>
      <c r="P3331" s="31"/>
      <c r="Q3331" s="31"/>
      <c r="R3331" s="33"/>
      <c r="S3331" s="34" t="str">
        <f>HYPERLINK("http://www.cnpol.ru/covers/16773.jpg","фото на сайте")</f>
        <v>фото на сайте</v>
      </c>
    </row>
    <row r="3332" spans="1:19" ht="50.1" customHeight="1">
      <c r="A3332" s="31" t="s">
        <v>35</v>
      </c>
      <c r="B3332" s="32" t="s">
        <v>12551</v>
      </c>
      <c r="C3332" s="31" t="s">
        <v>2056</v>
      </c>
      <c r="D3332" s="31" t="s">
        <v>12552</v>
      </c>
      <c r="E3332" s="31" t="s">
        <v>12553</v>
      </c>
      <c r="F3332" s="31" t="s">
        <v>31</v>
      </c>
      <c r="G3332" s="35">
        <v>1107</v>
      </c>
      <c r="H3332" s="31">
        <v>10</v>
      </c>
      <c r="I3332" s="31">
        <v>5</v>
      </c>
      <c r="J3332" s="31" t="s">
        <v>12554</v>
      </c>
      <c r="K3332" s="31" t="s">
        <v>33</v>
      </c>
      <c r="L3332" s="31" t="s">
        <v>34</v>
      </c>
      <c r="M3332" s="31">
        <v>427</v>
      </c>
      <c r="N3332" s="31">
        <v>2025</v>
      </c>
      <c r="O3332" s="31">
        <v>468</v>
      </c>
      <c r="P3332" s="31"/>
      <c r="Q3332" s="31"/>
      <c r="R3332" s="33" t="s">
        <v>12555</v>
      </c>
      <c r="S3332" s="34" t="str">
        <f>HYPERLINK("http://www.cnpol.ru/covers/21654.jpg","фото на сайте")</f>
        <v>фото на сайте</v>
      </c>
    </row>
    <row r="3333" spans="1:19" ht="50.1" customHeight="1">
      <c r="A3333" s="31"/>
      <c r="B3333" s="32" t="s">
        <v>12556</v>
      </c>
      <c r="C3333" s="31" t="s">
        <v>297</v>
      </c>
      <c r="D3333" s="31" t="s">
        <v>1096</v>
      </c>
      <c r="E3333" s="31" t="s">
        <v>12557</v>
      </c>
      <c r="F3333" s="31" t="s">
        <v>31</v>
      </c>
      <c r="G3333" s="31">
        <v>300</v>
      </c>
      <c r="H3333" s="31">
        <v>10</v>
      </c>
      <c r="I3333" s="31">
        <v>16</v>
      </c>
      <c r="J3333" s="31" t="s">
        <v>12558</v>
      </c>
      <c r="K3333" s="31" t="s">
        <v>300</v>
      </c>
      <c r="L3333" s="31" t="s">
        <v>56</v>
      </c>
      <c r="M3333" s="31">
        <v>448</v>
      </c>
      <c r="N3333" s="31">
        <v>2017</v>
      </c>
      <c r="O3333" s="31">
        <v>212</v>
      </c>
      <c r="P3333" s="31"/>
      <c r="Q3333" s="31"/>
      <c r="R3333" s="33"/>
      <c r="S3333" s="34" t="str">
        <f>HYPERLINK("http://www.cnpol.ru/covers/17617.jpg","фото на сайте")</f>
        <v>фото на сайте</v>
      </c>
    </row>
    <row r="3334" spans="1:19" ht="50.1" customHeight="1">
      <c r="A3334" s="31"/>
      <c r="B3334" s="32" t="s">
        <v>12559</v>
      </c>
      <c r="C3334" s="31" t="s">
        <v>12560</v>
      </c>
      <c r="D3334" s="31" t="s">
        <v>12561</v>
      </c>
      <c r="E3334" s="31" t="s">
        <v>12562</v>
      </c>
      <c r="F3334" s="31" t="s">
        <v>31</v>
      </c>
      <c r="G3334" s="31">
        <v>389</v>
      </c>
      <c r="H3334" s="31">
        <v>10</v>
      </c>
      <c r="I3334" s="31">
        <v>10</v>
      </c>
      <c r="J3334" s="31" t="s">
        <v>12563</v>
      </c>
      <c r="K3334" s="31" t="s">
        <v>33</v>
      </c>
      <c r="L3334" s="31" t="s">
        <v>34</v>
      </c>
      <c r="M3334" s="31">
        <v>443</v>
      </c>
      <c r="N3334" s="31">
        <v>2012</v>
      </c>
      <c r="O3334" s="31">
        <v>332</v>
      </c>
      <c r="P3334" s="31"/>
      <c r="Q3334" s="31"/>
      <c r="R3334" s="33"/>
      <c r="S3334" s="34" t="str">
        <f>HYPERLINK("http://www.cnpol.ru/covers/13383.jpg","фото на сайте")</f>
        <v>фото на сайте</v>
      </c>
    </row>
    <row r="3335" spans="1:19" ht="50.1" customHeight="1">
      <c r="A3335" s="31"/>
      <c r="B3335" s="32" t="s">
        <v>12564</v>
      </c>
      <c r="C3335" s="31" t="s">
        <v>418</v>
      </c>
      <c r="D3335" s="31" t="s">
        <v>12565</v>
      </c>
      <c r="E3335" s="31" t="s">
        <v>12566</v>
      </c>
      <c r="F3335" s="31">
        <v>115</v>
      </c>
      <c r="G3335" s="31">
        <v>153</v>
      </c>
      <c r="H3335" s="31">
        <v>10</v>
      </c>
      <c r="I3335" s="31">
        <v>24</v>
      </c>
      <c r="J3335" s="31" t="s">
        <v>12567</v>
      </c>
      <c r="K3335" s="31" t="s">
        <v>123</v>
      </c>
      <c r="L3335" s="31" t="s">
        <v>56</v>
      </c>
      <c r="M3335" s="31">
        <v>256</v>
      </c>
      <c r="N3335" s="31">
        <v>2021</v>
      </c>
      <c r="O3335" s="31">
        <v>118</v>
      </c>
      <c r="P3335" s="31"/>
      <c r="Q3335" s="31"/>
      <c r="R3335" s="33"/>
      <c r="S3335" s="34" t="str">
        <f>HYPERLINK("http://www.cnpol.ru/covers/19664.jpg","фото на сайте")</f>
        <v>фото на сайте</v>
      </c>
    </row>
    <row r="3336" spans="1:19" ht="50.1" customHeight="1">
      <c r="A3336" s="31"/>
      <c r="B3336" s="32" t="s">
        <v>12568</v>
      </c>
      <c r="C3336" s="31" t="s">
        <v>390</v>
      </c>
      <c r="D3336" s="31" t="s">
        <v>6150</v>
      </c>
      <c r="E3336" s="31" t="s">
        <v>12569</v>
      </c>
      <c r="F3336" s="31">
        <v>593</v>
      </c>
      <c r="G3336" s="31">
        <v>86</v>
      </c>
      <c r="H3336" s="31">
        <v>10</v>
      </c>
      <c r="I3336" s="31">
        <v>30</v>
      </c>
      <c r="J3336" s="31" t="s">
        <v>12570</v>
      </c>
      <c r="K3336" s="31" t="s">
        <v>123</v>
      </c>
      <c r="L3336" s="31" t="s">
        <v>56</v>
      </c>
      <c r="M3336" s="31">
        <v>160</v>
      </c>
      <c r="N3336" s="31">
        <v>2016</v>
      </c>
      <c r="O3336" s="31">
        <v>76</v>
      </c>
      <c r="P3336" s="31"/>
      <c r="Q3336" s="31"/>
      <c r="R3336" s="33"/>
      <c r="S3336" s="34" t="str">
        <f>HYPERLINK("http://www.cnpol.ru/covers/16573.jpg","фото на сайте")</f>
        <v>фото на сайте</v>
      </c>
    </row>
    <row r="3337" spans="1:19" ht="50.1" customHeight="1">
      <c r="A3337" s="31"/>
      <c r="B3337" s="32" t="s">
        <v>12571</v>
      </c>
      <c r="C3337" s="31" t="s">
        <v>520</v>
      </c>
      <c r="D3337" s="31" t="s">
        <v>12572</v>
      </c>
      <c r="E3337" s="31" t="s">
        <v>12573</v>
      </c>
      <c r="F3337" s="31">
        <v>87</v>
      </c>
      <c r="G3337" s="31">
        <v>117</v>
      </c>
      <c r="H3337" s="31">
        <v>10</v>
      </c>
      <c r="I3337" s="31">
        <v>30</v>
      </c>
      <c r="J3337" s="31" t="s">
        <v>12574</v>
      </c>
      <c r="K3337" s="31" t="s">
        <v>123</v>
      </c>
      <c r="L3337" s="31" t="s">
        <v>56</v>
      </c>
      <c r="M3337" s="31">
        <v>191</v>
      </c>
      <c r="N3337" s="31">
        <v>2021</v>
      </c>
      <c r="O3337" s="31">
        <v>76</v>
      </c>
      <c r="P3337" s="31"/>
      <c r="Q3337" s="31"/>
      <c r="R3337" s="33"/>
      <c r="S3337" s="34" t="str">
        <f>HYPERLINK("http://www.cnpol.ru/covers/20016.jpg","фото на сайте")</f>
        <v>фото на сайте</v>
      </c>
    </row>
    <row r="3338" spans="1:19" ht="50.1" customHeight="1">
      <c r="A3338" s="31"/>
      <c r="B3338" s="32" t="s">
        <v>12575</v>
      </c>
      <c r="C3338" s="31" t="s">
        <v>400</v>
      </c>
      <c r="D3338" s="31" t="s">
        <v>12576</v>
      </c>
      <c r="E3338" s="31" t="s">
        <v>12577</v>
      </c>
      <c r="F3338" s="31" t="s">
        <v>31</v>
      </c>
      <c r="G3338" s="31">
        <v>503</v>
      </c>
      <c r="H3338" s="31">
        <v>10</v>
      </c>
      <c r="I3338" s="31">
        <v>14</v>
      </c>
      <c r="J3338" s="31" t="s">
        <v>12578</v>
      </c>
      <c r="K3338" s="31" t="s">
        <v>33</v>
      </c>
      <c r="L3338" s="31" t="s">
        <v>34</v>
      </c>
      <c r="M3338" s="31">
        <v>320</v>
      </c>
      <c r="N3338" s="31">
        <v>2017</v>
      </c>
      <c r="O3338" s="31">
        <v>276</v>
      </c>
      <c r="P3338" s="31"/>
      <c r="Q3338" s="31"/>
      <c r="R3338" s="33"/>
      <c r="S3338" s="34" t="str">
        <f>HYPERLINK("http://www.cnpol.ru/covers/17627.jpg","фото на сайте")</f>
        <v>фото на сайте</v>
      </c>
    </row>
    <row r="3339" spans="1:19" ht="50.1" customHeight="1">
      <c r="A3339" s="31"/>
      <c r="B3339" s="32" t="s">
        <v>12579</v>
      </c>
      <c r="C3339" s="31" t="s">
        <v>1050</v>
      </c>
      <c r="D3339" s="31" t="s">
        <v>12580</v>
      </c>
      <c r="E3339" s="31" t="s">
        <v>12581</v>
      </c>
      <c r="F3339" s="31" t="s">
        <v>31</v>
      </c>
      <c r="G3339" s="31">
        <v>411</v>
      </c>
      <c r="H3339" s="31">
        <v>10</v>
      </c>
      <c r="I3339" s="31">
        <v>18</v>
      </c>
      <c r="J3339" s="31" t="s">
        <v>12582</v>
      </c>
      <c r="K3339" s="31" t="s">
        <v>33</v>
      </c>
      <c r="L3339" s="31" t="s">
        <v>210</v>
      </c>
      <c r="M3339" s="31">
        <v>256</v>
      </c>
      <c r="N3339" s="31">
        <v>2018</v>
      </c>
      <c r="O3339" s="31">
        <v>210</v>
      </c>
      <c r="P3339" s="31"/>
      <c r="Q3339" s="31"/>
      <c r="R3339" s="33"/>
      <c r="S3339" s="34" t="str">
        <f>HYPERLINK("http://www.cnpol.ru/covers/18202.jpg","фото на сайте")</f>
        <v>фото на сайте</v>
      </c>
    </row>
    <row r="3340" spans="1:19" ht="50.1" customHeight="1">
      <c r="A3340" s="31"/>
      <c r="B3340" s="32" t="s">
        <v>12583</v>
      </c>
      <c r="C3340" s="31" t="s">
        <v>1611</v>
      </c>
      <c r="D3340" s="31" t="s">
        <v>12584</v>
      </c>
      <c r="E3340" s="31" t="s">
        <v>12585</v>
      </c>
      <c r="F3340" s="31" t="s">
        <v>31</v>
      </c>
      <c r="G3340" s="31">
        <v>862</v>
      </c>
      <c r="H3340" s="31">
        <v>10</v>
      </c>
      <c r="I3340" s="31">
        <v>5</v>
      </c>
      <c r="J3340" s="31" t="s">
        <v>12586</v>
      </c>
      <c r="K3340" s="31" t="s">
        <v>2495</v>
      </c>
      <c r="L3340" s="31" t="s">
        <v>34</v>
      </c>
      <c r="M3340" s="31">
        <v>448</v>
      </c>
      <c r="N3340" s="31">
        <v>2019</v>
      </c>
      <c r="O3340" s="31">
        <v>604</v>
      </c>
      <c r="P3340" s="31"/>
      <c r="Q3340" s="31"/>
      <c r="R3340" s="33"/>
      <c r="S3340" s="34" t="str">
        <f>HYPERLINK("http://www.cnpol.ru/covers/18527.jpg","фото на сайте")</f>
        <v>фото на сайте</v>
      </c>
    </row>
    <row r="3341" spans="1:19" ht="50.1" customHeight="1">
      <c r="A3341" s="31"/>
      <c r="B3341" s="32" t="s">
        <v>12587</v>
      </c>
      <c r="C3341" s="31" t="s">
        <v>12588</v>
      </c>
      <c r="D3341" s="31" t="s">
        <v>12589</v>
      </c>
      <c r="E3341" s="31" t="s">
        <v>12590</v>
      </c>
      <c r="F3341" s="31" t="s">
        <v>31</v>
      </c>
      <c r="G3341" s="31">
        <v>194</v>
      </c>
      <c r="H3341" s="31">
        <v>10</v>
      </c>
      <c r="I3341" s="31">
        <v>28</v>
      </c>
      <c r="J3341" s="31" t="s">
        <v>12591</v>
      </c>
      <c r="K3341" s="31" t="s">
        <v>130</v>
      </c>
      <c r="L3341" s="31" t="s">
        <v>56</v>
      </c>
      <c r="M3341" s="31">
        <v>220</v>
      </c>
      <c r="N3341" s="31">
        <v>2010</v>
      </c>
      <c r="O3341" s="31">
        <v>136</v>
      </c>
      <c r="P3341" s="31"/>
      <c r="Q3341" s="31"/>
      <c r="R3341" s="33"/>
      <c r="S3341" s="34" t="str">
        <f>HYPERLINK("http://www.cnpol.ru/covers/12033.jpg","фото на сайте")</f>
        <v>фото на сайте</v>
      </c>
    </row>
    <row r="3342" spans="1:19" ht="50.1" customHeight="1">
      <c r="A3342" s="31"/>
      <c r="B3342" s="32" t="s">
        <v>12592</v>
      </c>
      <c r="C3342" s="31" t="s">
        <v>1247</v>
      </c>
      <c r="D3342" s="31" t="s">
        <v>1248</v>
      </c>
      <c r="E3342" s="31" t="s">
        <v>12593</v>
      </c>
      <c r="F3342" s="31" t="s">
        <v>31</v>
      </c>
      <c r="G3342" s="31">
        <v>112</v>
      </c>
      <c r="H3342" s="31">
        <v>10</v>
      </c>
      <c r="I3342" s="31">
        <v>40</v>
      </c>
      <c r="J3342" s="31" t="s">
        <v>12594</v>
      </c>
      <c r="K3342" s="31" t="s">
        <v>123</v>
      </c>
      <c r="L3342" s="31" t="s">
        <v>56</v>
      </c>
      <c r="M3342" s="31">
        <v>128</v>
      </c>
      <c r="N3342" s="31">
        <v>2008</v>
      </c>
      <c r="O3342" s="31">
        <v>64</v>
      </c>
      <c r="P3342" s="31"/>
      <c r="Q3342" s="31"/>
      <c r="R3342" s="33"/>
      <c r="S3342" s="34" t="str">
        <f>HYPERLINK("http://www.cnpol.ru/covers/10398.jpg","фото на сайте")</f>
        <v>фото на сайте</v>
      </c>
    </row>
    <row r="3343" spans="1:19" ht="50.1" customHeight="1">
      <c r="A3343" s="31"/>
      <c r="B3343" s="32" t="s">
        <v>12595</v>
      </c>
      <c r="C3343" s="31" t="s">
        <v>8389</v>
      </c>
      <c r="D3343" s="31" t="s">
        <v>8390</v>
      </c>
      <c r="E3343" s="31" t="s">
        <v>12596</v>
      </c>
      <c r="F3343" s="31" t="s">
        <v>31</v>
      </c>
      <c r="G3343" s="31">
        <v>137</v>
      </c>
      <c r="H3343" s="31">
        <v>10</v>
      </c>
      <c r="I3343" s="31">
        <v>30</v>
      </c>
      <c r="J3343" s="31" t="s">
        <v>12597</v>
      </c>
      <c r="K3343" s="31" t="s">
        <v>123</v>
      </c>
      <c r="L3343" s="31" t="s">
        <v>56</v>
      </c>
      <c r="M3343" s="31">
        <v>160</v>
      </c>
      <c r="N3343" s="31">
        <v>2020</v>
      </c>
      <c r="O3343" s="31">
        <v>76</v>
      </c>
      <c r="P3343" s="31"/>
      <c r="Q3343" s="31"/>
      <c r="R3343" s="33"/>
      <c r="S3343" s="34" t="str">
        <f>HYPERLINK("http://www.cnpol.ru/covers/19127.jpg","фото на сайте")</f>
        <v>фото на сайте</v>
      </c>
    </row>
    <row r="3344" spans="1:19" ht="50.1" customHeight="1">
      <c r="A3344" s="31"/>
      <c r="B3344" s="32" t="s">
        <v>12598</v>
      </c>
      <c r="C3344" s="31" t="s">
        <v>302</v>
      </c>
      <c r="D3344" s="31" t="s">
        <v>872</v>
      </c>
      <c r="E3344" s="31" t="s">
        <v>12599</v>
      </c>
      <c r="F3344" s="31" t="s">
        <v>31</v>
      </c>
      <c r="G3344" s="31">
        <v>917</v>
      </c>
      <c r="H3344" s="31">
        <v>10</v>
      </c>
      <c r="I3344" s="31">
        <v>16</v>
      </c>
      <c r="J3344" s="31" t="s">
        <v>12600</v>
      </c>
      <c r="K3344" s="31" t="s">
        <v>41</v>
      </c>
      <c r="L3344" s="31" t="s">
        <v>304</v>
      </c>
      <c r="M3344" s="31">
        <v>320</v>
      </c>
      <c r="N3344" s="31">
        <v>2022</v>
      </c>
      <c r="O3344" s="31">
        <v>422</v>
      </c>
      <c r="P3344" s="31"/>
      <c r="Q3344" s="31"/>
      <c r="R3344" s="33"/>
      <c r="S3344" s="34" t="str">
        <f>HYPERLINK("http://www.cnpol.ru/covers/20156.jpg","фото на сайте")</f>
        <v>фото на сайте</v>
      </c>
    </row>
    <row r="3345" spans="1:19" ht="50.1" customHeight="1">
      <c r="A3345" s="31" t="s">
        <v>35</v>
      </c>
      <c r="B3345" s="32" t="s">
        <v>12601</v>
      </c>
      <c r="C3345" s="31" t="s">
        <v>297</v>
      </c>
      <c r="D3345" s="31" t="s">
        <v>872</v>
      </c>
      <c r="E3345" s="31" t="s">
        <v>12599</v>
      </c>
      <c r="F3345" s="31" t="s">
        <v>31</v>
      </c>
      <c r="G3345" s="31">
        <v>300</v>
      </c>
      <c r="H3345" s="31">
        <v>10</v>
      </c>
      <c r="I3345" s="31">
        <v>10</v>
      </c>
      <c r="J3345" s="31" t="s">
        <v>12602</v>
      </c>
      <c r="K3345" s="31" t="s">
        <v>300</v>
      </c>
      <c r="L3345" s="31" t="s">
        <v>56</v>
      </c>
      <c r="M3345" s="31">
        <v>255</v>
      </c>
      <c r="N3345" s="31">
        <v>2022</v>
      </c>
      <c r="O3345" s="31">
        <v>132</v>
      </c>
      <c r="P3345" s="31"/>
      <c r="Q3345" s="31"/>
      <c r="R3345" s="33" t="s">
        <v>12603</v>
      </c>
      <c r="S3345" s="34" t="str">
        <f>HYPERLINK("http://www.cnpol.ru/covers/21560.jpg","фото на сайте")</f>
        <v>фото на сайте</v>
      </c>
    </row>
    <row r="3346" spans="1:19" ht="50.1" customHeight="1">
      <c r="A3346" s="31"/>
      <c r="B3346" s="32" t="s">
        <v>12604</v>
      </c>
      <c r="C3346" s="31" t="s">
        <v>400</v>
      </c>
      <c r="D3346" s="31" t="s">
        <v>5829</v>
      </c>
      <c r="E3346" s="31" t="s">
        <v>12605</v>
      </c>
      <c r="F3346" s="31" t="s">
        <v>31</v>
      </c>
      <c r="G3346" s="31">
        <v>503</v>
      </c>
      <c r="H3346" s="31">
        <v>10</v>
      </c>
      <c r="I3346" s="31">
        <v>14</v>
      </c>
      <c r="J3346" s="31" t="s">
        <v>12606</v>
      </c>
      <c r="K3346" s="31" t="s">
        <v>33</v>
      </c>
      <c r="L3346" s="31" t="s">
        <v>34</v>
      </c>
      <c r="M3346" s="31">
        <v>288</v>
      </c>
      <c r="N3346" s="31">
        <v>2016</v>
      </c>
      <c r="O3346" s="31">
        <v>250</v>
      </c>
      <c r="P3346" s="31"/>
      <c r="Q3346" s="31"/>
      <c r="R3346" s="33"/>
      <c r="S3346" s="34" t="str">
        <f>HYPERLINK("http://www.cnpol.ru/covers/16857.jpg","фото на сайте")</f>
        <v>фото на сайте</v>
      </c>
    </row>
    <row r="3347" spans="1:19" ht="50.1" customHeight="1">
      <c r="A3347" s="31"/>
      <c r="B3347" s="32" t="s">
        <v>12607</v>
      </c>
      <c r="C3347" s="31" t="s">
        <v>37</v>
      </c>
      <c r="D3347" s="31" t="s">
        <v>12608</v>
      </c>
      <c r="E3347" s="31" t="s">
        <v>12609</v>
      </c>
      <c r="F3347" s="31" t="s">
        <v>31</v>
      </c>
      <c r="G3347" s="31">
        <v>539</v>
      </c>
      <c r="H3347" s="31">
        <v>10</v>
      </c>
      <c r="I3347" s="31">
        <v>16</v>
      </c>
      <c r="J3347" s="31" t="s">
        <v>12610</v>
      </c>
      <c r="K3347" s="31" t="s">
        <v>33</v>
      </c>
      <c r="L3347" s="31" t="s">
        <v>34</v>
      </c>
      <c r="M3347" s="31">
        <v>320</v>
      </c>
      <c r="N3347" s="31">
        <v>2020</v>
      </c>
      <c r="O3347" s="31">
        <v>325</v>
      </c>
      <c r="P3347" s="31"/>
      <c r="Q3347" s="31"/>
      <c r="R3347" s="33"/>
      <c r="S3347" s="34" t="str">
        <f>HYPERLINK("http://www.cnpol.ru/covers/19078.jpg","фото на сайте")</f>
        <v>фото на сайте</v>
      </c>
    </row>
    <row r="3348" spans="1:19" ht="50.1" customHeight="1">
      <c r="A3348" s="31"/>
      <c r="B3348" s="32" t="s">
        <v>12611</v>
      </c>
      <c r="C3348" s="31" t="s">
        <v>2185</v>
      </c>
      <c r="D3348" s="31" t="s">
        <v>12612</v>
      </c>
      <c r="E3348" s="31" t="s">
        <v>12613</v>
      </c>
      <c r="F3348" s="31" t="s">
        <v>31</v>
      </c>
      <c r="G3348" s="31">
        <v>514</v>
      </c>
      <c r="H3348" s="31">
        <v>10</v>
      </c>
      <c r="I3348" s="31">
        <v>8</v>
      </c>
      <c r="J3348" s="31" t="s">
        <v>12614</v>
      </c>
      <c r="K3348" s="31" t="s">
        <v>194</v>
      </c>
      <c r="L3348" s="31" t="s">
        <v>34</v>
      </c>
      <c r="M3348" s="31">
        <v>191</v>
      </c>
      <c r="N3348" s="31">
        <v>2023</v>
      </c>
      <c r="O3348" s="31">
        <v>230</v>
      </c>
      <c r="P3348" s="31"/>
      <c r="Q3348" s="31"/>
      <c r="R3348" s="33" t="s">
        <v>12615</v>
      </c>
      <c r="S3348" s="34" t="str">
        <f>HYPERLINK("http://www.cnpol.ru/covers/20918.jpg","фото на сайте")</f>
        <v>фото на сайте</v>
      </c>
    </row>
    <row r="3349" spans="1:19" ht="50.1" customHeight="1">
      <c r="A3349" s="31"/>
      <c r="B3349" s="32" t="s">
        <v>12616</v>
      </c>
      <c r="C3349" s="31" t="s">
        <v>37</v>
      </c>
      <c r="D3349" s="31" t="s">
        <v>12617</v>
      </c>
      <c r="E3349" s="31" t="s">
        <v>12618</v>
      </c>
      <c r="F3349" s="31" t="s">
        <v>31</v>
      </c>
      <c r="G3349" s="31">
        <v>539</v>
      </c>
      <c r="H3349" s="31">
        <v>10</v>
      </c>
      <c r="I3349" s="31">
        <v>12</v>
      </c>
      <c r="J3349" s="31" t="s">
        <v>12619</v>
      </c>
      <c r="K3349" s="31" t="s">
        <v>33</v>
      </c>
      <c r="L3349" s="31" t="s">
        <v>34</v>
      </c>
      <c r="M3349" s="31">
        <v>351</v>
      </c>
      <c r="N3349" s="31">
        <v>2022</v>
      </c>
      <c r="O3349" s="31">
        <v>380</v>
      </c>
      <c r="P3349" s="31"/>
      <c r="Q3349" s="31"/>
      <c r="R3349" s="33" t="s">
        <v>12620</v>
      </c>
      <c r="S3349" s="34" t="str">
        <f>HYPERLINK("http://www.cnpol.ru/covers/20431.jpg","фото на сайте")</f>
        <v>фото на сайте</v>
      </c>
    </row>
    <row r="3350" spans="1:19" ht="50.1" customHeight="1">
      <c r="A3350" s="31"/>
      <c r="B3350" s="32" t="s">
        <v>12621</v>
      </c>
      <c r="C3350" s="31" t="s">
        <v>5460</v>
      </c>
      <c r="D3350" s="31" t="s">
        <v>12622</v>
      </c>
      <c r="E3350" s="31" t="s">
        <v>12623</v>
      </c>
      <c r="F3350" s="31" t="s">
        <v>31</v>
      </c>
      <c r="G3350" s="31">
        <v>112</v>
      </c>
      <c r="H3350" s="31">
        <v>10</v>
      </c>
      <c r="I3350" s="31">
        <v>32</v>
      </c>
      <c r="J3350" s="31" t="s">
        <v>12624</v>
      </c>
      <c r="K3350" s="31" t="s">
        <v>41</v>
      </c>
      <c r="L3350" s="31" t="s">
        <v>56</v>
      </c>
      <c r="M3350" s="31">
        <v>174</v>
      </c>
      <c r="N3350" s="31">
        <v>2011</v>
      </c>
      <c r="O3350" s="31">
        <v>140</v>
      </c>
      <c r="P3350" s="31"/>
      <c r="Q3350" s="31"/>
      <c r="R3350" s="33"/>
      <c r="S3350" s="34" t="str">
        <f>HYPERLINK("http://www.cnpol.ru/covers/12536.jpg","фото на сайте")</f>
        <v>фото на сайте</v>
      </c>
    </row>
    <row r="3351" spans="1:19" ht="50.1" customHeight="1">
      <c r="A3351" s="31"/>
      <c r="B3351" s="32" t="s">
        <v>12625</v>
      </c>
      <c r="C3351" s="31" t="s">
        <v>5460</v>
      </c>
      <c r="D3351" s="31" t="s">
        <v>12622</v>
      </c>
      <c r="E3351" s="31" t="s">
        <v>12623</v>
      </c>
      <c r="F3351" s="31" t="s">
        <v>31</v>
      </c>
      <c r="G3351" s="31">
        <v>105</v>
      </c>
      <c r="H3351" s="31">
        <v>10</v>
      </c>
      <c r="I3351" s="31">
        <v>32</v>
      </c>
      <c r="J3351" s="31" t="s">
        <v>12624</v>
      </c>
      <c r="K3351" s="31" t="s">
        <v>41</v>
      </c>
      <c r="L3351" s="31" t="s">
        <v>56</v>
      </c>
      <c r="M3351" s="31">
        <v>174</v>
      </c>
      <c r="N3351" s="31">
        <v>2011</v>
      </c>
      <c r="O3351" s="31">
        <v>130</v>
      </c>
      <c r="P3351" s="31"/>
      <c r="Q3351" s="31"/>
      <c r="R3351" s="33"/>
      <c r="S3351" s="34" t="str">
        <f>HYPERLINK("http://www.cnpol.ru/covers/12918.jpg","фото на сайте")</f>
        <v>фото на сайте</v>
      </c>
    </row>
    <row r="3352" spans="1:19" ht="50.1" customHeight="1">
      <c r="A3352" s="31"/>
      <c r="B3352" s="32" t="s">
        <v>12626</v>
      </c>
      <c r="C3352" s="31" t="s">
        <v>3429</v>
      </c>
      <c r="D3352" s="31" t="s">
        <v>3430</v>
      </c>
      <c r="E3352" s="31" t="s">
        <v>12627</v>
      </c>
      <c r="F3352" s="31" t="s">
        <v>31</v>
      </c>
      <c r="G3352" s="31">
        <v>105</v>
      </c>
      <c r="H3352" s="31">
        <v>10</v>
      </c>
      <c r="I3352" s="31">
        <v>40</v>
      </c>
      <c r="J3352" s="31" t="s">
        <v>12628</v>
      </c>
      <c r="K3352" s="31" t="s">
        <v>130</v>
      </c>
      <c r="L3352" s="31" t="s">
        <v>56</v>
      </c>
      <c r="M3352" s="31">
        <v>139</v>
      </c>
      <c r="N3352" s="31">
        <v>2002</v>
      </c>
      <c r="O3352" s="31">
        <v>88</v>
      </c>
      <c r="P3352" s="31"/>
      <c r="Q3352" s="31"/>
      <c r="R3352" s="33"/>
      <c r="S3352" s="34" t="str">
        <f>HYPERLINK("http://www.cnpol.ru/covers/2955.jpg","фото на сайте")</f>
        <v>фото на сайте</v>
      </c>
    </row>
    <row r="3353" spans="1:19" ht="50.1" customHeight="1">
      <c r="A3353" s="31"/>
      <c r="B3353" s="32" t="s">
        <v>12629</v>
      </c>
      <c r="C3353" s="31" t="s">
        <v>1323</v>
      </c>
      <c r="D3353" s="31" t="s">
        <v>1324</v>
      </c>
      <c r="E3353" s="31" t="s">
        <v>12630</v>
      </c>
      <c r="F3353" s="31" t="s">
        <v>31</v>
      </c>
      <c r="G3353" s="31">
        <v>169</v>
      </c>
      <c r="H3353" s="31">
        <v>10</v>
      </c>
      <c r="I3353" s="31">
        <v>12</v>
      </c>
      <c r="J3353" s="31" t="s">
        <v>12631</v>
      </c>
      <c r="K3353" s="31" t="s">
        <v>55</v>
      </c>
      <c r="L3353" s="31" t="s">
        <v>56</v>
      </c>
      <c r="M3353" s="31">
        <v>286</v>
      </c>
      <c r="N3353" s="31">
        <v>2023</v>
      </c>
      <c r="O3353" s="31">
        <v>125</v>
      </c>
      <c r="P3353" s="31"/>
      <c r="Q3353" s="31"/>
      <c r="R3353" s="33" t="s">
        <v>12632</v>
      </c>
      <c r="S3353" s="34" t="str">
        <f>HYPERLINK("http://www.cnpol.ru/covers/20717.jpg","фото на сайте")</f>
        <v>фото на сайте</v>
      </c>
    </row>
    <row r="3354" spans="1:19" ht="50.1" customHeight="1">
      <c r="A3354" s="31"/>
      <c r="B3354" s="32" t="s">
        <v>12633</v>
      </c>
      <c r="C3354" s="31" t="s">
        <v>7881</v>
      </c>
      <c r="D3354" s="31" t="s">
        <v>12634</v>
      </c>
      <c r="E3354" s="31" t="s">
        <v>12635</v>
      </c>
      <c r="F3354" s="31" t="s">
        <v>31</v>
      </c>
      <c r="G3354" s="31">
        <v>88</v>
      </c>
      <c r="H3354" s="31">
        <v>10</v>
      </c>
      <c r="I3354" s="31">
        <v>30</v>
      </c>
      <c r="J3354" s="31" t="s">
        <v>12636</v>
      </c>
      <c r="K3354" s="31" t="s">
        <v>55</v>
      </c>
      <c r="L3354" s="31" t="s">
        <v>56</v>
      </c>
      <c r="M3354" s="31">
        <v>174</v>
      </c>
      <c r="N3354" s="31">
        <v>2008</v>
      </c>
      <c r="O3354" s="31">
        <v>78</v>
      </c>
      <c r="P3354" s="31"/>
      <c r="Q3354" s="31"/>
      <c r="R3354" s="33"/>
      <c r="S3354" s="34" t="str">
        <f>HYPERLINK("http://www.cnpol.ru/covers/7520.jpg","фото на сайте")</f>
        <v>фото на сайте</v>
      </c>
    </row>
    <row r="3355" spans="1:19" ht="50.1" customHeight="1">
      <c r="A3355" s="31"/>
      <c r="B3355" s="32" t="s">
        <v>12637</v>
      </c>
      <c r="C3355" s="31" t="s">
        <v>546</v>
      </c>
      <c r="D3355" s="31" t="s">
        <v>6002</v>
      </c>
      <c r="E3355" s="31" t="s">
        <v>12638</v>
      </c>
      <c r="F3355" s="31">
        <v>341</v>
      </c>
      <c r="G3355" s="31">
        <v>93</v>
      </c>
      <c r="H3355" s="31">
        <v>10</v>
      </c>
      <c r="I3355" s="31">
        <v>30</v>
      </c>
      <c r="J3355" s="31" t="s">
        <v>12639</v>
      </c>
      <c r="K3355" s="31" t="s">
        <v>123</v>
      </c>
      <c r="L3355" s="31" t="s">
        <v>56</v>
      </c>
      <c r="M3355" s="31">
        <v>160</v>
      </c>
      <c r="N3355" s="31">
        <v>2020</v>
      </c>
      <c r="O3355" s="31">
        <v>76</v>
      </c>
      <c r="P3355" s="31"/>
      <c r="Q3355" s="31"/>
      <c r="R3355" s="33"/>
      <c r="S3355" s="34" t="str">
        <f>HYPERLINK("http://www.cnpol.ru/covers/19051.jpg","фото на сайте")</f>
        <v>фото на сайте</v>
      </c>
    </row>
    <row r="3356" spans="1:19" ht="50.1" customHeight="1">
      <c r="A3356" s="31"/>
      <c r="B3356" s="32" t="s">
        <v>12640</v>
      </c>
      <c r="C3356" s="31" t="s">
        <v>1934</v>
      </c>
      <c r="D3356" s="31" t="s">
        <v>12641</v>
      </c>
      <c r="E3356" s="31" t="s">
        <v>12642</v>
      </c>
      <c r="F3356" s="31" t="s">
        <v>31</v>
      </c>
      <c r="G3356" s="31">
        <v>389</v>
      </c>
      <c r="H3356" s="31">
        <v>10</v>
      </c>
      <c r="I3356" s="31">
        <v>16</v>
      </c>
      <c r="J3356" s="31" t="s">
        <v>12643</v>
      </c>
      <c r="K3356" s="31" t="s">
        <v>33</v>
      </c>
      <c r="L3356" s="31" t="s">
        <v>34</v>
      </c>
      <c r="M3356" s="31">
        <v>287</v>
      </c>
      <c r="N3356" s="31">
        <v>2008</v>
      </c>
      <c r="O3356" s="31">
        <v>264</v>
      </c>
      <c r="P3356" s="31"/>
      <c r="Q3356" s="31"/>
      <c r="R3356" s="33"/>
      <c r="S3356" s="34" t="str">
        <f>HYPERLINK("http://www.cnpol.ru/covers/7937.jpg","фото на сайте")</f>
        <v>фото на сайте</v>
      </c>
    </row>
    <row r="3357" spans="1:19" ht="50.1" customHeight="1">
      <c r="A3357" s="31"/>
      <c r="B3357" s="32" t="s">
        <v>12644</v>
      </c>
      <c r="C3357" s="31" t="s">
        <v>418</v>
      </c>
      <c r="D3357" s="31" t="s">
        <v>3610</v>
      </c>
      <c r="E3357" s="31" t="s">
        <v>12645</v>
      </c>
      <c r="F3357" s="31">
        <v>124</v>
      </c>
      <c r="G3357" s="31">
        <v>153</v>
      </c>
      <c r="H3357" s="31">
        <v>10</v>
      </c>
      <c r="I3357" s="31">
        <v>16</v>
      </c>
      <c r="J3357" s="31" t="s">
        <v>12646</v>
      </c>
      <c r="K3357" s="31" t="s">
        <v>123</v>
      </c>
      <c r="L3357" s="31" t="s">
        <v>56</v>
      </c>
      <c r="M3357" s="31">
        <v>255</v>
      </c>
      <c r="N3357" s="31">
        <v>2023</v>
      </c>
      <c r="O3357" s="31">
        <v>270</v>
      </c>
      <c r="P3357" s="31"/>
      <c r="Q3357" s="31"/>
      <c r="R3357" s="33" t="s">
        <v>12647</v>
      </c>
      <c r="S3357" s="34" t="str">
        <f>HYPERLINK("http://www.cnpol.ru/covers/20722.jpg","фото на сайте")</f>
        <v>фото на сайте</v>
      </c>
    </row>
    <row r="3358" spans="1:19" ht="50.1" customHeight="1">
      <c r="A3358" s="31"/>
      <c r="B3358" s="32" t="s">
        <v>12648</v>
      </c>
      <c r="C3358" s="31" t="s">
        <v>390</v>
      </c>
      <c r="D3358" s="31" t="s">
        <v>3986</v>
      </c>
      <c r="E3358" s="31" t="s">
        <v>12649</v>
      </c>
      <c r="F3358" s="31">
        <v>1125</v>
      </c>
      <c r="G3358" s="31">
        <v>86</v>
      </c>
      <c r="H3358" s="31">
        <v>10</v>
      </c>
      <c r="I3358" s="31">
        <v>30</v>
      </c>
      <c r="J3358" s="31" t="s">
        <v>12650</v>
      </c>
      <c r="K3358" s="31" t="s">
        <v>123</v>
      </c>
      <c r="L3358" s="31" t="s">
        <v>56</v>
      </c>
      <c r="M3358" s="31">
        <v>159</v>
      </c>
      <c r="N3358" s="31">
        <v>2023</v>
      </c>
      <c r="O3358" s="31">
        <v>76</v>
      </c>
      <c r="P3358" s="31"/>
      <c r="Q3358" s="31"/>
      <c r="R3358" s="33" t="s">
        <v>12651</v>
      </c>
      <c r="S3358" s="34" t="str">
        <f>HYPERLINK("http://www.cnpol.ru/covers/20509.jpg","фото на сайте")</f>
        <v>фото на сайте</v>
      </c>
    </row>
    <row r="3359" spans="1:19" ht="50.1" customHeight="1">
      <c r="A3359" s="31"/>
      <c r="B3359" s="32" t="s">
        <v>12652</v>
      </c>
      <c r="C3359" s="31" t="s">
        <v>390</v>
      </c>
      <c r="D3359" s="31" t="s">
        <v>1427</v>
      </c>
      <c r="E3359" s="31" t="s">
        <v>12653</v>
      </c>
      <c r="F3359" s="31">
        <v>851</v>
      </c>
      <c r="G3359" s="31">
        <v>86</v>
      </c>
      <c r="H3359" s="31">
        <v>10</v>
      </c>
      <c r="I3359" s="31">
        <v>30</v>
      </c>
      <c r="J3359" s="31" t="s">
        <v>12654</v>
      </c>
      <c r="K3359" s="31" t="s">
        <v>123</v>
      </c>
      <c r="L3359" s="31" t="s">
        <v>56</v>
      </c>
      <c r="M3359" s="31">
        <v>160</v>
      </c>
      <c r="N3359" s="31">
        <v>2018</v>
      </c>
      <c r="O3359" s="31">
        <v>76</v>
      </c>
      <c r="P3359" s="31"/>
      <c r="Q3359" s="31"/>
      <c r="R3359" s="33"/>
      <c r="S3359" s="34" t="str">
        <f>HYPERLINK("http://www.cnpol.ru/covers/18398.jpg","фото на сайте")</f>
        <v>фото на сайте</v>
      </c>
    </row>
    <row r="3360" spans="1:19" ht="50.1" customHeight="1">
      <c r="A3360" s="31"/>
      <c r="B3360" s="32" t="s">
        <v>12655</v>
      </c>
      <c r="C3360" s="31" t="s">
        <v>302</v>
      </c>
      <c r="D3360" s="31" t="s">
        <v>12656</v>
      </c>
      <c r="E3360" s="31" t="s">
        <v>12657</v>
      </c>
      <c r="F3360" s="31" t="s">
        <v>31</v>
      </c>
      <c r="G3360" s="31">
        <v>917</v>
      </c>
      <c r="H3360" s="31">
        <v>10</v>
      </c>
      <c r="I3360" s="31">
        <v>14</v>
      </c>
      <c r="J3360" s="31" t="s">
        <v>12658</v>
      </c>
      <c r="K3360" s="31" t="s">
        <v>41</v>
      </c>
      <c r="L3360" s="31" t="s">
        <v>304</v>
      </c>
      <c r="M3360" s="31">
        <v>352</v>
      </c>
      <c r="N3360" s="31">
        <v>2018</v>
      </c>
      <c r="O3360" s="31">
        <v>456</v>
      </c>
      <c r="P3360" s="31"/>
      <c r="Q3360" s="31"/>
      <c r="R3360" s="33"/>
      <c r="S3360" s="34" t="str">
        <f>HYPERLINK("http://www.cnpol.ru/covers/18107.jpg","фото на сайте")</f>
        <v>фото на сайте</v>
      </c>
    </row>
    <row r="3361" spans="1:19" ht="50.1" customHeight="1">
      <c r="A3361" s="31"/>
      <c r="B3361" s="32" t="s">
        <v>12659</v>
      </c>
      <c r="C3361" s="31" t="s">
        <v>171</v>
      </c>
      <c r="D3361" s="31" t="s">
        <v>172</v>
      </c>
      <c r="E3361" s="31" t="s">
        <v>12660</v>
      </c>
      <c r="F3361" s="31" t="s">
        <v>31</v>
      </c>
      <c r="G3361" s="35">
        <v>1931</v>
      </c>
      <c r="H3361" s="31">
        <v>10</v>
      </c>
      <c r="I3361" s="31">
        <v>4</v>
      </c>
      <c r="J3361" s="31" t="s">
        <v>12661</v>
      </c>
      <c r="K3361" s="31" t="s">
        <v>41</v>
      </c>
      <c r="L3361" s="31" t="s">
        <v>34</v>
      </c>
      <c r="M3361" s="31">
        <v>735</v>
      </c>
      <c r="N3361" s="31">
        <v>2024</v>
      </c>
      <c r="O3361" s="31">
        <v>838</v>
      </c>
      <c r="P3361" s="31"/>
      <c r="Q3361" s="31"/>
      <c r="R3361" s="33" t="s">
        <v>12662</v>
      </c>
      <c r="S3361" s="34" t="str">
        <f>HYPERLINK("http://www.cnpol.ru/covers/20950.jpg","фото на сайте")</f>
        <v>фото на сайте</v>
      </c>
    </row>
    <row r="3362" spans="1:19" ht="50.1" customHeight="1">
      <c r="A3362" s="31"/>
      <c r="B3362" s="32" t="s">
        <v>12663</v>
      </c>
      <c r="C3362" s="31" t="s">
        <v>390</v>
      </c>
      <c r="D3362" s="31" t="s">
        <v>1520</v>
      </c>
      <c r="E3362" s="31" t="s">
        <v>12664</v>
      </c>
      <c r="F3362" s="31">
        <v>846</v>
      </c>
      <c r="G3362" s="31">
        <v>86</v>
      </c>
      <c r="H3362" s="31">
        <v>10</v>
      </c>
      <c r="I3362" s="31">
        <v>30</v>
      </c>
      <c r="J3362" s="31" t="s">
        <v>12665</v>
      </c>
      <c r="K3362" s="31" t="s">
        <v>123</v>
      </c>
      <c r="L3362" s="31" t="s">
        <v>56</v>
      </c>
      <c r="M3362" s="31">
        <v>160</v>
      </c>
      <c r="N3362" s="31">
        <v>2018</v>
      </c>
      <c r="O3362" s="31">
        <v>76</v>
      </c>
      <c r="P3362" s="31"/>
      <c r="Q3362" s="31"/>
      <c r="R3362" s="33"/>
      <c r="S3362" s="34" t="str">
        <f>HYPERLINK("http://www.cnpol.ru/covers/18370.jpg","фото на сайте")</f>
        <v>фото на сайте</v>
      </c>
    </row>
    <row r="3363" spans="1:19" ht="50.1" customHeight="1">
      <c r="A3363" s="31"/>
      <c r="B3363" s="32" t="s">
        <v>12666</v>
      </c>
      <c r="C3363" s="31" t="s">
        <v>1594</v>
      </c>
      <c r="D3363" s="31" t="s">
        <v>10420</v>
      </c>
      <c r="E3363" s="31" t="s">
        <v>12667</v>
      </c>
      <c r="F3363" s="31" t="s">
        <v>31</v>
      </c>
      <c r="G3363" s="31">
        <v>169</v>
      </c>
      <c r="H3363" s="31">
        <v>10</v>
      </c>
      <c r="I3363" s="31">
        <v>20</v>
      </c>
      <c r="J3363" s="31" t="s">
        <v>12668</v>
      </c>
      <c r="K3363" s="31" t="s">
        <v>55</v>
      </c>
      <c r="L3363" s="31" t="s">
        <v>56</v>
      </c>
      <c r="M3363" s="31">
        <v>255</v>
      </c>
      <c r="N3363" s="31">
        <v>2022</v>
      </c>
      <c r="O3363" s="31">
        <v>110</v>
      </c>
      <c r="P3363" s="31"/>
      <c r="Q3363" s="31"/>
      <c r="R3363" s="33"/>
      <c r="S3363" s="34" t="str">
        <f>HYPERLINK("http://www.cnpol.ru/covers/20166.jpg","фото на сайте")</f>
        <v>фото на сайте</v>
      </c>
    </row>
    <row r="3364" spans="1:19" ht="50.1" customHeight="1">
      <c r="A3364" s="31"/>
      <c r="B3364" s="32" t="s">
        <v>12669</v>
      </c>
      <c r="C3364" s="31" t="s">
        <v>418</v>
      </c>
      <c r="D3364" s="31" t="s">
        <v>12670</v>
      </c>
      <c r="E3364" s="31" t="s">
        <v>12671</v>
      </c>
      <c r="F3364" s="31">
        <v>2</v>
      </c>
      <c r="G3364" s="31">
        <v>153</v>
      </c>
      <c r="H3364" s="31">
        <v>10</v>
      </c>
      <c r="I3364" s="31">
        <v>32</v>
      </c>
      <c r="J3364" s="31" t="s">
        <v>12672</v>
      </c>
      <c r="K3364" s="31" t="s">
        <v>123</v>
      </c>
      <c r="L3364" s="31" t="s">
        <v>56</v>
      </c>
      <c r="M3364" s="31">
        <v>285</v>
      </c>
      <c r="N3364" s="31">
        <v>2011</v>
      </c>
      <c r="O3364" s="31">
        <v>132</v>
      </c>
      <c r="P3364" s="31"/>
      <c r="Q3364" s="31"/>
      <c r="R3364" s="33"/>
      <c r="S3364" s="34" t="str">
        <f>HYPERLINK("http://www.cnpol.ru/covers/13042.jpg","фото на сайте")</f>
        <v>фото на сайте</v>
      </c>
    </row>
    <row r="3365" spans="1:19" ht="50.1" customHeight="1">
      <c r="A3365" s="31"/>
      <c r="B3365" s="32" t="s">
        <v>12673</v>
      </c>
      <c r="C3365" s="31" t="s">
        <v>390</v>
      </c>
      <c r="D3365" s="31" t="s">
        <v>2511</v>
      </c>
      <c r="E3365" s="31" t="s">
        <v>12674</v>
      </c>
      <c r="F3365" s="31">
        <v>618</v>
      </c>
      <c r="G3365" s="31">
        <v>86</v>
      </c>
      <c r="H3365" s="31">
        <v>10</v>
      </c>
      <c r="I3365" s="31">
        <v>30</v>
      </c>
      <c r="J3365" s="31" t="s">
        <v>12675</v>
      </c>
      <c r="K3365" s="31" t="s">
        <v>123</v>
      </c>
      <c r="L3365" s="31" t="s">
        <v>56</v>
      </c>
      <c r="M3365" s="31">
        <v>160</v>
      </c>
      <c r="N3365" s="31">
        <v>2016</v>
      </c>
      <c r="O3365" s="31">
        <v>76</v>
      </c>
      <c r="P3365" s="31"/>
      <c r="Q3365" s="31"/>
      <c r="R3365" s="33"/>
      <c r="S3365" s="34" t="str">
        <f>HYPERLINK("http://www.cnpol.ru/covers/16753.jpg","фото на сайте")</f>
        <v>фото на сайте</v>
      </c>
    </row>
    <row r="3366" spans="1:19" ht="50.1" customHeight="1">
      <c r="A3366" s="31"/>
      <c r="B3366" s="32" t="s">
        <v>12676</v>
      </c>
      <c r="C3366" s="31" t="s">
        <v>390</v>
      </c>
      <c r="D3366" s="31" t="s">
        <v>391</v>
      </c>
      <c r="E3366" s="31" t="s">
        <v>12677</v>
      </c>
      <c r="F3366" s="31">
        <v>921</v>
      </c>
      <c r="G3366" s="31">
        <v>86</v>
      </c>
      <c r="H3366" s="31">
        <v>10</v>
      </c>
      <c r="I3366" s="31">
        <v>30</v>
      </c>
      <c r="J3366" s="31" t="s">
        <v>12678</v>
      </c>
      <c r="K3366" s="31" t="s">
        <v>123</v>
      </c>
      <c r="L3366" s="31" t="s">
        <v>56</v>
      </c>
      <c r="M3366" s="31">
        <v>160</v>
      </c>
      <c r="N3366" s="31">
        <v>2019</v>
      </c>
      <c r="O3366" s="31">
        <v>76</v>
      </c>
      <c r="P3366" s="31"/>
      <c r="Q3366" s="31"/>
      <c r="R3366" s="33"/>
      <c r="S3366" s="34" t="str">
        <f>HYPERLINK("http://www.cnpol.ru/covers/18833.jpg","фото на сайте")</f>
        <v>фото на сайте</v>
      </c>
    </row>
    <row r="3367" spans="1:19" ht="50.1" customHeight="1">
      <c r="A3367" s="31"/>
      <c r="B3367" s="32" t="s">
        <v>12679</v>
      </c>
      <c r="C3367" s="31" t="s">
        <v>390</v>
      </c>
      <c r="D3367" s="31" t="s">
        <v>1520</v>
      </c>
      <c r="E3367" s="31" t="s">
        <v>12680</v>
      </c>
      <c r="F3367" s="31">
        <v>746</v>
      </c>
      <c r="G3367" s="31">
        <v>86</v>
      </c>
      <c r="H3367" s="31">
        <v>10</v>
      </c>
      <c r="I3367" s="31">
        <v>30</v>
      </c>
      <c r="J3367" s="31" t="s">
        <v>12681</v>
      </c>
      <c r="K3367" s="31" t="s">
        <v>123</v>
      </c>
      <c r="L3367" s="31" t="s">
        <v>56</v>
      </c>
      <c r="M3367" s="31">
        <v>160</v>
      </c>
      <c r="N3367" s="31">
        <v>2017</v>
      </c>
      <c r="O3367" s="31">
        <v>76</v>
      </c>
      <c r="P3367" s="31"/>
      <c r="Q3367" s="31"/>
      <c r="R3367" s="33"/>
      <c r="S3367" s="34" t="str">
        <f>HYPERLINK("http://www.cnpol.ru/covers/17655.jpg","фото на сайте")</f>
        <v>фото на сайте</v>
      </c>
    </row>
    <row r="3368" spans="1:19" ht="50.1" customHeight="1">
      <c r="A3368" s="31"/>
      <c r="B3368" s="32" t="s">
        <v>12682</v>
      </c>
      <c r="C3368" s="31" t="s">
        <v>28</v>
      </c>
      <c r="D3368" s="31" t="s">
        <v>12683</v>
      </c>
      <c r="E3368" s="31" t="s">
        <v>12684</v>
      </c>
      <c r="F3368" s="31" t="s">
        <v>31</v>
      </c>
      <c r="G3368" s="31">
        <v>733</v>
      </c>
      <c r="H3368" s="31">
        <v>10</v>
      </c>
      <c r="I3368" s="31">
        <v>10</v>
      </c>
      <c r="J3368" s="31" t="s">
        <v>12685</v>
      </c>
      <c r="K3368" s="31" t="s">
        <v>33</v>
      </c>
      <c r="L3368" s="31" t="s">
        <v>34</v>
      </c>
      <c r="M3368" s="31">
        <v>288</v>
      </c>
      <c r="N3368" s="31">
        <v>2021</v>
      </c>
      <c r="O3368" s="31">
        <v>252</v>
      </c>
      <c r="P3368" s="31"/>
      <c r="Q3368" s="31"/>
      <c r="R3368" s="33"/>
      <c r="S3368" s="34" t="str">
        <f>HYPERLINK("http://www.cnpol.ru/covers/19754.jpg","фото на сайте")</f>
        <v>фото на сайте</v>
      </c>
    </row>
    <row r="3369" spans="1:19" ht="50.1" customHeight="1">
      <c r="A3369" s="31"/>
      <c r="B3369" s="32" t="s">
        <v>12686</v>
      </c>
      <c r="C3369" s="31" t="s">
        <v>413</v>
      </c>
      <c r="D3369" s="31" t="s">
        <v>5291</v>
      </c>
      <c r="E3369" s="31" t="s">
        <v>12687</v>
      </c>
      <c r="F3369" s="31">
        <v>53</v>
      </c>
      <c r="G3369" s="31">
        <v>117</v>
      </c>
      <c r="H3369" s="31">
        <v>10</v>
      </c>
      <c r="I3369" s="31">
        <v>36</v>
      </c>
      <c r="J3369" s="31" t="s">
        <v>12688</v>
      </c>
      <c r="K3369" s="31" t="s">
        <v>123</v>
      </c>
      <c r="L3369" s="31" t="s">
        <v>56</v>
      </c>
      <c r="M3369" s="31">
        <v>190</v>
      </c>
      <c r="N3369" s="31">
        <v>2015</v>
      </c>
      <c r="O3369" s="31">
        <v>90</v>
      </c>
      <c r="P3369" s="31"/>
      <c r="Q3369" s="31"/>
      <c r="R3369" s="33"/>
      <c r="S3369" s="34" t="str">
        <f>HYPERLINK("http://www.cnpol.ru/covers/15961.jpg","фото на сайте")</f>
        <v>фото на сайте</v>
      </c>
    </row>
    <row r="3370" spans="1:19" ht="50.1" customHeight="1">
      <c r="A3370" s="31"/>
      <c r="B3370" s="32" t="s">
        <v>12689</v>
      </c>
      <c r="C3370" s="31" t="s">
        <v>390</v>
      </c>
      <c r="D3370" s="31" t="s">
        <v>2976</v>
      </c>
      <c r="E3370" s="31" t="s">
        <v>12690</v>
      </c>
      <c r="F3370" s="31">
        <v>407</v>
      </c>
      <c r="G3370" s="31">
        <v>86</v>
      </c>
      <c r="H3370" s="31">
        <v>10</v>
      </c>
      <c r="I3370" s="31">
        <v>30</v>
      </c>
      <c r="J3370" s="31" t="s">
        <v>12691</v>
      </c>
      <c r="K3370" s="31" t="s">
        <v>123</v>
      </c>
      <c r="L3370" s="31" t="s">
        <v>56</v>
      </c>
      <c r="M3370" s="31">
        <v>160</v>
      </c>
      <c r="N3370" s="31">
        <v>2014</v>
      </c>
      <c r="O3370" s="31">
        <v>76</v>
      </c>
      <c r="P3370" s="31"/>
      <c r="Q3370" s="31"/>
      <c r="R3370" s="33"/>
      <c r="S3370" s="34" t="str">
        <f>HYPERLINK("http://www.cnpol.ru/covers/15146.jpg","фото на сайте")</f>
        <v>фото на сайте</v>
      </c>
    </row>
    <row r="3371" spans="1:19" ht="50.1" customHeight="1">
      <c r="A3371" s="31"/>
      <c r="B3371" s="32" t="s">
        <v>12692</v>
      </c>
      <c r="C3371" s="31" t="s">
        <v>520</v>
      </c>
      <c r="D3371" s="31" t="s">
        <v>521</v>
      </c>
      <c r="E3371" s="31" t="s">
        <v>12693</v>
      </c>
      <c r="F3371" s="31">
        <v>59</v>
      </c>
      <c r="G3371" s="31">
        <v>117</v>
      </c>
      <c r="H3371" s="31">
        <v>10</v>
      </c>
      <c r="I3371" s="31">
        <v>30</v>
      </c>
      <c r="J3371" s="31" t="s">
        <v>12694</v>
      </c>
      <c r="K3371" s="31" t="s">
        <v>123</v>
      </c>
      <c r="L3371" s="31" t="s">
        <v>56</v>
      </c>
      <c r="M3371" s="31">
        <v>192</v>
      </c>
      <c r="N3371" s="31">
        <v>2018</v>
      </c>
      <c r="O3371" s="31">
        <v>92</v>
      </c>
      <c r="P3371" s="31"/>
      <c r="Q3371" s="31"/>
      <c r="R3371" s="33"/>
      <c r="S3371" s="34" t="str">
        <f>HYPERLINK("http://www.cnpol.ru/covers/18287.jpg","фото на сайте")</f>
        <v>фото на сайте</v>
      </c>
    </row>
    <row r="3372" spans="1:19" ht="50.1" customHeight="1">
      <c r="A3372" s="31"/>
      <c r="B3372" s="32" t="s">
        <v>12695</v>
      </c>
      <c r="C3372" s="31" t="s">
        <v>390</v>
      </c>
      <c r="D3372" s="31" t="s">
        <v>859</v>
      </c>
      <c r="E3372" s="31" t="s">
        <v>12696</v>
      </c>
      <c r="F3372" s="31">
        <v>706</v>
      </c>
      <c r="G3372" s="31">
        <v>86</v>
      </c>
      <c r="H3372" s="31">
        <v>10</v>
      </c>
      <c r="I3372" s="31">
        <v>30</v>
      </c>
      <c r="J3372" s="31" t="s">
        <v>12697</v>
      </c>
      <c r="K3372" s="31" t="s">
        <v>123</v>
      </c>
      <c r="L3372" s="31" t="s">
        <v>56</v>
      </c>
      <c r="M3372" s="31">
        <v>160</v>
      </c>
      <c r="N3372" s="31">
        <v>2017</v>
      </c>
      <c r="O3372" s="31">
        <v>76</v>
      </c>
      <c r="P3372" s="31"/>
      <c r="Q3372" s="31"/>
      <c r="R3372" s="33"/>
      <c r="S3372" s="34" t="str">
        <f>HYPERLINK("http://www.cnpol.ru/covers/17410.jpg","фото на сайте")</f>
        <v>фото на сайте</v>
      </c>
    </row>
    <row r="3373" spans="1:19" ht="50.1" customHeight="1">
      <c r="A3373" s="31"/>
      <c r="B3373" s="32" t="s">
        <v>12698</v>
      </c>
      <c r="C3373" s="31" t="s">
        <v>390</v>
      </c>
      <c r="D3373" s="31" t="s">
        <v>2511</v>
      </c>
      <c r="E3373" s="31" t="s">
        <v>12699</v>
      </c>
      <c r="F3373" s="31">
        <v>962</v>
      </c>
      <c r="G3373" s="31">
        <v>86</v>
      </c>
      <c r="H3373" s="31">
        <v>10</v>
      </c>
      <c r="I3373" s="31">
        <v>30</v>
      </c>
      <c r="J3373" s="31" t="s">
        <v>12700</v>
      </c>
      <c r="K3373" s="31" t="s">
        <v>123</v>
      </c>
      <c r="L3373" s="31" t="s">
        <v>56</v>
      </c>
      <c r="M3373" s="31">
        <v>160</v>
      </c>
      <c r="N3373" s="31">
        <v>2020</v>
      </c>
      <c r="O3373" s="31">
        <v>76</v>
      </c>
      <c r="P3373" s="31"/>
      <c r="Q3373" s="31"/>
      <c r="R3373" s="33"/>
      <c r="S3373" s="34" t="str">
        <f>HYPERLINK("http://www.cnpol.ru/covers/19057.jpg","фото на сайте")</f>
        <v>фото на сайте</v>
      </c>
    </row>
    <row r="3374" spans="1:19" ht="50.1" customHeight="1">
      <c r="A3374" s="31"/>
      <c r="B3374" s="32" t="s">
        <v>12701</v>
      </c>
      <c r="C3374" s="31" t="s">
        <v>546</v>
      </c>
      <c r="D3374" s="31" t="s">
        <v>2177</v>
      </c>
      <c r="E3374" s="31" t="s">
        <v>12702</v>
      </c>
      <c r="F3374" s="31">
        <v>188</v>
      </c>
      <c r="G3374" s="31">
        <v>93</v>
      </c>
      <c r="H3374" s="31">
        <v>10</v>
      </c>
      <c r="I3374" s="31">
        <v>30</v>
      </c>
      <c r="J3374" s="31" t="s">
        <v>12703</v>
      </c>
      <c r="K3374" s="31" t="s">
        <v>123</v>
      </c>
      <c r="L3374" s="31" t="s">
        <v>56</v>
      </c>
      <c r="M3374" s="31">
        <v>158</v>
      </c>
      <c r="N3374" s="31">
        <v>2016</v>
      </c>
      <c r="O3374" s="31">
        <v>76</v>
      </c>
      <c r="P3374" s="31"/>
      <c r="Q3374" s="31"/>
      <c r="R3374" s="33"/>
      <c r="S3374" s="34" t="str">
        <f>HYPERLINK("http://www.cnpol.ru/covers/17022.jpg","фото на сайте")</f>
        <v>фото на сайте</v>
      </c>
    </row>
    <row r="3375" spans="1:19" ht="50.1" customHeight="1">
      <c r="A3375" s="31"/>
      <c r="B3375" s="32" t="s">
        <v>12704</v>
      </c>
      <c r="C3375" s="31" t="s">
        <v>3269</v>
      </c>
      <c r="D3375" s="31" t="s">
        <v>10802</v>
      </c>
      <c r="E3375" s="31" t="s">
        <v>12705</v>
      </c>
      <c r="F3375" s="31" t="s">
        <v>31</v>
      </c>
      <c r="G3375" s="31">
        <v>162</v>
      </c>
      <c r="H3375" s="31">
        <v>10</v>
      </c>
      <c r="I3375" s="31">
        <v>16</v>
      </c>
      <c r="J3375" s="31" t="s">
        <v>12706</v>
      </c>
      <c r="K3375" s="31" t="s">
        <v>130</v>
      </c>
      <c r="L3375" s="31" t="s">
        <v>56</v>
      </c>
      <c r="M3375" s="31">
        <v>195</v>
      </c>
      <c r="N3375" s="31">
        <v>2007</v>
      </c>
      <c r="O3375" s="31">
        <v>132</v>
      </c>
      <c r="P3375" s="31"/>
      <c r="Q3375" s="31"/>
      <c r="R3375" s="33"/>
      <c r="S3375" s="34" t="str">
        <f>HYPERLINK("http://www.cnpol.ru/covers/6495.jpg","фото на сайте")</f>
        <v>фото на сайте</v>
      </c>
    </row>
    <row r="3376" spans="1:19" ht="50.1" customHeight="1">
      <c r="A3376" s="31"/>
      <c r="B3376" s="32" t="s">
        <v>12707</v>
      </c>
      <c r="C3376" s="31" t="s">
        <v>464</v>
      </c>
      <c r="D3376" s="31" t="s">
        <v>465</v>
      </c>
      <c r="E3376" s="31" t="s">
        <v>12708</v>
      </c>
      <c r="F3376" s="31" t="s">
        <v>31</v>
      </c>
      <c r="G3376" s="31">
        <v>119</v>
      </c>
      <c r="H3376" s="31">
        <v>10</v>
      </c>
      <c r="I3376" s="31">
        <v>120</v>
      </c>
      <c r="J3376" s="31" t="s">
        <v>12709</v>
      </c>
      <c r="K3376" s="31" t="s">
        <v>3186</v>
      </c>
      <c r="L3376" s="31" t="s">
        <v>1726</v>
      </c>
      <c r="M3376" s="31">
        <v>10</v>
      </c>
      <c r="N3376" s="31">
        <v>2008</v>
      </c>
      <c r="O3376" s="31">
        <v>38</v>
      </c>
      <c r="P3376" s="31"/>
      <c r="Q3376" s="31"/>
      <c r="R3376" s="33"/>
      <c r="S3376" s="34" t="str">
        <f>HYPERLINK("http://www.cnpol.ru/covers/7525.jpg","фото на сайте")</f>
        <v>фото на сайте</v>
      </c>
    </row>
    <row r="3377" spans="1:19" ht="50.1" customHeight="1">
      <c r="A3377" s="31"/>
      <c r="B3377" s="32" t="s">
        <v>12710</v>
      </c>
      <c r="C3377" s="31" t="s">
        <v>12711</v>
      </c>
      <c r="D3377" s="31" t="s">
        <v>9471</v>
      </c>
      <c r="E3377" s="31" t="s">
        <v>12712</v>
      </c>
      <c r="F3377" s="31" t="s">
        <v>31</v>
      </c>
      <c r="G3377" s="31">
        <v>254</v>
      </c>
      <c r="H3377" s="31">
        <v>10</v>
      </c>
      <c r="I3377" s="31">
        <v>20</v>
      </c>
      <c r="J3377" s="31" t="s">
        <v>12713</v>
      </c>
      <c r="K3377" s="31" t="s">
        <v>33</v>
      </c>
      <c r="L3377" s="31" t="s">
        <v>34</v>
      </c>
      <c r="M3377" s="31">
        <v>222</v>
      </c>
      <c r="N3377" s="31">
        <v>2010</v>
      </c>
      <c r="O3377" s="31">
        <v>208</v>
      </c>
      <c r="P3377" s="31"/>
      <c r="Q3377" s="31"/>
      <c r="R3377" s="33"/>
      <c r="S3377" s="34" t="str">
        <f>HYPERLINK("http://www.cnpol.ru/covers/12106.jpg","фото на сайте")</f>
        <v>фото на сайте</v>
      </c>
    </row>
    <row r="3378" spans="1:19" ht="50.1" customHeight="1">
      <c r="A3378" s="31"/>
      <c r="B3378" s="32" t="s">
        <v>12714</v>
      </c>
      <c r="C3378" s="31" t="s">
        <v>464</v>
      </c>
      <c r="D3378" s="31" t="s">
        <v>12120</v>
      </c>
      <c r="E3378" s="31" t="s">
        <v>12715</v>
      </c>
      <c r="F3378" s="31" t="s">
        <v>31</v>
      </c>
      <c r="G3378" s="31">
        <v>137</v>
      </c>
      <c r="H3378" s="31">
        <v>10</v>
      </c>
      <c r="I3378" s="31">
        <v>50</v>
      </c>
      <c r="J3378" s="31" t="s">
        <v>12716</v>
      </c>
      <c r="K3378" s="31" t="s">
        <v>468</v>
      </c>
      <c r="L3378" s="31" t="s">
        <v>56</v>
      </c>
      <c r="M3378" s="31">
        <v>18</v>
      </c>
      <c r="N3378" s="31">
        <v>2007</v>
      </c>
      <c r="O3378" s="31">
        <v>86</v>
      </c>
      <c r="P3378" s="31"/>
      <c r="Q3378" s="31"/>
      <c r="R3378" s="33"/>
      <c r="S3378" s="34" t="str">
        <f>HYPERLINK("http://www.cnpol.ru/covers/7399.jpg","фото на сайте")</f>
        <v>фото на сайте</v>
      </c>
    </row>
    <row r="3379" spans="1:19" ht="50.1" customHeight="1">
      <c r="A3379" s="31"/>
      <c r="B3379" s="32" t="s">
        <v>12717</v>
      </c>
      <c r="C3379" s="31" t="s">
        <v>546</v>
      </c>
      <c r="D3379" s="31" t="s">
        <v>1435</v>
      </c>
      <c r="E3379" s="31" t="s">
        <v>12718</v>
      </c>
      <c r="F3379" s="31">
        <v>245</v>
      </c>
      <c r="G3379" s="31">
        <v>93</v>
      </c>
      <c r="H3379" s="31">
        <v>10</v>
      </c>
      <c r="I3379" s="31">
        <v>30</v>
      </c>
      <c r="J3379" s="31" t="s">
        <v>12719</v>
      </c>
      <c r="K3379" s="31" t="s">
        <v>123</v>
      </c>
      <c r="L3379" s="31" t="s">
        <v>56</v>
      </c>
      <c r="M3379" s="31">
        <v>160</v>
      </c>
      <c r="N3379" s="31">
        <v>2017</v>
      </c>
      <c r="O3379" s="31">
        <v>76</v>
      </c>
      <c r="P3379" s="31"/>
      <c r="Q3379" s="31"/>
      <c r="R3379" s="33"/>
      <c r="S3379" s="34" t="str">
        <f>HYPERLINK("http://www.cnpol.ru/covers/17805.jpg","фото на сайте")</f>
        <v>фото на сайте</v>
      </c>
    </row>
    <row r="3380" spans="1:19" ht="50.1" customHeight="1">
      <c r="A3380" s="31"/>
      <c r="B3380" s="32" t="s">
        <v>12720</v>
      </c>
      <c r="C3380" s="31" t="s">
        <v>390</v>
      </c>
      <c r="D3380" s="31" t="s">
        <v>1115</v>
      </c>
      <c r="E3380" s="31" t="s">
        <v>12721</v>
      </c>
      <c r="F3380" s="31">
        <v>973</v>
      </c>
      <c r="G3380" s="31">
        <v>86</v>
      </c>
      <c r="H3380" s="31">
        <v>10</v>
      </c>
      <c r="I3380" s="31">
        <v>30</v>
      </c>
      <c r="J3380" s="31" t="s">
        <v>12722</v>
      </c>
      <c r="K3380" s="31" t="s">
        <v>123</v>
      </c>
      <c r="L3380" s="31" t="s">
        <v>56</v>
      </c>
      <c r="M3380" s="31">
        <v>160</v>
      </c>
      <c r="N3380" s="31">
        <v>2020</v>
      </c>
      <c r="O3380" s="31">
        <v>76</v>
      </c>
      <c r="P3380" s="31"/>
      <c r="Q3380" s="31"/>
      <c r="R3380" s="33"/>
      <c r="S3380" s="34" t="str">
        <f>HYPERLINK("http://www.cnpol.ru/covers/19131.jpg","фото на сайте")</f>
        <v>фото на сайте</v>
      </c>
    </row>
    <row r="3381" spans="1:19" ht="50.1" customHeight="1">
      <c r="A3381" s="31"/>
      <c r="B3381" s="32" t="s">
        <v>12723</v>
      </c>
      <c r="C3381" s="31" t="s">
        <v>546</v>
      </c>
      <c r="D3381" s="31" t="s">
        <v>4632</v>
      </c>
      <c r="E3381" s="31" t="s">
        <v>12724</v>
      </c>
      <c r="F3381" s="31">
        <v>283</v>
      </c>
      <c r="G3381" s="31">
        <v>93</v>
      </c>
      <c r="H3381" s="31">
        <v>10</v>
      </c>
      <c r="I3381" s="31">
        <v>30</v>
      </c>
      <c r="J3381" s="31" t="s">
        <v>12725</v>
      </c>
      <c r="K3381" s="31" t="s">
        <v>123</v>
      </c>
      <c r="L3381" s="31" t="s">
        <v>56</v>
      </c>
      <c r="M3381" s="31">
        <v>160</v>
      </c>
      <c r="N3381" s="31">
        <v>2018</v>
      </c>
      <c r="O3381" s="31">
        <v>76</v>
      </c>
      <c r="P3381" s="31"/>
      <c r="Q3381" s="31"/>
      <c r="R3381" s="33"/>
      <c r="S3381" s="34" t="str">
        <f>HYPERLINK("http://www.cnpol.ru/covers/18359.jpg","фото на сайте")</f>
        <v>фото на сайте</v>
      </c>
    </row>
    <row r="3382" spans="1:19" ht="50.1" customHeight="1">
      <c r="A3382" s="31" t="s">
        <v>35</v>
      </c>
      <c r="B3382" s="32" t="s">
        <v>12726</v>
      </c>
      <c r="C3382" s="31" t="s">
        <v>37</v>
      </c>
      <c r="D3382" s="31" t="s">
        <v>12727</v>
      </c>
      <c r="E3382" s="31" t="s">
        <v>12728</v>
      </c>
      <c r="F3382" s="31" t="s">
        <v>31</v>
      </c>
      <c r="G3382" s="31">
        <v>722</v>
      </c>
      <c r="H3382" s="31">
        <v>10</v>
      </c>
      <c r="I3382" s="31">
        <v>8</v>
      </c>
      <c r="J3382" s="31" t="s">
        <v>12729</v>
      </c>
      <c r="K3382" s="31" t="s">
        <v>33</v>
      </c>
      <c r="L3382" s="31" t="s">
        <v>34</v>
      </c>
      <c r="M3382" s="31">
        <v>431</v>
      </c>
      <c r="N3382" s="31">
        <v>2025</v>
      </c>
      <c r="O3382" s="31" t="s">
        <v>220</v>
      </c>
      <c r="P3382" s="31"/>
      <c r="Q3382" s="31"/>
      <c r="R3382" s="33" t="s">
        <v>12730</v>
      </c>
      <c r="S3382" s="34" t="str">
        <f>HYPERLINK("http://www.cnpol.ru/covers/21865.jpg","фото на сайте")</f>
        <v>фото на сайте</v>
      </c>
    </row>
    <row r="3383" spans="1:19" ht="50.1" customHeight="1">
      <c r="A3383" s="31"/>
      <c r="B3383" s="32" t="s">
        <v>12731</v>
      </c>
      <c r="C3383" s="31" t="s">
        <v>1247</v>
      </c>
      <c r="D3383" s="31" t="s">
        <v>1248</v>
      </c>
      <c r="E3383" s="31" t="s">
        <v>12732</v>
      </c>
      <c r="F3383" s="31" t="s">
        <v>31</v>
      </c>
      <c r="G3383" s="31">
        <v>112</v>
      </c>
      <c r="H3383" s="31">
        <v>10</v>
      </c>
      <c r="I3383" s="31">
        <v>40</v>
      </c>
      <c r="J3383" s="31" t="s">
        <v>12733</v>
      </c>
      <c r="K3383" s="31" t="s">
        <v>123</v>
      </c>
      <c r="L3383" s="31" t="s">
        <v>56</v>
      </c>
      <c r="M3383" s="31">
        <v>128</v>
      </c>
      <c r="N3383" s="31">
        <v>2008</v>
      </c>
      <c r="O3383" s="31" t="s">
        <v>220</v>
      </c>
      <c r="P3383" s="31"/>
      <c r="Q3383" s="31"/>
      <c r="R3383" s="33"/>
      <c r="S3383" s="34" t="str">
        <f>HYPERLINK("http://www.cnpol.ru/covers/10244.jpg","фото на сайте")</f>
        <v>фото на сайте</v>
      </c>
    </row>
    <row r="3384" spans="1:19" ht="50.1" customHeight="1">
      <c r="A3384" s="31"/>
      <c r="B3384" s="32" t="s">
        <v>12734</v>
      </c>
      <c r="C3384" s="31" t="s">
        <v>546</v>
      </c>
      <c r="D3384" s="31" t="s">
        <v>765</v>
      </c>
      <c r="E3384" s="31" t="s">
        <v>12735</v>
      </c>
      <c r="F3384" s="31">
        <v>203</v>
      </c>
      <c r="G3384" s="31">
        <v>93</v>
      </c>
      <c r="H3384" s="31">
        <v>10</v>
      </c>
      <c r="I3384" s="31">
        <v>30</v>
      </c>
      <c r="J3384" s="31" t="s">
        <v>12736</v>
      </c>
      <c r="K3384" s="31" t="s">
        <v>123</v>
      </c>
      <c r="L3384" s="31" t="s">
        <v>56</v>
      </c>
      <c r="M3384" s="31">
        <v>160</v>
      </c>
      <c r="N3384" s="31">
        <v>2017</v>
      </c>
      <c r="O3384" s="31">
        <v>76</v>
      </c>
      <c r="P3384" s="31"/>
      <c r="Q3384" s="31"/>
      <c r="R3384" s="33"/>
      <c r="S3384" s="34" t="str">
        <f>HYPERLINK("http://www.cnpol.ru/covers/17270.jpg","фото на сайте")</f>
        <v>фото на сайте</v>
      </c>
    </row>
    <row r="3385" spans="1:19" ht="50.1" customHeight="1">
      <c r="A3385" s="31"/>
      <c r="B3385" s="32" t="s">
        <v>12737</v>
      </c>
      <c r="C3385" s="31" t="s">
        <v>1301</v>
      </c>
      <c r="D3385" s="31" t="s">
        <v>1122</v>
      </c>
      <c r="E3385" s="31" t="s">
        <v>12738</v>
      </c>
      <c r="F3385" s="31" t="s">
        <v>31</v>
      </c>
      <c r="G3385" s="31">
        <v>284</v>
      </c>
      <c r="H3385" s="31">
        <v>10</v>
      </c>
      <c r="I3385" s="31">
        <v>10</v>
      </c>
      <c r="J3385" s="31" t="s">
        <v>12739</v>
      </c>
      <c r="K3385" s="31" t="s">
        <v>130</v>
      </c>
      <c r="L3385" s="31" t="s">
        <v>56</v>
      </c>
      <c r="M3385" s="31">
        <v>320</v>
      </c>
      <c r="N3385" s="31">
        <v>2018</v>
      </c>
      <c r="O3385" s="31">
        <v>194</v>
      </c>
      <c r="P3385" s="31"/>
      <c r="Q3385" s="31"/>
      <c r="R3385" s="33"/>
      <c r="S3385" s="34" t="str">
        <f>HYPERLINK("http://www.cnpol.ru/covers/18246.jpg","фото на сайте")</f>
        <v>фото на сайте</v>
      </c>
    </row>
    <row r="3386" spans="1:19" ht="50.1" customHeight="1">
      <c r="A3386" s="31"/>
      <c r="B3386" s="32" t="s">
        <v>12740</v>
      </c>
      <c r="C3386" s="31" t="s">
        <v>1301</v>
      </c>
      <c r="D3386" s="31" t="s">
        <v>1122</v>
      </c>
      <c r="E3386" s="31" t="s">
        <v>12741</v>
      </c>
      <c r="F3386" s="31" t="s">
        <v>31</v>
      </c>
      <c r="G3386" s="31">
        <v>284</v>
      </c>
      <c r="H3386" s="31">
        <v>10</v>
      </c>
      <c r="I3386" s="31">
        <v>10</v>
      </c>
      <c r="J3386" s="31" t="s">
        <v>12742</v>
      </c>
      <c r="K3386" s="31" t="s">
        <v>130</v>
      </c>
      <c r="L3386" s="31" t="s">
        <v>56</v>
      </c>
      <c r="M3386" s="31">
        <v>320</v>
      </c>
      <c r="N3386" s="31">
        <v>2016</v>
      </c>
      <c r="O3386" s="31">
        <v>190</v>
      </c>
      <c r="P3386" s="31"/>
      <c r="Q3386" s="31"/>
      <c r="R3386" s="33"/>
      <c r="S3386" s="34" t="str">
        <f>HYPERLINK("http://www.cnpol.ru/covers/16696.jpg","фото на сайте")</f>
        <v>фото на сайте</v>
      </c>
    </row>
    <row r="3387" spans="1:19" ht="50.1" customHeight="1">
      <c r="A3387" s="31"/>
      <c r="B3387" s="32" t="s">
        <v>12743</v>
      </c>
      <c r="C3387" s="31" t="s">
        <v>546</v>
      </c>
      <c r="D3387" s="31" t="s">
        <v>12744</v>
      </c>
      <c r="E3387" s="31" t="s">
        <v>12745</v>
      </c>
      <c r="F3387" s="31">
        <v>93</v>
      </c>
      <c r="G3387" s="31">
        <v>93</v>
      </c>
      <c r="H3387" s="31">
        <v>10</v>
      </c>
      <c r="I3387" s="31">
        <v>30</v>
      </c>
      <c r="J3387" s="31" t="s">
        <v>12746</v>
      </c>
      <c r="K3387" s="31" t="s">
        <v>123</v>
      </c>
      <c r="L3387" s="31" t="s">
        <v>56</v>
      </c>
      <c r="M3387" s="31">
        <v>158</v>
      </c>
      <c r="N3387" s="31">
        <v>2014</v>
      </c>
      <c r="O3387" s="31">
        <v>76</v>
      </c>
      <c r="P3387" s="31"/>
      <c r="Q3387" s="31"/>
      <c r="R3387" s="33"/>
      <c r="S3387" s="34" t="str">
        <f>HYPERLINK("http://www.cnpol.ru/covers/15597.jpg","фото на сайте")</f>
        <v>фото на сайте</v>
      </c>
    </row>
    <row r="3388" spans="1:19" ht="50.1" customHeight="1">
      <c r="A3388" s="31"/>
      <c r="B3388" s="32" t="s">
        <v>12747</v>
      </c>
      <c r="C3388" s="31" t="s">
        <v>5168</v>
      </c>
      <c r="D3388" s="31" t="s">
        <v>5169</v>
      </c>
      <c r="E3388" s="31" t="s">
        <v>12748</v>
      </c>
      <c r="F3388" s="31" t="s">
        <v>31</v>
      </c>
      <c r="G3388" s="31">
        <v>258</v>
      </c>
      <c r="H3388" s="31">
        <v>10</v>
      </c>
      <c r="I3388" s="31">
        <v>15</v>
      </c>
      <c r="J3388" s="31" t="s">
        <v>12749</v>
      </c>
      <c r="K3388" s="31" t="s">
        <v>130</v>
      </c>
      <c r="L3388" s="31" t="s">
        <v>56</v>
      </c>
      <c r="M3388" s="31">
        <v>191</v>
      </c>
      <c r="N3388" s="31">
        <v>2023</v>
      </c>
      <c r="O3388" s="31">
        <v>120</v>
      </c>
      <c r="P3388" s="31"/>
      <c r="Q3388" s="31"/>
      <c r="R3388" s="33" t="s">
        <v>12750</v>
      </c>
      <c r="S3388" s="34" t="str">
        <f>HYPERLINK("http://www.cnpol.ru/covers/20714.jpg","фото на сайте")</f>
        <v>фото на сайте</v>
      </c>
    </row>
    <row r="3389" spans="1:19" ht="50.1" customHeight="1">
      <c r="A3389" s="31"/>
      <c r="B3389" s="32" t="s">
        <v>12751</v>
      </c>
      <c r="C3389" s="31" t="s">
        <v>1781</v>
      </c>
      <c r="D3389" s="31" t="s">
        <v>12752</v>
      </c>
      <c r="E3389" s="31" t="s">
        <v>12753</v>
      </c>
      <c r="F3389" s="31" t="s">
        <v>31</v>
      </c>
      <c r="G3389" s="31">
        <v>461</v>
      </c>
      <c r="H3389" s="31">
        <v>10</v>
      </c>
      <c r="I3389" s="31">
        <v>20</v>
      </c>
      <c r="J3389" s="31" t="s">
        <v>12754</v>
      </c>
      <c r="K3389" s="31" t="s">
        <v>33</v>
      </c>
      <c r="L3389" s="31" t="s">
        <v>34</v>
      </c>
      <c r="M3389" s="31">
        <v>192</v>
      </c>
      <c r="N3389" s="31">
        <v>2021</v>
      </c>
      <c r="O3389" s="31">
        <v>205</v>
      </c>
      <c r="P3389" s="31"/>
      <c r="Q3389" s="31"/>
      <c r="R3389" s="33"/>
      <c r="S3389" s="34" t="str">
        <f>HYPERLINK("http://www.cnpol.ru/covers/19724.jpg","фото на сайте")</f>
        <v>фото на сайте</v>
      </c>
    </row>
    <row r="3390" spans="1:19" ht="50.1" customHeight="1">
      <c r="A3390" s="31"/>
      <c r="B3390" s="32" t="s">
        <v>12755</v>
      </c>
      <c r="C3390" s="31" t="s">
        <v>1242</v>
      </c>
      <c r="D3390" s="31" t="s">
        <v>1560</v>
      </c>
      <c r="E3390" s="31" t="s">
        <v>12756</v>
      </c>
      <c r="F3390" s="31" t="s">
        <v>31</v>
      </c>
      <c r="G3390" s="31">
        <v>44</v>
      </c>
      <c r="H3390" s="31">
        <v>10</v>
      </c>
      <c r="I3390" s="31">
        <v>44</v>
      </c>
      <c r="J3390" s="31" t="s">
        <v>12757</v>
      </c>
      <c r="K3390" s="31" t="s">
        <v>130</v>
      </c>
      <c r="L3390" s="31" t="s">
        <v>56</v>
      </c>
      <c r="M3390" s="31" t="s">
        <v>431</v>
      </c>
      <c r="N3390" s="31" t="s">
        <v>431</v>
      </c>
      <c r="O3390" s="31" t="s">
        <v>220</v>
      </c>
      <c r="P3390" s="31"/>
      <c r="Q3390" s="31"/>
      <c r="R3390" s="33"/>
      <c r="S3390" s="34" t="str">
        <f>HYPERLINK("http://www.cnpol.ru/covers/4186.jpg","фото на сайте")</f>
        <v>фото на сайте</v>
      </c>
    </row>
    <row r="3391" spans="1:19" ht="50.1" customHeight="1">
      <c r="A3391" s="31"/>
      <c r="B3391" s="32" t="s">
        <v>12758</v>
      </c>
      <c r="C3391" s="31" t="s">
        <v>12759</v>
      </c>
      <c r="D3391" s="31" t="s">
        <v>12760</v>
      </c>
      <c r="E3391" s="31" t="s">
        <v>12761</v>
      </c>
      <c r="F3391" s="31" t="s">
        <v>31</v>
      </c>
      <c r="G3391" s="31">
        <v>137</v>
      </c>
      <c r="H3391" s="31">
        <v>10</v>
      </c>
      <c r="I3391" s="31">
        <v>40</v>
      </c>
      <c r="J3391" s="31" t="s">
        <v>12762</v>
      </c>
      <c r="K3391" s="31" t="s">
        <v>55</v>
      </c>
      <c r="L3391" s="31" t="s">
        <v>56</v>
      </c>
      <c r="M3391" s="31">
        <v>141</v>
      </c>
      <c r="N3391" s="31">
        <v>2004</v>
      </c>
      <c r="O3391" s="31">
        <v>60</v>
      </c>
      <c r="P3391" s="31"/>
      <c r="Q3391" s="31"/>
      <c r="R3391" s="33"/>
      <c r="S3391" s="34" t="str">
        <f>HYPERLINK("http://www.cnpol.ru/covers/4778.jpg","фото на сайте")</f>
        <v>фото на сайте</v>
      </c>
    </row>
    <row r="3392" spans="1:19" ht="50.1" customHeight="1">
      <c r="A3392" s="31"/>
      <c r="B3392" s="32" t="s">
        <v>12763</v>
      </c>
      <c r="C3392" s="31" t="s">
        <v>10493</v>
      </c>
      <c r="D3392" s="31" t="s">
        <v>70</v>
      </c>
      <c r="E3392" s="31" t="s">
        <v>12764</v>
      </c>
      <c r="F3392" s="31" t="s">
        <v>31</v>
      </c>
      <c r="G3392" s="31">
        <v>486</v>
      </c>
      <c r="H3392" s="31">
        <v>10</v>
      </c>
      <c r="I3392" s="31">
        <v>14</v>
      </c>
      <c r="J3392" s="31" t="s">
        <v>12765</v>
      </c>
      <c r="K3392" s="31" t="s">
        <v>33</v>
      </c>
      <c r="L3392" s="31" t="s">
        <v>34</v>
      </c>
      <c r="M3392" s="31">
        <v>320</v>
      </c>
      <c r="N3392" s="31">
        <v>2016</v>
      </c>
      <c r="O3392" s="31">
        <v>268</v>
      </c>
      <c r="P3392" s="31"/>
      <c r="Q3392" s="31"/>
      <c r="R3392" s="33"/>
      <c r="S3392" s="34" t="str">
        <f>HYPERLINK("http://www.cnpol.ru/covers/16608.jpg","фото на сайте")</f>
        <v>фото на сайте</v>
      </c>
    </row>
    <row r="3393" spans="1:19" ht="50.1" customHeight="1">
      <c r="A3393" s="31"/>
      <c r="B3393" s="32" t="s">
        <v>12766</v>
      </c>
      <c r="C3393" s="31" t="s">
        <v>8389</v>
      </c>
      <c r="D3393" s="31" t="s">
        <v>8390</v>
      </c>
      <c r="E3393" s="31" t="s">
        <v>12767</v>
      </c>
      <c r="F3393" s="31" t="s">
        <v>31</v>
      </c>
      <c r="G3393" s="31">
        <v>137</v>
      </c>
      <c r="H3393" s="31">
        <v>10</v>
      </c>
      <c r="I3393" s="31">
        <v>24</v>
      </c>
      <c r="J3393" s="31" t="s">
        <v>12768</v>
      </c>
      <c r="K3393" s="31" t="s">
        <v>123</v>
      </c>
      <c r="L3393" s="31" t="s">
        <v>56</v>
      </c>
      <c r="M3393" s="31">
        <v>160</v>
      </c>
      <c r="N3393" s="31">
        <v>2020</v>
      </c>
      <c r="O3393" s="31">
        <v>74</v>
      </c>
      <c r="P3393" s="31"/>
      <c r="Q3393" s="31"/>
      <c r="R3393" s="33"/>
      <c r="S3393" s="34" t="str">
        <f>HYPERLINK("http://www.cnpol.ru/covers/19287.jpg","фото на сайте")</f>
        <v>фото на сайте</v>
      </c>
    </row>
    <row r="3394" spans="1:19" ht="50.1" customHeight="1">
      <c r="A3394" s="31"/>
      <c r="B3394" s="32" t="s">
        <v>12769</v>
      </c>
      <c r="C3394" s="31" t="s">
        <v>390</v>
      </c>
      <c r="D3394" s="31" t="s">
        <v>3798</v>
      </c>
      <c r="E3394" s="31" t="s">
        <v>12770</v>
      </c>
      <c r="F3394" s="31">
        <v>955</v>
      </c>
      <c r="G3394" s="31">
        <v>86</v>
      </c>
      <c r="H3394" s="31">
        <v>10</v>
      </c>
      <c r="I3394" s="31">
        <v>30</v>
      </c>
      <c r="J3394" s="31" t="s">
        <v>12771</v>
      </c>
      <c r="K3394" s="31" t="s">
        <v>123</v>
      </c>
      <c r="L3394" s="31" t="s">
        <v>56</v>
      </c>
      <c r="M3394" s="31">
        <v>160</v>
      </c>
      <c r="N3394" s="31">
        <v>2020</v>
      </c>
      <c r="O3394" s="31">
        <v>76</v>
      </c>
      <c r="P3394" s="31"/>
      <c r="Q3394" s="31"/>
      <c r="R3394" s="33"/>
      <c r="S3394" s="34" t="str">
        <f>HYPERLINK("http://www.cnpol.ru/covers/19010.jpg","фото на сайте")</f>
        <v>фото на сайте</v>
      </c>
    </row>
    <row r="3395" spans="1:19" ht="50.1" customHeight="1">
      <c r="A3395" s="31"/>
      <c r="B3395" s="32" t="s">
        <v>12772</v>
      </c>
      <c r="C3395" s="31" t="s">
        <v>390</v>
      </c>
      <c r="D3395" s="31" t="s">
        <v>4721</v>
      </c>
      <c r="E3395" s="31" t="s">
        <v>12773</v>
      </c>
      <c r="F3395" s="31">
        <v>572</v>
      </c>
      <c r="G3395" s="31">
        <v>86</v>
      </c>
      <c r="H3395" s="31">
        <v>10</v>
      </c>
      <c r="I3395" s="31">
        <v>30</v>
      </c>
      <c r="J3395" s="31" t="s">
        <v>12774</v>
      </c>
      <c r="K3395" s="31" t="s">
        <v>123</v>
      </c>
      <c r="L3395" s="31" t="s">
        <v>56</v>
      </c>
      <c r="M3395" s="31">
        <v>158</v>
      </c>
      <c r="N3395" s="31">
        <v>2016</v>
      </c>
      <c r="O3395" s="31">
        <v>76</v>
      </c>
      <c r="P3395" s="31"/>
      <c r="Q3395" s="31"/>
      <c r="R3395" s="33"/>
      <c r="S3395" s="34" t="str">
        <f>HYPERLINK("http://www.cnpol.ru/covers/16399.jpg","фото на сайте")</f>
        <v>фото на сайте</v>
      </c>
    </row>
    <row r="3396" spans="1:19" ht="50.1" customHeight="1">
      <c r="A3396" s="31"/>
      <c r="B3396" s="32" t="s">
        <v>12775</v>
      </c>
      <c r="C3396" s="31" t="s">
        <v>390</v>
      </c>
      <c r="D3396" s="31" t="s">
        <v>4374</v>
      </c>
      <c r="E3396" s="31" t="s">
        <v>12776</v>
      </c>
      <c r="F3396" s="31">
        <v>378</v>
      </c>
      <c r="G3396" s="31">
        <v>86</v>
      </c>
      <c r="H3396" s="31">
        <v>10</v>
      </c>
      <c r="I3396" s="31">
        <v>30</v>
      </c>
      <c r="J3396" s="31" t="s">
        <v>12777</v>
      </c>
      <c r="K3396" s="31" t="s">
        <v>123</v>
      </c>
      <c r="L3396" s="31" t="s">
        <v>56</v>
      </c>
      <c r="M3396" s="31">
        <v>158</v>
      </c>
      <c r="N3396" s="31">
        <v>2014</v>
      </c>
      <c r="O3396" s="31">
        <v>76</v>
      </c>
      <c r="P3396" s="31"/>
      <c r="Q3396" s="31"/>
      <c r="R3396" s="33"/>
      <c r="S3396" s="34" t="str">
        <f>HYPERLINK("http://www.cnpol.ru/covers/14828.jpg","фото на сайте")</f>
        <v>фото на сайте</v>
      </c>
    </row>
    <row r="3397" spans="1:19" ht="50.1" customHeight="1">
      <c r="A3397" s="31"/>
      <c r="B3397" s="32" t="s">
        <v>12778</v>
      </c>
      <c r="C3397" s="31" t="s">
        <v>390</v>
      </c>
      <c r="D3397" s="31" t="s">
        <v>2285</v>
      </c>
      <c r="E3397" s="31" t="s">
        <v>12779</v>
      </c>
      <c r="F3397" s="31">
        <v>551</v>
      </c>
      <c r="G3397" s="31">
        <v>86</v>
      </c>
      <c r="H3397" s="31">
        <v>10</v>
      </c>
      <c r="I3397" s="31">
        <v>30</v>
      </c>
      <c r="J3397" s="31" t="s">
        <v>12780</v>
      </c>
      <c r="K3397" s="31" t="s">
        <v>123</v>
      </c>
      <c r="L3397" s="31" t="s">
        <v>56</v>
      </c>
      <c r="M3397" s="31">
        <v>158</v>
      </c>
      <c r="N3397" s="31">
        <v>2015</v>
      </c>
      <c r="O3397" s="31">
        <v>76</v>
      </c>
      <c r="P3397" s="31"/>
      <c r="Q3397" s="31"/>
      <c r="R3397" s="33"/>
      <c r="S3397" s="34" t="str">
        <f>HYPERLINK("http://www.cnpol.ru/covers/16225.jpg","фото на сайте")</f>
        <v>фото на сайте</v>
      </c>
    </row>
    <row r="3398" spans="1:19" ht="50.1" customHeight="1">
      <c r="A3398" s="31" t="s">
        <v>43</v>
      </c>
      <c r="B3398" s="32" t="s">
        <v>12781</v>
      </c>
      <c r="C3398" s="31" t="s">
        <v>413</v>
      </c>
      <c r="D3398" s="31" t="s">
        <v>1427</v>
      </c>
      <c r="E3398" s="31" t="s">
        <v>12782</v>
      </c>
      <c r="F3398" s="31">
        <v>192</v>
      </c>
      <c r="G3398" s="31">
        <v>117</v>
      </c>
      <c r="H3398" s="31">
        <v>10</v>
      </c>
      <c r="I3398" s="31">
        <v>30</v>
      </c>
      <c r="J3398" s="31" t="s">
        <v>12783</v>
      </c>
      <c r="K3398" s="31" t="s">
        <v>123</v>
      </c>
      <c r="L3398" s="31" t="s">
        <v>56</v>
      </c>
      <c r="M3398" s="31">
        <v>191</v>
      </c>
      <c r="N3398" s="31">
        <v>2024</v>
      </c>
      <c r="O3398" s="31">
        <v>90</v>
      </c>
      <c r="P3398" s="31"/>
      <c r="Q3398" s="31"/>
      <c r="R3398" s="33" t="s">
        <v>12784</v>
      </c>
      <c r="S3398" s="34" t="str">
        <f>HYPERLINK("http://www.cnpol.ru/covers/21032.jpg","фото на сайте")</f>
        <v>фото на сайте</v>
      </c>
    </row>
    <row r="3399" spans="1:19" ht="50.1" customHeight="1">
      <c r="A3399" s="31"/>
      <c r="B3399" s="32" t="s">
        <v>12785</v>
      </c>
      <c r="C3399" s="31" t="s">
        <v>413</v>
      </c>
      <c r="D3399" s="31" t="s">
        <v>2137</v>
      </c>
      <c r="E3399" s="31" t="s">
        <v>12786</v>
      </c>
      <c r="F3399" s="31">
        <v>157</v>
      </c>
      <c r="G3399" s="31">
        <v>117</v>
      </c>
      <c r="H3399" s="31">
        <v>10</v>
      </c>
      <c r="I3399" s="31">
        <v>36</v>
      </c>
      <c r="J3399" s="31" t="s">
        <v>12787</v>
      </c>
      <c r="K3399" s="31" t="s">
        <v>123</v>
      </c>
      <c r="L3399" s="31" t="s">
        <v>56</v>
      </c>
      <c r="M3399" s="31">
        <v>192</v>
      </c>
      <c r="N3399" s="31">
        <v>2018</v>
      </c>
      <c r="O3399" s="31">
        <v>90</v>
      </c>
      <c r="P3399" s="31"/>
      <c r="Q3399" s="31"/>
      <c r="R3399" s="33"/>
      <c r="S3399" s="34" t="str">
        <f>HYPERLINK("http://www.cnpol.ru/covers/18286.jpg","фото на сайте")</f>
        <v>фото на сайте</v>
      </c>
    </row>
    <row r="3400" spans="1:19" ht="50.1" customHeight="1">
      <c r="A3400" s="31"/>
      <c r="B3400" s="32" t="s">
        <v>12788</v>
      </c>
      <c r="C3400" s="31" t="s">
        <v>390</v>
      </c>
      <c r="D3400" s="31" t="s">
        <v>2638</v>
      </c>
      <c r="E3400" s="31" t="s">
        <v>12789</v>
      </c>
      <c r="F3400" s="31">
        <v>1088</v>
      </c>
      <c r="G3400" s="31">
        <v>86</v>
      </c>
      <c r="H3400" s="31">
        <v>10</v>
      </c>
      <c r="I3400" s="31">
        <v>30</v>
      </c>
      <c r="J3400" s="31" t="s">
        <v>12790</v>
      </c>
      <c r="K3400" s="31" t="s">
        <v>123</v>
      </c>
      <c r="L3400" s="31" t="s">
        <v>56</v>
      </c>
      <c r="M3400" s="31">
        <v>159</v>
      </c>
      <c r="N3400" s="31">
        <v>2022</v>
      </c>
      <c r="O3400" s="31">
        <v>76</v>
      </c>
      <c r="P3400" s="31"/>
      <c r="Q3400" s="31"/>
      <c r="R3400" s="33"/>
      <c r="S3400" s="34" t="str">
        <f>HYPERLINK("http://www.cnpol.ru/covers/20182.jpg","фото на сайте")</f>
        <v>фото на сайте</v>
      </c>
    </row>
    <row r="3401" spans="1:19" ht="50.1" customHeight="1">
      <c r="A3401" s="31"/>
      <c r="B3401" s="32" t="s">
        <v>12791</v>
      </c>
      <c r="C3401" s="31" t="s">
        <v>297</v>
      </c>
      <c r="D3401" s="31" t="s">
        <v>1096</v>
      </c>
      <c r="E3401" s="31" t="s">
        <v>12792</v>
      </c>
      <c r="F3401" s="31" t="s">
        <v>31</v>
      </c>
      <c r="G3401" s="31">
        <v>300</v>
      </c>
      <c r="H3401" s="31">
        <v>10</v>
      </c>
      <c r="I3401" s="31">
        <v>14</v>
      </c>
      <c r="J3401" s="31" t="s">
        <v>12793</v>
      </c>
      <c r="K3401" s="31" t="s">
        <v>300</v>
      </c>
      <c r="L3401" s="31" t="s">
        <v>56</v>
      </c>
      <c r="M3401" s="31">
        <v>415</v>
      </c>
      <c r="N3401" s="31">
        <v>2021</v>
      </c>
      <c r="O3401" s="31">
        <v>202</v>
      </c>
      <c r="P3401" s="31"/>
      <c r="Q3401" s="31"/>
      <c r="R3401" s="33"/>
      <c r="S3401" s="34" t="str">
        <f>HYPERLINK("http://www.cnpol.ru/covers/19916.jpg","фото на сайте")</f>
        <v>фото на сайте</v>
      </c>
    </row>
    <row r="3402" spans="1:19" ht="50.1" customHeight="1">
      <c r="A3402" s="31"/>
      <c r="B3402" s="32" t="s">
        <v>12794</v>
      </c>
      <c r="C3402" s="31" t="s">
        <v>302</v>
      </c>
      <c r="D3402" s="31" t="s">
        <v>1096</v>
      </c>
      <c r="E3402" s="31" t="s">
        <v>12792</v>
      </c>
      <c r="F3402" s="31" t="s">
        <v>31</v>
      </c>
      <c r="G3402" s="31">
        <v>917</v>
      </c>
      <c r="H3402" s="31">
        <v>10</v>
      </c>
      <c r="I3402" s="31">
        <v>14</v>
      </c>
      <c r="J3402" s="31" t="s">
        <v>12795</v>
      </c>
      <c r="K3402" s="31" t="s">
        <v>41</v>
      </c>
      <c r="L3402" s="31" t="s">
        <v>304</v>
      </c>
      <c r="M3402" s="31">
        <v>384</v>
      </c>
      <c r="N3402" s="31">
        <v>2018</v>
      </c>
      <c r="O3402" s="31">
        <v>506</v>
      </c>
      <c r="P3402" s="31"/>
      <c r="Q3402" s="31"/>
      <c r="R3402" s="33"/>
      <c r="S3402" s="34" t="str">
        <f>HYPERLINK("http://www.cnpol.ru/covers/18251.jpg","фото на сайте")</f>
        <v>фото на сайте</v>
      </c>
    </row>
    <row r="3403" spans="1:19" ht="50.1" customHeight="1">
      <c r="A3403" s="31"/>
      <c r="B3403" s="32" t="s">
        <v>12796</v>
      </c>
      <c r="C3403" s="31" t="s">
        <v>9843</v>
      </c>
      <c r="D3403" s="31" t="s">
        <v>12797</v>
      </c>
      <c r="E3403" s="31" t="s">
        <v>12792</v>
      </c>
      <c r="F3403" s="31" t="s">
        <v>31</v>
      </c>
      <c r="G3403" s="31">
        <v>218</v>
      </c>
      <c r="H3403" s="31">
        <v>10</v>
      </c>
      <c r="I3403" s="31">
        <v>24</v>
      </c>
      <c r="J3403" s="31" t="s">
        <v>12798</v>
      </c>
      <c r="K3403" s="31" t="s">
        <v>123</v>
      </c>
      <c r="L3403" s="31" t="s">
        <v>56</v>
      </c>
      <c r="M3403" s="31">
        <v>379</v>
      </c>
      <c r="N3403" s="31">
        <v>2012</v>
      </c>
      <c r="O3403" s="31">
        <v>180</v>
      </c>
      <c r="P3403" s="31"/>
      <c r="Q3403" s="31"/>
      <c r="R3403" s="33"/>
      <c r="S3403" s="34" t="str">
        <f>HYPERLINK("http://www.cnpol.ru/covers/13932.jpg","фото на сайте")</f>
        <v>фото на сайте</v>
      </c>
    </row>
    <row r="3404" spans="1:19" ht="50.1" customHeight="1">
      <c r="A3404" s="31" t="s">
        <v>35</v>
      </c>
      <c r="B3404" s="32" t="s">
        <v>12799</v>
      </c>
      <c r="C3404" s="31" t="s">
        <v>1390</v>
      </c>
      <c r="D3404" s="31" t="s">
        <v>12800</v>
      </c>
      <c r="E3404" s="31" t="s">
        <v>12801</v>
      </c>
      <c r="F3404" s="31" t="s">
        <v>31</v>
      </c>
      <c r="G3404" s="31">
        <v>912</v>
      </c>
      <c r="H3404" s="31">
        <v>10</v>
      </c>
      <c r="I3404" s="31">
        <v>6</v>
      </c>
      <c r="J3404" s="31" t="s">
        <v>12802</v>
      </c>
      <c r="K3404" s="31" t="s">
        <v>33</v>
      </c>
      <c r="L3404" s="31" t="s">
        <v>34</v>
      </c>
      <c r="M3404" s="31">
        <v>303</v>
      </c>
      <c r="N3404" s="31">
        <v>2025</v>
      </c>
      <c r="O3404" s="31" t="s">
        <v>220</v>
      </c>
      <c r="P3404" s="31"/>
      <c r="Q3404" s="31"/>
      <c r="R3404" s="33" t="s">
        <v>12803</v>
      </c>
      <c r="S3404" s="34" t="str">
        <f>HYPERLINK("http://www.cnpol.ru/covers/21815.jpg","фото на сайте")</f>
        <v>фото на сайте</v>
      </c>
    </row>
    <row r="3405" spans="1:19" ht="50.1" customHeight="1">
      <c r="A3405" s="31"/>
      <c r="B3405" s="32" t="s">
        <v>12804</v>
      </c>
      <c r="C3405" s="31" t="s">
        <v>400</v>
      </c>
      <c r="D3405" s="31" t="s">
        <v>12805</v>
      </c>
      <c r="E3405" s="31" t="s">
        <v>12806</v>
      </c>
      <c r="F3405" s="31" t="s">
        <v>31</v>
      </c>
      <c r="G3405" s="31">
        <v>503</v>
      </c>
      <c r="H3405" s="31">
        <v>10</v>
      </c>
      <c r="I3405" s="31">
        <v>14</v>
      </c>
      <c r="J3405" s="31" t="s">
        <v>12807</v>
      </c>
      <c r="K3405" s="31" t="s">
        <v>33</v>
      </c>
      <c r="L3405" s="31" t="s">
        <v>34</v>
      </c>
      <c r="M3405" s="31">
        <v>320</v>
      </c>
      <c r="N3405" s="31">
        <v>2020</v>
      </c>
      <c r="O3405" s="31">
        <v>274</v>
      </c>
      <c r="P3405" s="31"/>
      <c r="Q3405" s="31"/>
      <c r="R3405" s="33"/>
      <c r="S3405" s="34" t="str">
        <f>HYPERLINK("http://www.cnpol.ru/covers/19314.jpg","фото на сайте")</f>
        <v>фото на сайте</v>
      </c>
    </row>
    <row r="3406" spans="1:19" ht="50.1" customHeight="1">
      <c r="A3406" s="31" t="s">
        <v>43</v>
      </c>
      <c r="B3406" s="32" t="s">
        <v>12808</v>
      </c>
      <c r="C3406" s="31" t="s">
        <v>37</v>
      </c>
      <c r="D3406" s="31" t="s">
        <v>12809</v>
      </c>
      <c r="E3406" s="31" t="s">
        <v>12810</v>
      </c>
      <c r="F3406" s="31" t="s">
        <v>31</v>
      </c>
      <c r="G3406" s="35">
        <v>1244</v>
      </c>
      <c r="H3406" s="31">
        <v>10</v>
      </c>
      <c r="I3406" s="31">
        <v>4</v>
      </c>
      <c r="J3406" s="31" t="s">
        <v>12811</v>
      </c>
      <c r="K3406" s="31" t="s">
        <v>33</v>
      </c>
      <c r="L3406" s="31" t="s">
        <v>34</v>
      </c>
      <c r="M3406" s="31">
        <v>510</v>
      </c>
      <c r="N3406" s="31">
        <v>2025</v>
      </c>
      <c r="O3406" s="31">
        <v>401</v>
      </c>
      <c r="P3406" s="31"/>
      <c r="Q3406" s="31"/>
      <c r="R3406" s="33" t="s">
        <v>12812</v>
      </c>
      <c r="S3406" s="34" t="str">
        <f>HYPERLINK("http://www.cnpol.ru/covers/21444.jpg","фото на сайте")</f>
        <v>фото на сайте</v>
      </c>
    </row>
    <row r="3407" spans="1:19" ht="50.1" customHeight="1">
      <c r="A3407" s="31" t="s">
        <v>43</v>
      </c>
      <c r="B3407" s="32" t="s">
        <v>12813</v>
      </c>
      <c r="C3407" s="31" t="s">
        <v>143</v>
      </c>
      <c r="D3407" s="31" t="s">
        <v>10398</v>
      </c>
      <c r="E3407" s="31" t="s">
        <v>12814</v>
      </c>
      <c r="F3407" s="31" t="s">
        <v>31</v>
      </c>
      <c r="G3407" s="31">
        <v>807</v>
      </c>
      <c r="H3407" s="31">
        <v>10</v>
      </c>
      <c r="I3407" s="31">
        <v>16</v>
      </c>
      <c r="J3407" s="31" t="s">
        <v>12815</v>
      </c>
      <c r="K3407" s="31" t="s">
        <v>33</v>
      </c>
      <c r="L3407" s="31" t="s">
        <v>34</v>
      </c>
      <c r="M3407" s="31">
        <v>319</v>
      </c>
      <c r="N3407" s="31">
        <v>2024</v>
      </c>
      <c r="O3407" s="31">
        <v>357</v>
      </c>
      <c r="P3407" s="31"/>
      <c r="Q3407" s="31"/>
      <c r="R3407" s="33" t="s">
        <v>12816</v>
      </c>
      <c r="S3407" s="34" t="str">
        <f>HYPERLINK("http://www.cnpol.ru/covers/21085.jpg","фото на сайте")</f>
        <v>фото на сайте</v>
      </c>
    </row>
    <row r="3408" spans="1:19" ht="50.1" customHeight="1">
      <c r="A3408" s="31"/>
      <c r="B3408" s="32" t="s">
        <v>12817</v>
      </c>
      <c r="C3408" s="31" t="s">
        <v>143</v>
      </c>
      <c r="D3408" s="31" t="s">
        <v>5151</v>
      </c>
      <c r="E3408" s="31" t="s">
        <v>12818</v>
      </c>
      <c r="F3408" s="31" t="s">
        <v>31</v>
      </c>
      <c r="G3408" s="31">
        <v>572</v>
      </c>
      <c r="H3408" s="31">
        <v>10</v>
      </c>
      <c r="I3408" s="31">
        <v>12</v>
      </c>
      <c r="J3408" s="31" t="s">
        <v>12819</v>
      </c>
      <c r="K3408" s="31" t="s">
        <v>33</v>
      </c>
      <c r="L3408" s="31" t="s">
        <v>34</v>
      </c>
      <c r="M3408" s="31">
        <v>319</v>
      </c>
      <c r="N3408" s="31">
        <v>2021</v>
      </c>
      <c r="O3408" s="31">
        <v>364</v>
      </c>
      <c r="P3408" s="31"/>
      <c r="Q3408" s="31"/>
      <c r="R3408" s="33"/>
      <c r="S3408" s="34" t="str">
        <f>HYPERLINK("http://www.cnpol.ru/covers/19841.jpg","фото на сайте")</f>
        <v>фото на сайте</v>
      </c>
    </row>
    <row r="3409" spans="1:19" ht="50.1" customHeight="1">
      <c r="A3409" s="31"/>
      <c r="B3409" s="32" t="s">
        <v>12820</v>
      </c>
      <c r="C3409" s="31" t="s">
        <v>418</v>
      </c>
      <c r="D3409" s="31" t="s">
        <v>10724</v>
      </c>
      <c r="E3409" s="31" t="s">
        <v>12821</v>
      </c>
      <c r="F3409" s="31">
        <v>71</v>
      </c>
      <c r="G3409" s="31">
        <v>153</v>
      </c>
      <c r="H3409" s="31">
        <v>10</v>
      </c>
      <c r="I3409" s="31">
        <v>32</v>
      </c>
      <c r="J3409" s="31" t="s">
        <v>12822</v>
      </c>
      <c r="K3409" s="31" t="s">
        <v>123</v>
      </c>
      <c r="L3409" s="31" t="s">
        <v>56</v>
      </c>
      <c r="M3409" s="31">
        <v>256</v>
      </c>
      <c r="N3409" s="31">
        <v>2017</v>
      </c>
      <c r="O3409" s="31">
        <v>102</v>
      </c>
      <c r="P3409" s="31"/>
      <c r="Q3409" s="31"/>
      <c r="R3409" s="33"/>
      <c r="S3409" s="34" t="str">
        <f>HYPERLINK("http://www.cnpol.ru/covers/17388.jpg","фото на сайте")</f>
        <v>фото на сайте</v>
      </c>
    </row>
    <row r="3410" spans="1:19" ht="50.1" customHeight="1">
      <c r="A3410" s="31"/>
      <c r="B3410" s="32" t="s">
        <v>12823</v>
      </c>
      <c r="C3410" s="31" t="s">
        <v>37</v>
      </c>
      <c r="D3410" s="31" t="s">
        <v>12824</v>
      </c>
      <c r="E3410" s="31" t="s">
        <v>12825</v>
      </c>
      <c r="F3410" s="31" t="s">
        <v>31</v>
      </c>
      <c r="G3410" s="31">
        <v>647</v>
      </c>
      <c r="H3410" s="31">
        <v>10</v>
      </c>
      <c r="I3410" s="31">
        <v>12</v>
      </c>
      <c r="J3410" s="31" t="s">
        <v>12826</v>
      </c>
      <c r="K3410" s="31" t="s">
        <v>33</v>
      </c>
      <c r="L3410" s="31" t="s">
        <v>34</v>
      </c>
      <c r="M3410" s="31">
        <v>349</v>
      </c>
      <c r="N3410" s="31">
        <v>2015</v>
      </c>
      <c r="O3410" s="31">
        <v>362</v>
      </c>
      <c r="P3410" s="31"/>
      <c r="Q3410" s="31"/>
      <c r="R3410" s="33"/>
      <c r="S3410" s="34" t="str">
        <f>HYPERLINK("http://www.cnpol.ru/covers/15795.jpg","фото на сайте")</f>
        <v>фото на сайте</v>
      </c>
    </row>
    <row r="3411" spans="1:19" ht="50.1" customHeight="1">
      <c r="A3411" s="31"/>
      <c r="B3411" s="32" t="s">
        <v>12827</v>
      </c>
      <c r="C3411" s="31" t="s">
        <v>546</v>
      </c>
      <c r="D3411" s="31" t="s">
        <v>1846</v>
      </c>
      <c r="E3411" s="31" t="s">
        <v>12828</v>
      </c>
      <c r="F3411" s="31">
        <v>299</v>
      </c>
      <c r="G3411" s="31">
        <v>93</v>
      </c>
      <c r="H3411" s="31">
        <v>10</v>
      </c>
      <c r="I3411" s="31">
        <v>30</v>
      </c>
      <c r="J3411" s="31" t="s">
        <v>12829</v>
      </c>
      <c r="K3411" s="31" t="s">
        <v>123</v>
      </c>
      <c r="L3411" s="31" t="s">
        <v>56</v>
      </c>
      <c r="M3411" s="31">
        <v>160</v>
      </c>
      <c r="N3411" s="31">
        <v>2019</v>
      </c>
      <c r="O3411" s="31">
        <v>76</v>
      </c>
      <c r="P3411" s="31"/>
      <c r="Q3411" s="31"/>
      <c r="R3411" s="33"/>
      <c r="S3411" s="34" t="str">
        <f>HYPERLINK("http://www.cnpol.ru/covers/18551.jpg","фото на сайте")</f>
        <v>фото на сайте</v>
      </c>
    </row>
    <row r="3412" spans="1:19" ht="50.1" customHeight="1">
      <c r="A3412" s="31"/>
      <c r="B3412" s="32" t="s">
        <v>12830</v>
      </c>
      <c r="C3412" s="31" t="s">
        <v>390</v>
      </c>
      <c r="D3412" s="31" t="s">
        <v>1850</v>
      </c>
      <c r="E3412" s="31" t="s">
        <v>12831</v>
      </c>
      <c r="F3412" s="31">
        <v>327</v>
      </c>
      <c r="G3412" s="31">
        <v>86</v>
      </c>
      <c r="H3412" s="31">
        <v>10</v>
      </c>
      <c r="I3412" s="31">
        <v>30</v>
      </c>
      <c r="J3412" s="31" t="s">
        <v>12832</v>
      </c>
      <c r="K3412" s="31" t="s">
        <v>123</v>
      </c>
      <c r="L3412" s="31" t="s">
        <v>56</v>
      </c>
      <c r="M3412" s="31">
        <v>158</v>
      </c>
      <c r="N3412" s="31">
        <v>2013</v>
      </c>
      <c r="O3412" s="31">
        <v>76</v>
      </c>
      <c r="P3412" s="31"/>
      <c r="Q3412" s="31"/>
      <c r="R3412" s="33"/>
      <c r="S3412" s="34" t="str">
        <f>HYPERLINK("http://www.cnpol.ru/covers/14376.jpg","фото на сайте")</f>
        <v>фото на сайте</v>
      </c>
    </row>
    <row r="3413" spans="1:19" ht="50.1" customHeight="1">
      <c r="A3413" s="31"/>
      <c r="B3413" s="32" t="s">
        <v>12833</v>
      </c>
      <c r="C3413" s="31" t="s">
        <v>418</v>
      </c>
      <c r="D3413" s="31" t="s">
        <v>12834</v>
      </c>
      <c r="E3413" s="31" t="s">
        <v>12835</v>
      </c>
      <c r="F3413" s="31">
        <v>122</v>
      </c>
      <c r="G3413" s="31">
        <v>153</v>
      </c>
      <c r="H3413" s="31">
        <v>10</v>
      </c>
      <c r="I3413" s="31">
        <v>16</v>
      </c>
      <c r="J3413" s="31" t="s">
        <v>12836</v>
      </c>
      <c r="K3413" s="31" t="s">
        <v>123</v>
      </c>
      <c r="L3413" s="31" t="s">
        <v>56</v>
      </c>
      <c r="M3413" s="31">
        <v>255</v>
      </c>
      <c r="N3413" s="31">
        <v>2022</v>
      </c>
      <c r="O3413" s="31">
        <v>270</v>
      </c>
      <c r="P3413" s="31"/>
      <c r="Q3413" s="31"/>
      <c r="R3413" s="33" t="s">
        <v>12837</v>
      </c>
      <c r="S3413" s="34" t="str">
        <f>HYPERLINK("http://www.cnpol.ru/covers/20419.jpg","фото на сайте")</f>
        <v>фото на сайте</v>
      </c>
    </row>
    <row r="3414" spans="1:19" ht="50.1" customHeight="1">
      <c r="A3414" s="31"/>
      <c r="B3414" s="32" t="s">
        <v>12838</v>
      </c>
      <c r="C3414" s="31" t="s">
        <v>385</v>
      </c>
      <c r="D3414" s="31" t="s">
        <v>386</v>
      </c>
      <c r="E3414" s="31" t="s">
        <v>12839</v>
      </c>
      <c r="F3414" s="31" t="s">
        <v>31</v>
      </c>
      <c r="G3414" s="31">
        <v>162</v>
      </c>
      <c r="H3414" s="31">
        <v>10</v>
      </c>
      <c r="I3414" s="31">
        <v>32</v>
      </c>
      <c r="J3414" s="31" t="s">
        <v>12840</v>
      </c>
      <c r="K3414" s="31" t="s">
        <v>55</v>
      </c>
      <c r="L3414" s="31" t="s">
        <v>56</v>
      </c>
      <c r="M3414" s="31">
        <v>222</v>
      </c>
      <c r="N3414" s="31">
        <v>2014</v>
      </c>
      <c r="O3414" s="31">
        <v>92</v>
      </c>
      <c r="P3414" s="31"/>
      <c r="Q3414" s="31"/>
      <c r="R3414" s="33"/>
      <c r="S3414" s="34" t="str">
        <f>HYPERLINK("http://www.cnpol.ru/covers/15713.jpg","фото на сайте")</f>
        <v>фото на сайте</v>
      </c>
    </row>
    <row r="3415" spans="1:19" ht="50.1" customHeight="1">
      <c r="A3415" s="31"/>
      <c r="B3415" s="32" t="s">
        <v>12841</v>
      </c>
      <c r="C3415" s="31" t="s">
        <v>385</v>
      </c>
      <c r="D3415" s="31" t="s">
        <v>386</v>
      </c>
      <c r="E3415" s="31" t="s">
        <v>12839</v>
      </c>
      <c r="F3415" s="31" t="s">
        <v>31</v>
      </c>
      <c r="G3415" s="31">
        <v>162</v>
      </c>
      <c r="H3415" s="31">
        <v>10</v>
      </c>
      <c r="I3415" s="31">
        <v>32</v>
      </c>
      <c r="J3415" s="31" t="s">
        <v>12842</v>
      </c>
      <c r="K3415" s="31" t="s">
        <v>55</v>
      </c>
      <c r="L3415" s="31" t="s">
        <v>56</v>
      </c>
      <c r="M3415" s="31">
        <v>224</v>
      </c>
      <c r="N3415" s="31">
        <v>2016</v>
      </c>
      <c r="O3415" s="31">
        <v>92</v>
      </c>
      <c r="P3415" s="31"/>
      <c r="Q3415" s="31"/>
      <c r="R3415" s="33"/>
      <c r="S3415" s="34" t="str">
        <f>HYPERLINK("http://www.cnpol.ru/covers/0181.jpg","фото на сайте")</f>
        <v>фото на сайте</v>
      </c>
    </row>
    <row r="3416" spans="1:19" ht="50.1" customHeight="1">
      <c r="A3416" s="31" t="s">
        <v>35</v>
      </c>
      <c r="B3416" s="32" t="s">
        <v>12843</v>
      </c>
      <c r="C3416" s="31" t="s">
        <v>643</v>
      </c>
      <c r="D3416" s="31" t="s">
        <v>12844</v>
      </c>
      <c r="E3416" s="31" t="s">
        <v>12845</v>
      </c>
      <c r="F3416" s="31" t="s">
        <v>31</v>
      </c>
      <c r="G3416" s="35">
        <v>1601</v>
      </c>
      <c r="H3416" s="31">
        <v>10</v>
      </c>
      <c r="I3416" s="31">
        <v>4</v>
      </c>
      <c r="J3416" s="31" t="s">
        <v>12846</v>
      </c>
      <c r="K3416" s="31" t="s">
        <v>41</v>
      </c>
      <c r="L3416" s="31" t="s">
        <v>34</v>
      </c>
      <c r="M3416" s="31">
        <v>623</v>
      </c>
      <c r="N3416" s="31">
        <v>2025</v>
      </c>
      <c r="O3416" s="31">
        <v>740</v>
      </c>
      <c r="P3416" s="31"/>
      <c r="Q3416" s="31"/>
      <c r="R3416" s="33" t="s">
        <v>12847</v>
      </c>
      <c r="S3416" s="34" t="str">
        <f>HYPERLINK("http://www.cnpol.ru/covers/21694.jpg","фото на сайте")</f>
        <v>фото на сайте</v>
      </c>
    </row>
    <row r="3417" spans="1:19" ht="50.1" customHeight="1">
      <c r="A3417" s="31"/>
      <c r="B3417" s="32" t="s">
        <v>12848</v>
      </c>
      <c r="C3417" s="31" t="s">
        <v>1281</v>
      </c>
      <c r="D3417" s="31" t="s">
        <v>1282</v>
      </c>
      <c r="E3417" s="31" t="s">
        <v>12849</v>
      </c>
      <c r="F3417" s="31" t="s">
        <v>31</v>
      </c>
      <c r="G3417" s="31">
        <v>386</v>
      </c>
      <c r="H3417" s="31">
        <v>10</v>
      </c>
      <c r="I3417" s="31">
        <v>16</v>
      </c>
      <c r="J3417" s="31" t="s">
        <v>12850</v>
      </c>
      <c r="K3417" s="31" t="s">
        <v>33</v>
      </c>
      <c r="L3417" s="31" t="s">
        <v>210</v>
      </c>
      <c r="M3417" s="31">
        <v>256</v>
      </c>
      <c r="N3417" s="31">
        <v>2018</v>
      </c>
      <c r="O3417" s="31">
        <v>154</v>
      </c>
      <c r="P3417" s="31"/>
      <c r="Q3417" s="31"/>
      <c r="R3417" s="33"/>
      <c r="S3417" s="34" t="str">
        <f>HYPERLINK("http://www.cnpol.ru/covers/18088.jpg","фото на сайте")</f>
        <v>фото на сайте</v>
      </c>
    </row>
    <row r="3418" spans="1:19" ht="50.1" customHeight="1">
      <c r="A3418" s="31"/>
      <c r="B3418" s="32" t="s">
        <v>12851</v>
      </c>
      <c r="C3418" s="31" t="s">
        <v>390</v>
      </c>
      <c r="D3418" s="31" t="s">
        <v>1801</v>
      </c>
      <c r="E3418" s="31" t="s">
        <v>12852</v>
      </c>
      <c r="F3418" s="31">
        <v>1002</v>
      </c>
      <c r="G3418" s="31">
        <v>86</v>
      </c>
      <c r="H3418" s="31">
        <v>10</v>
      </c>
      <c r="I3418" s="31">
        <v>30</v>
      </c>
      <c r="J3418" s="31" t="s">
        <v>12853</v>
      </c>
      <c r="K3418" s="31" t="s">
        <v>123</v>
      </c>
      <c r="L3418" s="31" t="s">
        <v>56</v>
      </c>
      <c r="M3418" s="31">
        <v>160</v>
      </c>
      <c r="N3418" s="31">
        <v>2020</v>
      </c>
      <c r="O3418" s="31">
        <v>76</v>
      </c>
      <c r="P3418" s="31"/>
      <c r="Q3418" s="31"/>
      <c r="R3418" s="33"/>
      <c r="S3418" s="34" t="str">
        <f>HYPERLINK("http://www.cnpol.ru/covers/19381.jpg","фото на сайте")</f>
        <v>фото на сайте</v>
      </c>
    </row>
    <row r="3419" spans="1:19" ht="50.1" customHeight="1">
      <c r="A3419" s="31"/>
      <c r="B3419" s="32" t="s">
        <v>12854</v>
      </c>
      <c r="C3419" s="31" t="s">
        <v>546</v>
      </c>
      <c r="D3419" s="31" t="s">
        <v>653</v>
      </c>
      <c r="E3419" s="31" t="s">
        <v>12855</v>
      </c>
      <c r="F3419" s="31">
        <v>240</v>
      </c>
      <c r="G3419" s="31">
        <v>93</v>
      </c>
      <c r="H3419" s="31">
        <v>10</v>
      </c>
      <c r="I3419" s="31">
        <v>30</v>
      </c>
      <c r="J3419" s="31" t="s">
        <v>12856</v>
      </c>
      <c r="K3419" s="31" t="s">
        <v>123</v>
      </c>
      <c r="L3419" s="31" t="s">
        <v>56</v>
      </c>
      <c r="M3419" s="31">
        <v>160</v>
      </c>
      <c r="N3419" s="31">
        <v>2017</v>
      </c>
      <c r="O3419" s="31">
        <v>76</v>
      </c>
      <c r="P3419" s="31"/>
      <c r="Q3419" s="31"/>
      <c r="R3419" s="33"/>
      <c r="S3419" s="34" t="str">
        <f>HYPERLINK("http://www.cnpol.ru/covers/17733.jpg","фото на сайте")</f>
        <v>фото на сайте</v>
      </c>
    </row>
    <row r="3420" spans="1:19" ht="50.1" customHeight="1">
      <c r="A3420" s="31"/>
      <c r="B3420" s="32" t="s">
        <v>12857</v>
      </c>
      <c r="C3420" s="31" t="s">
        <v>6922</v>
      </c>
      <c r="D3420" s="31" t="s">
        <v>12858</v>
      </c>
      <c r="E3420" s="31" t="s">
        <v>12859</v>
      </c>
      <c r="F3420" s="31" t="s">
        <v>31</v>
      </c>
      <c r="G3420" s="31">
        <v>389</v>
      </c>
      <c r="H3420" s="31">
        <v>10</v>
      </c>
      <c r="I3420" s="31">
        <v>18</v>
      </c>
      <c r="J3420" s="31" t="s">
        <v>12860</v>
      </c>
      <c r="K3420" s="31" t="s">
        <v>55</v>
      </c>
      <c r="L3420" s="31" t="s">
        <v>34</v>
      </c>
      <c r="M3420" s="31">
        <v>288</v>
      </c>
      <c r="N3420" s="31">
        <v>2019</v>
      </c>
      <c r="O3420" s="31">
        <v>220</v>
      </c>
      <c r="P3420" s="31"/>
      <c r="Q3420" s="31"/>
      <c r="R3420" s="33"/>
      <c r="S3420" s="34" t="str">
        <f>HYPERLINK("http://www.cnpol.ru/covers/18983.jpg","фото на сайте")</f>
        <v>фото на сайте</v>
      </c>
    </row>
    <row r="3421" spans="1:19" ht="50.1" customHeight="1">
      <c r="A3421" s="31"/>
      <c r="B3421" s="32" t="s">
        <v>12861</v>
      </c>
      <c r="C3421" s="31" t="s">
        <v>479</v>
      </c>
      <c r="D3421" s="31" t="s">
        <v>9533</v>
      </c>
      <c r="E3421" s="31" t="s">
        <v>12862</v>
      </c>
      <c r="F3421" s="31" t="s">
        <v>31</v>
      </c>
      <c r="G3421" s="31">
        <v>503</v>
      </c>
      <c r="H3421" s="31">
        <v>10</v>
      </c>
      <c r="I3421" s="31">
        <v>16</v>
      </c>
      <c r="J3421" s="31" t="s">
        <v>12863</v>
      </c>
      <c r="K3421" s="31" t="s">
        <v>194</v>
      </c>
      <c r="L3421" s="31" t="s">
        <v>34</v>
      </c>
      <c r="M3421" s="31">
        <v>144</v>
      </c>
      <c r="N3421" s="31">
        <v>2018</v>
      </c>
      <c r="O3421" s="31">
        <v>198</v>
      </c>
      <c r="P3421" s="31"/>
      <c r="Q3421" s="31"/>
      <c r="R3421" s="33"/>
      <c r="S3421" s="34" t="str">
        <f>HYPERLINK("http://www.cnpol.ru/covers/18070.jpg","фото на сайте")</f>
        <v>фото на сайте</v>
      </c>
    </row>
    <row r="3422" spans="1:19" ht="50.1" customHeight="1">
      <c r="A3422" s="31"/>
      <c r="B3422" s="32" t="s">
        <v>12864</v>
      </c>
      <c r="C3422" s="31" t="s">
        <v>390</v>
      </c>
      <c r="D3422" s="31" t="s">
        <v>2285</v>
      </c>
      <c r="E3422" s="31" t="s">
        <v>12865</v>
      </c>
      <c r="F3422" s="31">
        <v>347</v>
      </c>
      <c r="G3422" s="31">
        <v>86</v>
      </c>
      <c r="H3422" s="31">
        <v>10</v>
      </c>
      <c r="I3422" s="31">
        <v>30</v>
      </c>
      <c r="J3422" s="31" t="s">
        <v>12866</v>
      </c>
      <c r="K3422" s="31" t="s">
        <v>123</v>
      </c>
      <c r="L3422" s="31" t="s">
        <v>56</v>
      </c>
      <c r="M3422" s="31">
        <v>158</v>
      </c>
      <c r="N3422" s="31">
        <v>2013</v>
      </c>
      <c r="O3422" s="31">
        <v>76</v>
      </c>
      <c r="P3422" s="31"/>
      <c r="Q3422" s="31"/>
      <c r="R3422" s="33"/>
      <c r="S3422" s="34" t="str">
        <f>HYPERLINK("http://www.cnpol.ru/covers/14549.jpg","фото на сайте")</f>
        <v>фото на сайте</v>
      </c>
    </row>
    <row r="3423" spans="1:19" ht="50.1" customHeight="1">
      <c r="A3423" s="31"/>
      <c r="B3423" s="32" t="s">
        <v>12867</v>
      </c>
      <c r="C3423" s="31" t="s">
        <v>390</v>
      </c>
      <c r="D3423" s="31" t="s">
        <v>391</v>
      </c>
      <c r="E3423" s="31" t="s">
        <v>12868</v>
      </c>
      <c r="F3423" s="31">
        <v>484</v>
      </c>
      <c r="G3423" s="31">
        <v>86</v>
      </c>
      <c r="H3423" s="31">
        <v>10</v>
      </c>
      <c r="I3423" s="31">
        <v>30</v>
      </c>
      <c r="J3423" s="31" t="s">
        <v>12869</v>
      </c>
      <c r="K3423" s="31" t="s">
        <v>123</v>
      </c>
      <c r="L3423" s="31" t="s">
        <v>56</v>
      </c>
      <c r="M3423" s="31">
        <v>158</v>
      </c>
      <c r="N3423" s="31">
        <v>2015</v>
      </c>
      <c r="O3423" s="31">
        <v>76</v>
      </c>
      <c r="P3423" s="31"/>
      <c r="Q3423" s="31"/>
      <c r="R3423" s="33"/>
      <c r="S3423" s="34" t="str">
        <f>HYPERLINK("http://www.cnpol.ru/covers/15759.jpg","фото на сайте")</f>
        <v>фото на сайте</v>
      </c>
    </row>
    <row r="3424" spans="1:19" ht="50.1" customHeight="1">
      <c r="A3424" s="31"/>
      <c r="B3424" s="32" t="s">
        <v>12870</v>
      </c>
      <c r="C3424" s="31" t="s">
        <v>7952</v>
      </c>
      <c r="D3424" s="31" t="s">
        <v>236</v>
      </c>
      <c r="E3424" s="31" t="s">
        <v>12871</v>
      </c>
      <c r="F3424" s="31" t="s">
        <v>31</v>
      </c>
      <c r="G3424" s="31">
        <v>209</v>
      </c>
      <c r="H3424" s="31">
        <v>10</v>
      </c>
      <c r="I3424" s="31">
        <v>30</v>
      </c>
      <c r="J3424" s="31" t="s">
        <v>12872</v>
      </c>
      <c r="K3424" s="31" t="s">
        <v>130</v>
      </c>
      <c r="L3424" s="31" t="s">
        <v>56</v>
      </c>
      <c r="M3424" s="31">
        <v>160</v>
      </c>
      <c r="N3424" s="31">
        <v>2021</v>
      </c>
      <c r="O3424" s="31">
        <v>98</v>
      </c>
      <c r="P3424" s="31"/>
      <c r="Q3424" s="31"/>
      <c r="R3424" s="33"/>
      <c r="S3424" s="34" t="str">
        <f>HYPERLINK("http://www.cnpol.ru/covers/19550.jpg","фото на сайте")</f>
        <v>фото на сайте</v>
      </c>
    </row>
    <row r="3425" spans="1:19" ht="50.1" customHeight="1">
      <c r="A3425" s="31"/>
      <c r="B3425" s="32" t="s">
        <v>12873</v>
      </c>
      <c r="C3425" s="31" t="s">
        <v>5756</v>
      </c>
      <c r="D3425" s="31" t="s">
        <v>5757</v>
      </c>
      <c r="E3425" s="31" t="s">
        <v>12874</v>
      </c>
      <c r="F3425" s="31" t="s">
        <v>31</v>
      </c>
      <c r="G3425" s="31">
        <v>275</v>
      </c>
      <c r="H3425" s="31">
        <v>10</v>
      </c>
      <c r="I3425" s="31">
        <v>12</v>
      </c>
      <c r="J3425" s="31" t="s">
        <v>12875</v>
      </c>
      <c r="K3425" s="31" t="s">
        <v>123</v>
      </c>
      <c r="L3425" s="31" t="s">
        <v>56</v>
      </c>
      <c r="M3425" s="31">
        <v>512</v>
      </c>
      <c r="N3425" s="31">
        <v>2017</v>
      </c>
      <c r="O3425" s="31">
        <v>234</v>
      </c>
      <c r="P3425" s="31"/>
      <c r="Q3425" s="31"/>
      <c r="R3425" s="33"/>
      <c r="S3425" s="34" t="str">
        <f>HYPERLINK("http://www.cnpol.ru/covers/17695.jpg","фото на сайте")</f>
        <v>фото на сайте</v>
      </c>
    </row>
    <row r="3426" spans="1:19" ht="50.1" customHeight="1">
      <c r="A3426" s="31"/>
      <c r="B3426" s="32" t="s">
        <v>12876</v>
      </c>
      <c r="C3426" s="31" t="s">
        <v>546</v>
      </c>
      <c r="D3426" s="31" t="s">
        <v>6150</v>
      </c>
      <c r="E3426" s="31" t="s">
        <v>12877</v>
      </c>
      <c r="F3426" s="31">
        <v>185</v>
      </c>
      <c r="G3426" s="31">
        <v>93</v>
      </c>
      <c r="H3426" s="31">
        <v>10</v>
      </c>
      <c r="I3426" s="31">
        <v>30</v>
      </c>
      <c r="J3426" s="31" t="s">
        <v>12878</v>
      </c>
      <c r="K3426" s="31" t="s">
        <v>123</v>
      </c>
      <c r="L3426" s="31" t="s">
        <v>56</v>
      </c>
      <c r="M3426" s="31">
        <v>160</v>
      </c>
      <c r="N3426" s="31">
        <v>2016</v>
      </c>
      <c r="O3426" s="31">
        <v>72</v>
      </c>
      <c r="P3426" s="31"/>
      <c r="Q3426" s="31"/>
      <c r="R3426" s="33"/>
      <c r="S3426" s="34" t="str">
        <f>HYPERLINK("http://www.cnpol.ru/covers/16993.jpg","фото на сайте")</f>
        <v>фото на сайте</v>
      </c>
    </row>
    <row r="3427" spans="1:19" ht="50.1" customHeight="1">
      <c r="A3427" s="31"/>
      <c r="B3427" s="32" t="s">
        <v>12879</v>
      </c>
      <c r="C3427" s="31" t="s">
        <v>390</v>
      </c>
      <c r="D3427" s="31" t="s">
        <v>2294</v>
      </c>
      <c r="E3427" s="31" t="s">
        <v>12880</v>
      </c>
      <c r="F3427" s="31">
        <v>812</v>
      </c>
      <c r="G3427" s="31">
        <v>86</v>
      </c>
      <c r="H3427" s="31">
        <v>10</v>
      </c>
      <c r="I3427" s="31">
        <v>30</v>
      </c>
      <c r="J3427" s="31" t="s">
        <v>12881</v>
      </c>
      <c r="K3427" s="31" t="s">
        <v>123</v>
      </c>
      <c r="L3427" s="31" t="s">
        <v>56</v>
      </c>
      <c r="M3427" s="31">
        <v>160</v>
      </c>
      <c r="N3427" s="31">
        <v>2018</v>
      </c>
      <c r="O3427" s="31">
        <v>76</v>
      </c>
      <c r="P3427" s="31"/>
      <c r="Q3427" s="31"/>
      <c r="R3427" s="33"/>
      <c r="S3427" s="34" t="str">
        <f>HYPERLINK("http://www.cnpol.ru/covers/18163.jpg","фото на сайте")</f>
        <v>фото на сайте</v>
      </c>
    </row>
    <row r="3428" spans="1:19" ht="50.1" customHeight="1">
      <c r="A3428" s="31"/>
      <c r="B3428" s="32" t="s">
        <v>12882</v>
      </c>
      <c r="C3428" s="31" t="s">
        <v>418</v>
      </c>
      <c r="D3428" s="31" t="s">
        <v>12883</v>
      </c>
      <c r="E3428" s="31" t="s">
        <v>12884</v>
      </c>
      <c r="F3428" s="31">
        <v>120</v>
      </c>
      <c r="G3428" s="31">
        <v>153</v>
      </c>
      <c r="H3428" s="31">
        <v>10</v>
      </c>
      <c r="I3428" s="31">
        <v>16</v>
      </c>
      <c r="J3428" s="31" t="s">
        <v>12885</v>
      </c>
      <c r="K3428" s="31" t="s">
        <v>123</v>
      </c>
      <c r="L3428" s="31" t="s">
        <v>56</v>
      </c>
      <c r="M3428" s="31">
        <v>255</v>
      </c>
      <c r="N3428" s="31">
        <v>2022</v>
      </c>
      <c r="O3428" s="31">
        <v>120</v>
      </c>
      <c r="P3428" s="31"/>
      <c r="Q3428" s="31"/>
      <c r="R3428" s="33"/>
      <c r="S3428" s="34" t="str">
        <f>HYPERLINK("http://www.cnpol.ru/covers/20298.jpg","фото на сайте")</f>
        <v>фото на сайте</v>
      </c>
    </row>
    <row r="3429" spans="1:19" ht="50.1" customHeight="1">
      <c r="A3429" s="31"/>
      <c r="B3429" s="32" t="s">
        <v>12886</v>
      </c>
      <c r="C3429" s="31" t="s">
        <v>2110</v>
      </c>
      <c r="D3429" s="31" t="s">
        <v>2111</v>
      </c>
      <c r="E3429" s="31" t="s">
        <v>12887</v>
      </c>
      <c r="F3429" s="31" t="s">
        <v>31</v>
      </c>
      <c r="G3429" s="31">
        <v>162</v>
      </c>
      <c r="H3429" s="31">
        <v>10</v>
      </c>
      <c r="I3429" s="31">
        <v>30</v>
      </c>
      <c r="J3429" s="31" t="s">
        <v>12888</v>
      </c>
      <c r="K3429" s="31" t="s">
        <v>123</v>
      </c>
      <c r="L3429" s="31" t="s">
        <v>56</v>
      </c>
      <c r="M3429" s="31">
        <v>283</v>
      </c>
      <c r="N3429" s="31">
        <v>2014</v>
      </c>
      <c r="O3429" s="31">
        <v>134</v>
      </c>
      <c r="P3429" s="31"/>
      <c r="Q3429" s="31"/>
      <c r="R3429" s="33"/>
      <c r="S3429" s="34" t="str">
        <f>HYPERLINK("http://www.cnpol.ru/covers/15446.jpg","фото на сайте")</f>
        <v>фото на сайте</v>
      </c>
    </row>
    <row r="3430" spans="1:19" ht="50.1" customHeight="1">
      <c r="A3430" s="31"/>
      <c r="B3430" s="32" t="s">
        <v>12889</v>
      </c>
      <c r="C3430" s="31" t="s">
        <v>1685</v>
      </c>
      <c r="D3430" s="31" t="s">
        <v>1686</v>
      </c>
      <c r="E3430" s="31" t="s">
        <v>12890</v>
      </c>
      <c r="F3430" s="31" t="s">
        <v>31</v>
      </c>
      <c r="G3430" s="31">
        <v>209</v>
      </c>
      <c r="H3430" s="31">
        <v>10</v>
      </c>
      <c r="I3430" s="31">
        <v>20</v>
      </c>
      <c r="J3430" s="31" t="s">
        <v>12891</v>
      </c>
      <c r="K3430" s="31" t="s">
        <v>123</v>
      </c>
      <c r="L3430" s="31" t="s">
        <v>56</v>
      </c>
      <c r="M3430" s="31">
        <v>351</v>
      </c>
      <c r="N3430" s="31">
        <v>2013</v>
      </c>
      <c r="O3430" s="31">
        <v>164</v>
      </c>
      <c r="P3430" s="31"/>
      <c r="Q3430" s="31"/>
      <c r="R3430" s="33"/>
      <c r="S3430" s="34" t="str">
        <f>HYPERLINK("http://www.cnpol.ru/covers/14638.jpg","фото на сайте")</f>
        <v>фото на сайте</v>
      </c>
    </row>
    <row r="3431" spans="1:19" ht="50.1" customHeight="1">
      <c r="A3431" s="31"/>
      <c r="B3431" s="32" t="s">
        <v>12892</v>
      </c>
      <c r="C3431" s="31" t="s">
        <v>143</v>
      </c>
      <c r="D3431" s="31" t="s">
        <v>12893</v>
      </c>
      <c r="E3431" s="31" t="s">
        <v>12894</v>
      </c>
      <c r="F3431" s="31" t="s">
        <v>31</v>
      </c>
      <c r="G3431" s="31">
        <v>917</v>
      </c>
      <c r="H3431" s="31">
        <v>10</v>
      </c>
      <c r="I3431" s="31">
        <v>8</v>
      </c>
      <c r="J3431" s="31" t="s">
        <v>12895</v>
      </c>
      <c r="K3431" s="31" t="s">
        <v>33</v>
      </c>
      <c r="L3431" s="31" t="s">
        <v>34</v>
      </c>
      <c r="M3431" s="31">
        <v>319</v>
      </c>
      <c r="N3431" s="31">
        <v>2023</v>
      </c>
      <c r="O3431" s="31">
        <v>315</v>
      </c>
      <c r="P3431" s="31"/>
      <c r="Q3431" s="31"/>
      <c r="R3431" s="33" t="s">
        <v>12896</v>
      </c>
      <c r="S3431" s="34" t="str">
        <f>HYPERLINK("http://www.cnpol.ru/covers/20607.jpg","фото на сайте")</f>
        <v>фото на сайте</v>
      </c>
    </row>
    <row r="3432" spans="1:19" ht="50.1" customHeight="1">
      <c r="A3432" s="31"/>
      <c r="B3432" s="32" t="s">
        <v>12897</v>
      </c>
      <c r="C3432" s="31" t="s">
        <v>380</v>
      </c>
      <c r="D3432" s="31" t="s">
        <v>12898</v>
      </c>
      <c r="E3432" s="31" t="s">
        <v>12899</v>
      </c>
      <c r="F3432" s="31" t="s">
        <v>31</v>
      </c>
      <c r="G3432" s="31">
        <v>988</v>
      </c>
      <c r="H3432" s="31">
        <v>10</v>
      </c>
      <c r="I3432" s="31">
        <v>8</v>
      </c>
      <c r="J3432" s="31" t="s">
        <v>12900</v>
      </c>
      <c r="K3432" s="31" t="s">
        <v>41</v>
      </c>
      <c r="L3432" s="31" t="s">
        <v>304</v>
      </c>
      <c r="M3432" s="31">
        <v>464</v>
      </c>
      <c r="N3432" s="31">
        <v>2016</v>
      </c>
      <c r="O3432" s="31">
        <v>538</v>
      </c>
      <c r="P3432" s="31"/>
      <c r="Q3432" s="31"/>
      <c r="R3432" s="33"/>
      <c r="S3432" s="34" t="str">
        <f>HYPERLINK("http://www.cnpol.ru/covers/17185.jpg","фото на сайте")</f>
        <v>фото на сайте</v>
      </c>
    </row>
    <row r="3433" spans="1:19" ht="50.1" customHeight="1">
      <c r="A3433" s="31"/>
      <c r="B3433" s="32" t="s">
        <v>12901</v>
      </c>
      <c r="C3433" s="31" t="s">
        <v>1373</v>
      </c>
      <c r="D3433" s="31" t="s">
        <v>12902</v>
      </c>
      <c r="E3433" s="31" t="s">
        <v>12903</v>
      </c>
      <c r="F3433" s="31" t="s">
        <v>31</v>
      </c>
      <c r="G3433" s="31">
        <v>389</v>
      </c>
      <c r="H3433" s="31">
        <v>10</v>
      </c>
      <c r="I3433" s="31">
        <v>10</v>
      </c>
      <c r="J3433" s="31" t="s">
        <v>12904</v>
      </c>
      <c r="K3433" s="31" t="s">
        <v>1377</v>
      </c>
      <c r="L3433" s="31" t="s">
        <v>34</v>
      </c>
      <c r="M3433" s="31">
        <v>556</v>
      </c>
      <c r="N3433" s="31">
        <v>2001</v>
      </c>
      <c r="O3433" s="31">
        <v>458</v>
      </c>
      <c r="P3433" s="31"/>
      <c r="Q3433" s="31"/>
      <c r="R3433" s="33"/>
      <c r="S3433" s="34" t="str">
        <f>HYPERLINK("http://www.cnpol.ru/covers/2426.jpg","фото на сайте")</f>
        <v>фото на сайте</v>
      </c>
    </row>
    <row r="3434" spans="1:19" ht="50.1" customHeight="1">
      <c r="A3434" s="31"/>
      <c r="B3434" s="32" t="s">
        <v>12905</v>
      </c>
      <c r="C3434" s="31" t="s">
        <v>546</v>
      </c>
      <c r="D3434" s="31" t="s">
        <v>1423</v>
      </c>
      <c r="E3434" s="31" t="s">
        <v>12906</v>
      </c>
      <c r="F3434" s="31">
        <v>246</v>
      </c>
      <c r="G3434" s="31">
        <v>93</v>
      </c>
      <c r="H3434" s="31">
        <v>10</v>
      </c>
      <c r="I3434" s="31">
        <v>30</v>
      </c>
      <c r="J3434" s="31" t="s">
        <v>12907</v>
      </c>
      <c r="K3434" s="31" t="s">
        <v>123</v>
      </c>
      <c r="L3434" s="31" t="s">
        <v>56</v>
      </c>
      <c r="M3434" s="31">
        <v>160</v>
      </c>
      <c r="N3434" s="31">
        <v>2017</v>
      </c>
      <c r="O3434" s="31">
        <v>76</v>
      </c>
      <c r="P3434" s="31"/>
      <c r="Q3434" s="31"/>
      <c r="R3434" s="33"/>
      <c r="S3434" s="34" t="str">
        <f>HYPERLINK("http://www.cnpol.ru/covers/17817.jpg","фото на сайте")</f>
        <v>фото на сайте</v>
      </c>
    </row>
    <row r="3435" spans="1:19" ht="50.1" customHeight="1">
      <c r="A3435" s="31"/>
      <c r="B3435" s="32" t="s">
        <v>12908</v>
      </c>
      <c r="C3435" s="31" t="s">
        <v>8490</v>
      </c>
      <c r="D3435" s="31" t="s">
        <v>12909</v>
      </c>
      <c r="E3435" s="31" t="s">
        <v>12910</v>
      </c>
      <c r="F3435" s="31" t="s">
        <v>31</v>
      </c>
      <c r="G3435" s="31">
        <v>88</v>
      </c>
      <c r="H3435" s="31">
        <v>10</v>
      </c>
      <c r="I3435" s="31">
        <v>30</v>
      </c>
      <c r="J3435" s="31" t="s">
        <v>12911</v>
      </c>
      <c r="K3435" s="31" t="s">
        <v>55</v>
      </c>
      <c r="L3435" s="31" t="s">
        <v>56</v>
      </c>
      <c r="M3435" s="31">
        <v>254</v>
      </c>
      <c r="N3435" s="31">
        <v>2011</v>
      </c>
      <c r="O3435" s="31">
        <v>114</v>
      </c>
      <c r="P3435" s="31"/>
      <c r="Q3435" s="31"/>
      <c r="R3435" s="33"/>
      <c r="S3435" s="34" t="str">
        <f>HYPERLINK("http://www.cnpol.ru/covers/12602.jpg","фото на сайте")</f>
        <v>фото на сайте</v>
      </c>
    </row>
    <row r="3436" spans="1:19" ht="50.1" customHeight="1">
      <c r="A3436" s="31" t="s">
        <v>35</v>
      </c>
      <c r="B3436" s="32" t="s">
        <v>12912</v>
      </c>
      <c r="C3436" s="31" t="s">
        <v>143</v>
      </c>
      <c r="D3436" s="31" t="s">
        <v>12913</v>
      </c>
      <c r="E3436" s="31" t="s">
        <v>12914</v>
      </c>
      <c r="F3436" s="31" t="s">
        <v>31</v>
      </c>
      <c r="G3436" s="31">
        <v>833</v>
      </c>
      <c r="H3436" s="31">
        <v>10</v>
      </c>
      <c r="I3436" s="31">
        <v>10</v>
      </c>
      <c r="J3436" s="31" t="s">
        <v>12915</v>
      </c>
      <c r="K3436" s="31" t="s">
        <v>33</v>
      </c>
      <c r="L3436" s="31" t="s">
        <v>34</v>
      </c>
      <c r="M3436" s="31">
        <v>219</v>
      </c>
      <c r="N3436" s="31">
        <v>2025</v>
      </c>
      <c r="O3436" s="31">
        <v>306</v>
      </c>
      <c r="P3436" s="31"/>
      <c r="Q3436" s="31"/>
      <c r="R3436" s="33" t="s">
        <v>12916</v>
      </c>
      <c r="S3436" s="34" t="str">
        <f>HYPERLINK("http://www.cnpol.ru/covers/21743.jpg","фото на сайте")</f>
        <v>фото на сайте</v>
      </c>
    </row>
    <row r="3437" spans="1:19" ht="50.1" customHeight="1">
      <c r="A3437" s="31"/>
      <c r="B3437" s="32" t="s">
        <v>12917</v>
      </c>
      <c r="C3437" s="31" t="s">
        <v>143</v>
      </c>
      <c r="D3437" s="31" t="s">
        <v>12918</v>
      </c>
      <c r="E3437" s="31" t="s">
        <v>12919</v>
      </c>
      <c r="F3437" s="31" t="s">
        <v>31</v>
      </c>
      <c r="G3437" s="31">
        <v>832</v>
      </c>
      <c r="H3437" s="31">
        <v>10</v>
      </c>
      <c r="I3437" s="31">
        <v>14</v>
      </c>
      <c r="J3437" s="31" t="s">
        <v>12920</v>
      </c>
      <c r="K3437" s="31" t="s">
        <v>33</v>
      </c>
      <c r="L3437" s="31" t="s">
        <v>34</v>
      </c>
      <c r="M3437" s="31">
        <v>271</v>
      </c>
      <c r="N3437" s="31">
        <v>2022</v>
      </c>
      <c r="O3437" s="31">
        <v>370</v>
      </c>
      <c r="P3437" s="31"/>
      <c r="Q3437" s="31"/>
      <c r="R3437" s="33" t="s">
        <v>12921</v>
      </c>
      <c r="S3437" s="34" t="str">
        <f>HYPERLINK("http://www.cnpol.ru/covers/20356.jpg","фото на сайте")</f>
        <v>фото на сайте</v>
      </c>
    </row>
    <row r="3438" spans="1:19" ht="50.1" customHeight="1">
      <c r="A3438" s="31"/>
      <c r="B3438" s="32" t="s">
        <v>12922</v>
      </c>
      <c r="C3438" s="31" t="s">
        <v>1265</v>
      </c>
      <c r="D3438" s="31" t="s">
        <v>1266</v>
      </c>
      <c r="E3438" s="31" t="s">
        <v>12923</v>
      </c>
      <c r="F3438" s="31" t="s">
        <v>31</v>
      </c>
      <c r="G3438" s="31">
        <v>88</v>
      </c>
      <c r="H3438" s="31">
        <v>10</v>
      </c>
      <c r="I3438" s="31">
        <v>48</v>
      </c>
      <c r="J3438" s="31" t="s">
        <v>12924</v>
      </c>
      <c r="K3438" s="31" t="s">
        <v>123</v>
      </c>
      <c r="L3438" s="31" t="s">
        <v>56</v>
      </c>
      <c r="M3438" s="31">
        <v>125</v>
      </c>
      <c r="N3438" s="31">
        <v>2014</v>
      </c>
      <c r="O3438" s="31">
        <v>62</v>
      </c>
      <c r="P3438" s="31"/>
      <c r="Q3438" s="31"/>
      <c r="R3438" s="33"/>
      <c r="S3438" s="34" t="str">
        <f>HYPERLINK("http://www.cnpol.ru/covers/14931.jpg","фото на сайте")</f>
        <v>фото на сайте</v>
      </c>
    </row>
    <row r="3439" spans="1:19" ht="50.1" customHeight="1">
      <c r="A3439" s="31"/>
      <c r="B3439" s="32" t="s">
        <v>12925</v>
      </c>
      <c r="C3439" s="31" t="s">
        <v>12926</v>
      </c>
      <c r="D3439" s="31" t="s">
        <v>1814</v>
      </c>
      <c r="E3439" s="31" t="s">
        <v>12927</v>
      </c>
      <c r="F3439" s="31" t="s">
        <v>31</v>
      </c>
      <c r="G3439" s="31">
        <v>371</v>
      </c>
      <c r="H3439" s="31">
        <v>20</v>
      </c>
      <c r="I3439" s="31">
        <v>200</v>
      </c>
      <c r="J3439" s="31" t="s">
        <v>12928</v>
      </c>
      <c r="K3439" s="31" t="s">
        <v>12929</v>
      </c>
      <c r="L3439" s="31" t="s">
        <v>12929</v>
      </c>
      <c r="M3439" s="31" t="s">
        <v>431</v>
      </c>
      <c r="N3439" s="31">
        <v>2016</v>
      </c>
      <c r="O3439" s="31">
        <v>80</v>
      </c>
      <c r="P3439" s="31"/>
      <c r="Q3439" s="31"/>
      <c r="R3439" s="33"/>
      <c r="S3439" s="34" t="str">
        <f>HYPERLINK("http://www.cnpol.ru/covers/17262.jpg","фото на сайте")</f>
        <v>фото на сайте</v>
      </c>
    </row>
    <row r="3440" spans="1:19" ht="50.1" customHeight="1">
      <c r="A3440" s="31"/>
      <c r="B3440" s="32" t="s">
        <v>12930</v>
      </c>
      <c r="C3440" s="31" t="s">
        <v>2497</v>
      </c>
      <c r="D3440" s="31" t="s">
        <v>1814</v>
      </c>
      <c r="E3440" s="31" t="s">
        <v>12931</v>
      </c>
      <c r="F3440" s="31" t="s">
        <v>31</v>
      </c>
      <c r="G3440" s="31">
        <v>251</v>
      </c>
      <c r="H3440" s="31">
        <v>10</v>
      </c>
      <c r="I3440" s="31">
        <v>24</v>
      </c>
      <c r="J3440" s="31" t="s">
        <v>12932</v>
      </c>
      <c r="K3440" s="31" t="s">
        <v>123</v>
      </c>
      <c r="L3440" s="31" t="s">
        <v>56</v>
      </c>
      <c r="M3440" s="31">
        <v>256</v>
      </c>
      <c r="N3440" s="31">
        <v>2021</v>
      </c>
      <c r="O3440" s="31">
        <v>122</v>
      </c>
      <c r="P3440" s="31"/>
      <c r="Q3440" s="31"/>
      <c r="R3440" s="33"/>
      <c r="S3440" s="34" t="str">
        <f>HYPERLINK("http://www.cnpol.ru/covers/20003.jpg","фото на сайте")</f>
        <v>фото на сайте</v>
      </c>
    </row>
    <row r="3441" spans="1:19" ht="50.1" customHeight="1">
      <c r="A3441" s="31"/>
      <c r="B3441" s="32" t="s">
        <v>12933</v>
      </c>
      <c r="C3441" s="31" t="s">
        <v>413</v>
      </c>
      <c r="D3441" s="31" t="s">
        <v>2285</v>
      </c>
      <c r="E3441" s="31" t="s">
        <v>12934</v>
      </c>
      <c r="F3441" s="31">
        <v>111</v>
      </c>
      <c r="G3441" s="31">
        <v>117</v>
      </c>
      <c r="H3441" s="31">
        <v>10</v>
      </c>
      <c r="I3441" s="31">
        <v>36</v>
      </c>
      <c r="J3441" s="31" t="s">
        <v>12935</v>
      </c>
      <c r="K3441" s="31" t="s">
        <v>123</v>
      </c>
      <c r="L3441" s="31" t="s">
        <v>56</v>
      </c>
      <c r="M3441" s="31">
        <v>192</v>
      </c>
      <c r="N3441" s="31">
        <v>2016</v>
      </c>
      <c r="O3441" s="31">
        <v>90</v>
      </c>
      <c r="P3441" s="31"/>
      <c r="Q3441" s="31"/>
      <c r="R3441" s="33"/>
      <c r="S3441" s="34" t="str">
        <f>HYPERLINK("http://www.cnpol.ru/covers/16850.jpg","фото на сайте")</f>
        <v>фото на сайте</v>
      </c>
    </row>
    <row r="3442" spans="1:19" ht="50.1" customHeight="1">
      <c r="A3442" s="31"/>
      <c r="B3442" s="32" t="s">
        <v>12936</v>
      </c>
      <c r="C3442" s="31" t="s">
        <v>390</v>
      </c>
      <c r="D3442" s="31" t="s">
        <v>547</v>
      </c>
      <c r="E3442" s="31" t="s">
        <v>12937</v>
      </c>
      <c r="F3442" s="31">
        <v>537</v>
      </c>
      <c r="G3442" s="31">
        <v>86</v>
      </c>
      <c r="H3442" s="31">
        <v>10</v>
      </c>
      <c r="I3442" s="31">
        <v>30</v>
      </c>
      <c r="J3442" s="31" t="s">
        <v>12938</v>
      </c>
      <c r="K3442" s="31" t="s">
        <v>123</v>
      </c>
      <c r="L3442" s="31" t="s">
        <v>56</v>
      </c>
      <c r="M3442" s="31">
        <v>158</v>
      </c>
      <c r="N3442" s="31">
        <v>2015</v>
      </c>
      <c r="O3442" s="31">
        <v>76</v>
      </c>
      <c r="P3442" s="31"/>
      <c r="Q3442" s="31"/>
      <c r="R3442" s="33"/>
      <c r="S3442" s="34" t="str">
        <f>HYPERLINK("http://www.cnpol.ru/covers/16146.jpg","фото на сайте")</f>
        <v>фото на сайте</v>
      </c>
    </row>
    <row r="3443" spans="1:19" ht="50.1" customHeight="1">
      <c r="A3443" s="31"/>
      <c r="B3443" s="32" t="s">
        <v>12939</v>
      </c>
      <c r="C3443" s="31" t="s">
        <v>390</v>
      </c>
      <c r="D3443" s="31" t="s">
        <v>12940</v>
      </c>
      <c r="E3443" s="31" t="s">
        <v>12941</v>
      </c>
      <c r="F3443" s="31">
        <v>807</v>
      </c>
      <c r="G3443" s="31">
        <v>86</v>
      </c>
      <c r="H3443" s="31">
        <v>10</v>
      </c>
      <c r="I3443" s="31">
        <v>30</v>
      </c>
      <c r="J3443" s="31" t="s">
        <v>12942</v>
      </c>
      <c r="K3443" s="31" t="s">
        <v>123</v>
      </c>
      <c r="L3443" s="31" t="s">
        <v>56</v>
      </c>
      <c r="M3443" s="31">
        <v>160</v>
      </c>
      <c r="N3443" s="31">
        <v>2018</v>
      </c>
      <c r="O3443" s="31">
        <v>76</v>
      </c>
      <c r="P3443" s="31"/>
      <c r="Q3443" s="31"/>
      <c r="R3443" s="33"/>
      <c r="S3443" s="34" t="str">
        <f>HYPERLINK("http://www.cnpol.ru/covers/18124.jpg","фото на сайте")</f>
        <v>фото на сайте</v>
      </c>
    </row>
    <row r="3444" spans="1:19" ht="50.1" customHeight="1">
      <c r="A3444" s="31"/>
      <c r="B3444" s="32" t="s">
        <v>12943</v>
      </c>
      <c r="C3444" s="31" t="s">
        <v>138</v>
      </c>
      <c r="D3444" s="31" t="s">
        <v>12944</v>
      </c>
      <c r="E3444" s="31" t="s">
        <v>12945</v>
      </c>
      <c r="F3444" s="31" t="s">
        <v>31</v>
      </c>
      <c r="G3444" s="31">
        <v>481</v>
      </c>
      <c r="H3444" s="31">
        <v>10</v>
      </c>
      <c r="I3444" s="31">
        <v>16</v>
      </c>
      <c r="J3444" s="31" t="s">
        <v>12946</v>
      </c>
      <c r="K3444" s="31" t="s">
        <v>158</v>
      </c>
      <c r="L3444" s="31" t="s">
        <v>210</v>
      </c>
      <c r="M3444" s="31">
        <v>287</v>
      </c>
      <c r="N3444" s="31">
        <v>2015</v>
      </c>
      <c r="O3444" s="31">
        <v>206</v>
      </c>
      <c r="P3444" s="31"/>
      <c r="Q3444" s="31"/>
      <c r="R3444" s="33"/>
      <c r="S3444" s="34" t="str">
        <f>HYPERLINK("http://www.cnpol.ru/covers/16018.jpg","фото на сайте")</f>
        <v>фото на сайте</v>
      </c>
    </row>
    <row r="3445" spans="1:19" ht="50.1" customHeight="1">
      <c r="A3445" s="31"/>
      <c r="B3445" s="32" t="s">
        <v>12947</v>
      </c>
      <c r="C3445" s="31" t="s">
        <v>138</v>
      </c>
      <c r="D3445" s="31" t="s">
        <v>12944</v>
      </c>
      <c r="E3445" s="31" t="s">
        <v>12945</v>
      </c>
      <c r="F3445" s="31" t="s">
        <v>31</v>
      </c>
      <c r="G3445" s="31">
        <v>365</v>
      </c>
      <c r="H3445" s="31">
        <v>10</v>
      </c>
      <c r="I3445" s="31">
        <v>16</v>
      </c>
      <c r="J3445" s="31" t="s">
        <v>12948</v>
      </c>
      <c r="K3445" s="31" t="s">
        <v>158</v>
      </c>
      <c r="L3445" s="31" t="s">
        <v>56</v>
      </c>
      <c r="M3445" s="31">
        <v>288</v>
      </c>
      <c r="N3445" s="31">
        <v>2018</v>
      </c>
      <c r="O3445" s="31">
        <v>206</v>
      </c>
      <c r="P3445" s="31"/>
      <c r="Q3445" s="31"/>
      <c r="R3445" s="33"/>
      <c r="S3445" s="34" t="str">
        <f>HYPERLINK("http://www.cnpol.ru/covers/18216.jpg","фото на сайте")</f>
        <v>фото на сайте</v>
      </c>
    </row>
    <row r="3446" spans="1:19" ht="50.1" customHeight="1">
      <c r="A3446" s="31"/>
      <c r="B3446" s="32" t="s">
        <v>12949</v>
      </c>
      <c r="C3446" s="31" t="s">
        <v>546</v>
      </c>
      <c r="D3446" s="31" t="s">
        <v>961</v>
      </c>
      <c r="E3446" s="31" t="s">
        <v>12950</v>
      </c>
      <c r="F3446" s="31">
        <v>428</v>
      </c>
      <c r="G3446" s="31">
        <v>93</v>
      </c>
      <c r="H3446" s="31">
        <v>10</v>
      </c>
      <c r="I3446" s="31">
        <v>30</v>
      </c>
      <c r="J3446" s="31" t="s">
        <v>12951</v>
      </c>
      <c r="K3446" s="31" t="s">
        <v>123</v>
      </c>
      <c r="L3446" s="31" t="s">
        <v>56</v>
      </c>
      <c r="M3446" s="31">
        <v>159</v>
      </c>
      <c r="N3446" s="31">
        <v>2023</v>
      </c>
      <c r="O3446" s="31">
        <v>76</v>
      </c>
      <c r="P3446" s="31"/>
      <c r="Q3446" s="31"/>
      <c r="R3446" s="33" t="s">
        <v>12952</v>
      </c>
      <c r="S3446" s="34" t="str">
        <f>HYPERLINK("http://www.cnpol.ru/covers/20663.jpg","фото на сайте")</f>
        <v>фото на сайте</v>
      </c>
    </row>
    <row r="3447" spans="1:19" ht="50.1" customHeight="1">
      <c r="A3447" s="31"/>
      <c r="B3447" s="32" t="s">
        <v>12953</v>
      </c>
      <c r="C3447" s="31" t="s">
        <v>390</v>
      </c>
      <c r="D3447" s="31" t="s">
        <v>1347</v>
      </c>
      <c r="E3447" s="31" t="s">
        <v>12954</v>
      </c>
      <c r="F3447" s="31">
        <v>344</v>
      </c>
      <c r="G3447" s="31">
        <v>86</v>
      </c>
      <c r="H3447" s="31">
        <v>10</v>
      </c>
      <c r="I3447" s="31">
        <v>30</v>
      </c>
      <c r="J3447" s="31" t="s">
        <v>12955</v>
      </c>
      <c r="K3447" s="31" t="s">
        <v>123</v>
      </c>
      <c r="L3447" s="31" t="s">
        <v>56</v>
      </c>
      <c r="M3447" s="31">
        <v>158</v>
      </c>
      <c r="N3447" s="31">
        <v>2013</v>
      </c>
      <c r="O3447" s="31">
        <v>76</v>
      </c>
      <c r="P3447" s="31"/>
      <c r="Q3447" s="31"/>
      <c r="R3447" s="33"/>
      <c r="S3447" s="34" t="str">
        <f>HYPERLINK("http://www.cnpol.ru/covers/14533.jpg","фото на сайте")</f>
        <v>фото на сайте</v>
      </c>
    </row>
    <row r="3448" spans="1:19" ht="50.1" customHeight="1">
      <c r="A3448" s="31"/>
      <c r="B3448" s="32" t="s">
        <v>12956</v>
      </c>
      <c r="C3448" s="31" t="s">
        <v>390</v>
      </c>
      <c r="D3448" s="31" t="s">
        <v>961</v>
      </c>
      <c r="E3448" s="31" t="s">
        <v>12957</v>
      </c>
      <c r="F3448" s="31">
        <v>932</v>
      </c>
      <c r="G3448" s="31">
        <v>86</v>
      </c>
      <c r="H3448" s="31">
        <v>10</v>
      </c>
      <c r="I3448" s="31">
        <v>30</v>
      </c>
      <c r="J3448" s="31" t="s">
        <v>12958</v>
      </c>
      <c r="K3448" s="31" t="s">
        <v>123</v>
      </c>
      <c r="L3448" s="31" t="s">
        <v>56</v>
      </c>
      <c r="M3448" s="31">
        <v>160</v>
      </c>
      <c r="N3448" s="31">
        <v>2019</v>
      </c>
      <c r="O3448" s="31">
        <v>76</v>
      </c>
      <c r="P3448" s="31"/>
      <c r="Q3448" s="31"/>
      <c r="R3448" s="33"/>
      <c r="S3448" s="34" t="str">
        <f>HYPERLINK("http://www.cnpol.ru/covers/18905.jpg","фото на сайте")</f>
        <v>фото на сайте</v>
      </c>
    </row>
    <row r="3449" spans="1:19" ht="50.1" customHeight="1">
      <c r="A3449" s="31"/>
      <c r="B3449" s="32" t="s">
        <v>12959</v>
      </c>
      <c r="C3449" s="31" t="s">
        <v>390</v>
      </c>
      <c r="D3449" s="31" t="s">
        <v>10259</v>
      </c>
      <c r="E3449" s="31" t="s">
        <v>12960</v>
      </c>
      <c r="F3449" s="31">
        <v>806</v>
      </c>
      <c r="G3449" s="31">
        <v>86</v>
      </c>
      <c r="H3449" s="31">
        <v>10</v>
      </c>
      <c r="I3449" s="31">
        <v>30</v>
      </c>
      <c r="J3449" s="31" t="s">
        <v>12961</v>
      </c>
      <c r="K3449" s="31" t="s">
        <v>123</v>
      </c>
      <c r="L3449" s="31" t="s">
        <v>56</v>
      </c>
      <c r="M3449" s="31">
        <v>160</v>
      </c>
      <c r="N3449" s="31">
        <v>2018</v>
      </c>
      <c r="O3449" s="31">
        <v>76</v>
      </c>
      <c r="P3449" s="31"/>
      <c r="Q3449" s="31"/>
      <c r="R3449" s="33"/>
      <c r="S3449" s="34" t="str">
        <f>HYPERLINK("http://www.cnpol.ru/covers/18123.jpg","фото на сайте")</f>
        <v>фото на сайте</v>
      </c>
    </row>
    <row r="3450" spans="1:19" ht="50.1" customHeight="1">
      <c r="A3450" s="31"/>
      <c r="B3450" s="32" t="s">
        <v>12962</v>
      </c>
      <c r="C3450" s="31" t="s">
        <v>400</v>
      </c>
      <c r="D3450" s="31" t="s">
        <v>12963</v>
      </c>
      <c r="E3450" s="31" t="s">
        <v>12964</v>
      </c>
      <c r="F3450" s="31" t="s">
        <v>31</v>
      </c>
      <c r="G3450" s="31">
        <v>503</v>
      </c>
      <c r="H3450" s="31">
        <v>10</v>
      </c>
      <c r="I3450" s="31">
        <v>14</v>
      </c>
      <c r="J3450" s="31" t="s">
        <v>12965</v>
      </c>
      <c r="K3450" s="31" t="s">
        <v>33</v>
      </c>
      <c r="L3450" s="31" t="s">
        <v>34</v>
      </c>
      <c r="M3450" s="31">
        <v>288</v>
      </c>
      <c r="N3450" s="31">
        <v>2019</v>
      </c>
      <c r="O3450" s="31">
        <v>252</v>
      </c>
      <c r="P3450" s="31"/>
      <c r="Q3450" s="31"/>
      <c r="R3450" s="33"/>
      <c r="S3450" s="34" t="str">
        <f>HYPERLINK("http://www.cnpol.ru/covers/18535.jpg","фото на сайте")</f>
        <v>фото на сайте</v>
      </c>
    </row>
    <row r="3451" spans="1:19" ht="50.1" customHeight="1">
      <c r="A3451" s="31"/>
      <c r="B3451" s="32" t="s">
        <v>12966</v>
      </c>
      <c r="C3451" s="31" t="s">
        <v>975</v>
      </c>
      <c r="D3451" s="31" t="s">
        <v>12967</v>
      </c>
      <c r="E3451" s="31" t="s">
        <v>12968</v>
      </c>
      <c r="F3451" s="31" t="s">
        <v>31</v>
      </c>
      <c r="G3451" s="31">
        <v>154</v>
      </c>
      <c r="H3451" s="31">
        <v>10</v>
      </c>
      <c r="I3451" s="31">
        <v>24</v>
      </c>
      <c r="J3451" s="31" t="s">
        <v>12969</v>
      </c>
      <c r="K3451" s="31" t="s">
        <v>55</v>
      </c>
      <c r="L3451" s="31" t="s">
        <v>56</v>
      </c>
      <c r="M3451" s="31">
        <v>318</v>
      </c>
      <c r="N3451" s="31">
        <v>2009</v>
      </c>
      <c r="O3451" s="31">
        <v>134</v>
      </c>
      <c r="P3451" s="31"/>
      <c r="Q3451" s="31"/>
      <c r="R3451" s="33"/>
      <c r="S3451" s="34" t="str">
        <f>HYPERLINK("http://www.cnpol.ru/covers/11104.jpg","фото на сайте")</f>
        <v>фото на сайте</v>
      </c>
    </row>
    <row r="3452" spans="1:19" ht="50.1" customHeight="1">
      <c r="A3452" s="31"/>
      <c r="B3452" s="32" t="s">
        <v>12970</v>
      </c>
      <c r="C3452" s="31" t="s">
        <v>418</v>
      </c>
      <c r="D3452" s="31" t="s">
        <v>10724</v>
      </c>
      <c r="E3452" s="31" t="s">
        <v>12971</v>
      </c>
      <c r="F3452" s="31">
        <v>29</v>
      </c>
      <c r="G3452" s="31">
        <v>153</v>
      </c>
      <c r="H3452" s="31">
        <v>10</v>
      </c>
      <c r="I3452" s="31">
        <v>32</v>
      </c>
      <c r="J3452" s="31" t="s">
        <v>12972</v>
      </c>
      <c r="K3452" s="31" t="s">
        <v>123</v>
      </c>
      <c r="L3452" s="31" t="s">
        <v>56</v>
      </c>
      <c r="M3452" s="31">
        <v>254</v>
      </c>
      <c r="N3452" s="31">
        <v>2013</v>
      </c>
      <c r="O3452" s="31">
        <v>122</v>
      </c>
      <c r="P3452" s="31"/>
      <c r="Q3452" s="31"/>
      <c r="R3452" s="33"/>
      <c r="S3452" s="34" t="str">
        <f>HYPERLINK("http://www.cnpol.ru/covers/14502.jpg","фото на сайте")</f>
        <v>фото на сайте</v>
      </c>
    </row>
    <row r="3453" spans="1:19" ht="50.1" customHeight="1">
      <c r="A3453" s="31"/>
      <c r="B3453" s="32" t="s">
        <v>12973</v>
      </c>
      <c r="C3453" s="31" t="s">
        <v>546</v>
      </c>
      <c r="D3453" s="31" t="s">
        <v>1628</v>
      </c>
      <c r="E3453" s="31" t="s">
        <v>12974</v>
      </c>
      <c r="F3453" s="31">
        <v>230</v>
      </c>
      <c r="G3453" s="31">
        <v>93</v>
      </c>
      <c r="H3453" s="31">
        <v>10</v>
      </c>
      <c r="I3453" s="31">
        <v>30</v>
      </c>
      <c r="J3453" s="31" t="s">
        <v>12975</v>
      </c>
      <c r="K3453" s="31" t="s">
        <v>123</v>
      </c>
      <c r="L3453" s="31" t="s">
        <v>56</v>
      </c>
      <c r="M3453" s="31">
        <v>160</v>
      </c>
      <c r="N3453" s="31">
        <v>2017</v>
      </c>
      <c r="O3453" s="31">
        <v>76</v>
      </c>
      <c r="P3453" s="31"/>
      <c r="Q3453" s="31"/>
      <c r="R3453" s="33"/>
      <c r="S3453" s="34" t="str">
        <f>HYPERLINK("http://www.cnpol.ru/covers/17612.jpg","фото на сайте")</f>
        <v>фото на сайте</v>
      </c>
    </row>
    <row r="3454" spans="1:19" ht="50.1" customHeight="1">
      <c r="A3454" s="31"/>
      <c r="B3454" s="32" t="s">
        <v>12976</v>
      </c>
      <c r="C3454" s="31" t="s">
        <v>390</v>
      </c>
      <c r="D3454" s="31" t="s">
        <v>12977</v>
      </c>
      <c r="E3454" s="31" t="s">
        <v>12978</v>
      </c>
      <c r="F3454" s="31">
        <v>986</v>
      </c>
      <c r="G3454" s="31">
        <v>86</v>
      </c>
      <c r="H3454" s="31">
        <v>10</v>
      </c>
      <c r="I3454" s="31">
        <v>30</v>
      </c>
      <c r="J3454" s="31" t="s">
        <v>12979</v>
      </c>
      <c r="K3454" s="31" t="s">
        <v>123</v>
      </c>
      <c r="L3454" s="31" t="s">
        <v>56</v>
      </c>
      <c r="M3454" s="31">
        <v>160</v>
      </c>
      <c r="N3454" s="31">
        <v>2020</v>
      </c>
      <c r="O3454" s="31">
        <v>76</v>
      </c>
      <c r="P3454" s="31"/>
      <c r="Q3454" s="31"/>
      <c r="R3454" s="33"/>
      <c r="S3454" s="34" t="str">
        <f>HYPERLINK("http://www.cnpol.ru/covers/19267.jpg","фото на сайте")</f>
        <v>фото на сайте</v>
      </c>
    </row>
    <row r="3455" spans="1:19" ht="50.1" customHeight="1">
      <c r="A3455" s="31" t="s">
        <v>35</v>
      </c>
      <c r="B3455" s="32" t="s">
        <v>12980</v>
      </c>
      <c r="C3455" s="31" t="s">
        <v>1363</v>
      </c>
      <c r="D3455" s="31" t="s">
        <v>1364</v>
      </c>
      <c r="E3455" s="31" t="s">
        <v>12981</v>
      </c>
      <c r="F3455" s="31" t="s">
        <v>31</v>
      </c>
      <c r="G3455" s="35">
        <v>1033</v>
      </c>
      <c r="H3455" s="31">
        <v>10</v>
      </c>
      <c r="I3455" s="31">
        <v>12</v>
      </c>
      <c r="J3455" s="31" t="s">
        <v>12982</v>
      </c>
      <c r="K3455" s="31" t="s">
        <v>33</v>
      </c>
      <c r="L3455" s="31" t="s">
        <v>34</v>
      </c>
      <c r="M3455" s="31">
        <v>415</v>
      </c>
      <c r="N3455" s="31">
        <v>2025</v>
      </c>
      <c r="O3455" s="31" t="s">
        <v>220</v>
      </c>
      <c r="P3455" s="31"/>
      <c r="Q3455" s="31"/>
      <c r="R3455" s="33" t="s">
        <v>12983</v>
      </c>
      <c r="S3455" s="34" t="str">
        <f>HYPERLINK("http://www.cnpol.ru/covers/21786.jpg","фото на сайте")</f>
        <v>фото на сайте</v>
      </c>
    </row>
    <row r="3456" spans="1:19" ht="50.1" customHeight="1">
      <c r="A3456" s="31"/>
      <c r="B3456" s="32" t="s">
        <v>12984</v>
      </c>
      <c r="C3456" s="31" t="s">
        <v>390</v>
      </c>
      <c r="D3456" s="31" t="s">
        <v>1656</v>
      </c>
      <c r="E3456" s="31" t="s">
        <v>12985</v>
      </c>
      <c r="F3456" s="31">
        <v>883</v>
      </c>
      <c r="G3456" s="31">
        <v>86</v>
      </c>
      <c r="H3456" s="31">
        <v>10</v>
      </c>
      <c r="I3456" s="31">
        <v>30</v>
      </c>
      <c r="J3456" s="31" t="s">
        <v>12986</v>
      </c>
      <c r="K3456" s="31" t="s">
        <v>123</v>
      </c>
      <c r="L3456" s="31" t="s">
        <v>56</v>
      </c>
      <c r="M3456" s="31">
        <v>160</v>
      </c>
      <c r="N3456" s="31">
        <v>2019</v>
      </c>
      <c r="O3456" s="31">
        <v>76</v>
      </c>
      <c r="P3456" s="31"/>
      <c r="Q3456" s="31"/>
      <c r="R3456" s="33"/>
      <c r="S3456" s="34" t="str">
        <f>HYPERLINK("http://www.cnpol.ru/covers/18584.jpg","фото на сайте")</f>
        <v>фото на сайте</v>
      </c>
    </row>
    <row r="3457" spans="1:19" ht="50.1" customHeight="1">
      <c r="A3457" s="31"/>
      <c r="B3457" s="32" t="s">
        <v>12987</v>
      </c>
      <c r="C3457" s="31" t="s">
        <v>7881</v>
      </c>
      <c r="D3457" s="31" t="s">
        <v>12988</v>
      </c>
      <c r="E3457" s="31" t="s">
        <v>12989</v>
      </c>
      <c r="F3457" s="31" t="s">
        <v>31</v>
      </c>
      <c r="G3457" s="31">
        <v>88</v>
      </c>
      <c r="H3457" s="31">
        <v>10</v>
      </c>
      <c r="I3457" s="31">
        <v>30</v>
      </c>
      <c r="J3457" s="31" t="s">
        <v>12990</v>
      </c>
      <c r="K3457" s="31" t="s">
        <v>55</v>
      </c>
      <c r="L3457" s="31" t="s">
        <v>56</v>
      </c>
      <c r="M3457" s="31">
        <v>190</v>
      </c>
      <c r="N3457" s="31">
        <v>2008</v>
      </c>
      <c r="O3457" s="31">
        <v>82</v>
      </c>
      <c r="P3457" s="31"/>
      <c r="Q3457" s="31"/>
      <c r="R3457" s="33"/>
      <c r="S3457" s="34" t="str">
        <f>HYPERLINK("http://www.cnpol.ru/covers/7603.jpg","фото на сайте")</f>
        <v>фото на сайте</v>
      </c>
    </row>
    <row r="3458" spans="1:19" ht="50.1" customHeight="1">
      <c r="A3458" s="31"/>
      <c r="B3458" s="32" t="s">
        <v>12991</v>
      </c>
      <c r="C3458" s="31" t="s">
        <v>1940</v>
      </c>
      <c r="D3458" s="31" t="s">
        <v>8635</v>
      </c>
      <c r="E3458" s="31" t="s">
        <v>12992</v>
      </c>
      <c r="F3458" s="31" t="s">
        <v>31</v>
      </c>
      <c r="G3458" s="31">
        <v>154</v>
      </c>
      <c r="H3458" s="31">
        <v>10</v>
      </c>
      <c r="I3458" s="31">
        <v>16</v>
      </c>
      <c r="J3458" s="31" t="s">
        <v>12993</v>
      </c>
      <c r="K3458" s="31" t="s">
        <v>55</v>
      </c>
      <c r="L3458" s="31" t="s">
        <v>56</v>
      </c>
      <c r="M3458" s="31">
        <v>349</v>
      </c>
      <c r="N3458" s="31">
        <v>2009</v>
      </c>
      <c r="O3458" s="31">
        <v>144</v>
      </c>
      <c r="P3458" s="31"/>
      <c r="Q3458" s="31"/>
      <c r="R3458" s="33"/>
      <c r="S3458" s="34" t="str">
        <f>HYPERLINK("http://www.cnpol.ru/covers/11579.jpg","фото на сайте")</f>
        <v>фото на сайте</v>
      </c>
    </row>
    <row r="3459" spans="1:19" ht="50.1" customHeight="1">
      <c r="A3459" s="31"/>
      <c r="B3459" s="32" t="s">
        <v>12994</v>
      </c>
      <c r="C3459" s="31" t="s">
        <v>119</v>
      </c>
      <c r="D3459" s="31" t="s">
        <v>12995</v>
      </c>
      <c r="E3459" s="31" t="s">
        <v>12996</v>
      </c>
      <c r="F3459" s="31" t="s">
        <v>31</v>
      </c>
      <c r="G3459" s="31">
        <v>503</v>
      </c>
      <c r="H3459" s="31">
        <v>10</v>
      </c>
      <c r="I3459" s="31">
        <v>14</v>
      </c>
      <c r="J3459" s="31" t="s">
        <v>12997</v>
      </c>
      <c r="K3459" s="31" t="s">
        <v>194</v>
      </c>
      <c r="L3459" s="31" t="s">
        <v>34</v>
      </c>
      <c r="M3459" s="31">
        <v>256</v>
      </c>
      <c r="N3459" s="31">
        <v>2023</v>
      </c>
      <c r="O3459" s="31">
        <v>242</v>
      </c>
      <c r="P3459" s="31"/>
      <c r="Q3459" s="31"/>
      <c r="R3459" s="33" t="s">
        <v>12998</v>
      </c>
      <c r="S3459" s="34" t="str">
        <f>HYPERLINK("http://www.cnpol.ru/covers/20602.jpg","фото на сайте")</f>
        <v>фото на сайте</v>
      </c>
    </row>
    <row r="3460" spans="1:19" ht="50.1" customHeight="1">
      <c r="A3460" s="31"/>
      <c r="B3460" s="32" t="s">
        <v>12999</v>
      </c>
      <c r="C3460" s="31" t="s">
        <v>400</v>
      </c>
      <c r="D3460" s="31" t="s">
        <v>13000</v>
      </c>
      <c r="E3460" s="31" t="s">
        <v>13001</v>
      </c>
      <c r="F3460" s="31" t="s">
        <v>31</v>
      </c>
      <c r="G3460" s="31">
        <v>503</v>
      </c>
      <c r="H3460" s="31">
        <v>10</v>
      </c>
      <c r="I3460" s="31">
        <v>14</v>
      </c>
      <c r="J3460" s="31" t="s">
        <v>13002</v>
      </c>
      <c r="K3460" s="31" t="s">
        <v>33</v>
      </c>
      <c r="L3460" s="31" t="s">
        <v>34</v>
      </c>
      <c r="M3460" s="31">
        <v>288</v>
      </c>
      <c r="N3460" s="31">
        <v>2018</v>
      </c>
      <c r="O3460" s="31">
        <v>254</v>
      </c>
      <c r="P3460" s="31"/>
      <c r="Q3460" s="31"/>
      <c r="R3460" s="33"/>
      <c r="S3460" s="34" t="str">
        <f>HYPERLINK("http://www.cnpol.ru/covers/18435.jpg","фото на сайте")</f>
        <v>фото на сайте</v>
      </c>
    </row>
    <row r="3461" spans="1:19" ht="50.1" customHeight="1">
      <c r="A3461" s="31"/>
      <c r="B3461" s="32" t="s">
        <v>13003</v>
      </c>
      <c r="C3461" s="31" t="s">
        <v>390</v>
      </c>
      <c r="D3461" s="31" t="s">
        <v>2315</v>
      </c>
      <c r="E3461" s="31" t="s">
        <v>13004</v>
      </c>
      <c r="F3461" s="31">
        <v>1142</v>
      </c>
      <c r="G3461" s="31">
        <v>86</v>
      </c>
      <c r="H3461" s="31">
        <v>10</v>
      </c>
      <c r="I3461" s="31">
        <v>30</v>
      </c>
      <c r="J3461" s="31" t="s">
        <v>13005</v>
      </c>
      <c r="K3461" s="31" t="s">
        <v>123</v>
      </c>
      <c r="L3461" s="31" t="s">
        <v>56</v>
      </c>
      <c r="M3461" s="31">
        <v>159</v>
      </c>
      <c r="N3461" s="31">
        <v>2023</v>
      </c>
      <c r="O3461" s="31">
        <v>76</v>
      </c>
      <c r="P3461" s="31"/>
      <c r="Q3461" s="31"/>
      <c r="R3461" s="33" t="s">
        <v>13006</v>
      </c>
      <c r="S3461" s="34" t="str">
        <f>HYPERLINK("http://www.cnpol.ru/covers/20664.jpg","фото на сайте")</f>
        <v>фото на сайте</v>
      </c>
    </row>
    <row r="3462" spans="1:19" ht="50.1" customHeight="1">
      <c r="A3462" s="31"/>
      <c r="B3462" s="32" t="s">
        <v>13007</v>
      </c>
      <c r="C3462" s="31" t="s">
        <v>390</v>
      </c>
      <c r="D3462" s="31" t="s">
        <v>391</v>
      </c>
      <c r="E3462" s="31" t="s">
        <v>13008</v>
      </c>
      <c r="F3462" s="31">
        <v>873</v>
      </c>
      <c r="G3462" s="31">
        <v>86</v>
      </c>
      <c r="H3462" s="31">
        <v>10</v>
      </c>
      <c r="I3462" s="31">
        <v>30</v>
      </c>
      <c r="J3462" s="31" t="s">
        <v>13009</v>
      </c>
      <c r="K3462" s="31" t="s">
        <v>123</v>
      </c>
      <c r="L3462" s="31" t="s">
        <v>56</v>
      </c>
      <c r="M3462" s="31">
        <v>160</v>
      </c>
      <c r="N3462" s="31">
        <v>2019</v>
      </c>
      <c r="O3462" s="31">
        <v>76</v>
      </c>
      <c r="P3462" s="31"/>
      <c r="Q3462" s="31"/>
      <c r="R3462" s="33"/>
      <c r="S3462" s="34" t="str">
        <f>HYPERLINK("http://www.cnpol.ru/covers/18530.jpg","фото на сайте")</f>
        <v>фото на сайте</v>
      </c>
    </row>
    <row r="3463" spans="1:19" ht="50.1" customHeight="1">
      <c r="A3463" s="31"/>
      <c r="B3463" s="32" t="s">
        <v>13010</v>
      </c>
      <c r="C3463" s="31" t="s">
        <v>1516</v>
      </c>
      <c r="D3463" s="31" t="s">
        <v>2294</v>
      </c>
      <c r="E3463" s="31" t="s">
        <v>13011</v>
      </c>
      <c r="F3463" s="31">
        <v>40</v>
      </c>
      <c r="G3463" s="31">
        <v>106</v>
      </c>
      <c r="H3463" s="31">
        <v>10</v>
      </c>
      <c r="I3463" s="31">
        <v>30</v>
      </c>
      <c r="J3463" s="31" t="s">
        <v>13012</v>
      </c>
      <c r="K3463" s="31" t="s">
        <v>123</v>
      </c>
      <c r="L3463" s="31" t="s">
        <v>56</v>
      </c>
      <c r="M3463" s="31">
        <v>159</v>
      </c>
      <c r="N3463" s="31">
        <v>2022</v>
      </c>
      <c r="O3463" s="31">
        <v>76</v>
      </c>
      <c r="P3463" s="31"/>
      <c r="Q3463" s="31"/>
      <c r="R3463" s="33"/>
      <c r="S3463" s="34" t="str">
        <f>HYPERLINK("http://www.cnpol.ru/covers/20315.jpg","фото на сайте")</f>
        <v>фото на сайте</v>
      </c>
    </row>
    <row r="3464" spans="1:19" ht="50.1" customHeight="1">
      <c r="A3464" s="31"/>
      <c r="B3464" s="32" t="s">
        <v>13013</v>
      </c>
      <c r="C3464" s="31" t="s">
        <v>390</v>
      </c>
      <c r="D3464" s="31" t="s">
        <v>13014</v>
      </c>
      <c r="E3464" s="31" t="s">
        <v>13015</v>
      </c>
      <c r="F3464" s="31">
        <v>499</v>
      </c>
      <c r="G3464" s="31">
        <v>86</v>
      </c>
      <c r="H3464" s="31">
        <v>10</v>
      </c>
      <c r="I3464" s="31">
        <v>30</v>
      </c>
      <c r="J3464" s="31" t="s">
        <v>13016</v>
      </c>
      <c r="K3464" s="31" t="s">
        <v>123</v>
      </c>
      <c r="L3464" s="31" t="s">
        <v>56</v>
      </c>
      <c r="M3464" s="31">
        <v>158</v>
      </c>
      <c r="N3464" s="31">
        <v>2015</v>
      </c>
      <c r="O3464" s="31">
        <v>76</v>
      </c>
      <c r="P3464" s="31"/>
      <c r="Q3464" s="31"/>
      <c r="R3464" s="33"/>
      <c r="S3464" s="34" t="str">
        <f>HYPERLINK("http://www.cnpol.ru/covers/15874.jpg","фото на сайте")</f>
        <v>фото на сайте</v>
      </c>
    </row>
    <row r="3465" spans="1:19" ht="50.1" customHeight="1">
      <c r="A3465" s="31"/>
      <c r="B3465" s="32" t="s">
        <v>13017</v>
      </c>
      <c r="C3465" s="31" t="s">
        <v>413</v>
      </c>
      <c r="D3465" s="31" t="s">
        <v>7366</v>
      </c>
      <c r="E3465" s="31" t="s">
        <v>13018</v>
      </c>
      <c r="F3465" s="31">
        <v>105</v>
      </c>
      <c r="G3465" s="31">
        <v>117</v>
      </c>
      <c r="H3465" s="31">
        <v>10</v>
      </c>
      <c r="I3465" s="31">
        <v>36</v>
      </c>
      <c r="J3465" s="31" t="s">
        <v>13019</v>
      </c>
      <c r="K3465" s="31" t="s">
        <v>123</v>
      </c>
      <c r="L3465" s="31" t="s">
        <v>56</v>
      </c>
      <c r="M3465" s="31">
        <v>192</v>
      </c>
      <c r="N3465" s="31">
        <v>2016</v>
      </c>
      <c r="O3465" s="31">
        <v>90</v>
      </c>
      <c r="P3465" s="31"/>
      <c r="Q3465" s="31"/>
      <c r="R3465" s="33"/>
      <c r="S3465" s="34" t="str">
        <f>HYPERLINK("http://www.cnpol.ru/covers/16756.jpg","фото на сайте")</f>
        <v>фото на сайте</v>
      </c>
    </row>
    <row r="3466" spans="1:19" ht="50.1" customHeight="1">
      <c r="A3466" s="31"/>
      <c r="B3466" s="32" t="s">
        <v>13020</v>
      </c>
      <c r="C3466" s="31" t="s">
        <v>390</v>
      </c>
      <c r="D3466" s="31" t="s">
        <v>859</v>
      </c>
      <c r="E3466" s="31" t="s">
        <v>13021</v>
      </c>
      <c r="F3466" s="31">
        <v>515</v>
      </c>
      <c r="G3466" s="31">
        <v>86</v>
      </c>
      <c r="H3466" s="31">
        <v>10</v>
      </c>
      <c r="I3466" s="31">
        <v>30</v>
      </c>
      <c r="J3466" s="31" t="s">
        <v>13022</v>
      </c>
      <c r="K3466" s="31" t="s">
        <v>123</v>
      </c>
      <c r="L3466" s="31" t="s">
        <v>56</v>
      </c>
      <c r="M3466" s="31">
        <v>158</v>
      </c>
      <c r="N3466" s="31">
        <v>2015</v>
      </c>
      <c r="O3466" s="31">
        <v>76</v>
      </c>
      <c r="P3466" s="31"/>
      <c r="Q3466" s="31"/>
      <c r="R3466" s="33"/>
      <c r="S3466" s="34" t="str">
        <f>HYPERLINK("http://www.cnpol.ru/covers/15986.jpg","фото на сайте")</f>
        <v>фото на сайте</v>
      </c>
    </row>
    <row r="3467" spans="1:19" ht="50.1" customHeight="1">
      <c r="A3467" s="31"/>
      <c r="B3467" s="32" t="s">
        <v>13023</v>
      </c>
      <c r="C3467" s="31" t="s">
        <v>390</v>
      </c>
      <c r="D3467" s="31" t="s">
        <v>2892</v>
      </c>
      <c r="E3467" s="31" t="s">
        <v>13024</v>
      </c>
      <c r="F3467" s="31">
        <v>364</v>
      </c>
      <c r="G3467" s="31">
        <v>86</v>
      </c>
      <c r="H3467" s="31">
        <v>10</v>
      </c>
      <c r="I3467" s="31">
        <v>30</v>
      </c>
      <c r="J3467" s="31" t="s">
        <v>13025</v>
      </c>
      <c r="K3467" s="31" t="s">
        <v>300</v>
      </c>
      <c r="L3467" s="31" t="s">
        <v>56</v>
      </c>
      <c r="M3467" s="31">
        <v>158</v>
      </c>
      <c r="N3467" s="31">
        <v>2013</v>
      </c>
      <c r="O3467" s="31">
        <v>78</v>
      </c>
      <c r="P3467" s="31"/>
      <c r="Q3467" s="31"/>
      <c r="R3467" s="33"/>
      <c r="S3467" s="34" t="str">
        <f>HYPERLINK("http://www.cnpol.ru/covers/14687.jpg","фото на сайте")</f>
        <v>фото на сайте</v>
      </c>
    </row>
    <row r="3468" spans="1:19" ht="50.1" customHeight="1">
      <c r="A3468" s="31"/>
      <c r="B3468" s="32" t="s">
        <v>13026</v>
      </c>
      <c r="C3468" s="31" t="s">
        <v>464</v>
      </c>
      <c r="D3468" s="31" t="s">
        <v>465</v>
      </c>
      <c r="E3468" s="31" t="s">
        <v>13027</v>
      </c>
      <c r="F3468" s="31" t="s">
        <v>31</v>
      </c>
      <c r="G3468" s="31">
        <v>119</v>
      </c>
      <c r="H3468" s="31">
        <v>10</v>
      </c>
      <c r="I3468" s="31">
        <v>150</v>
      </c>
      <c r="J3468" s="31" t="s">
        <v>13028</v>
      </c>
      <c r="K3468" s="31" t="s">
        <v>3186</v>
      </c>
      <c r="L3468" s="31" t="s">
        <v>1726</v>
      </c>
      <c r="M3468" s="31">
        <v>10</v>
      </c>
      <c r="N3468" s="31">
        <v>2005</v>
      </c>
      <c r="O3468" s="31">
        <v>36</v>
      </c>
      <c r="P3468" s="31"/>
      <c r="Q3468" s="31"/>
      <c r="R3468" s="33"/>
      <c r="S3468" s="34" t="str">
        <f>HYPERLINK("http://www.cnpol.ru/covers/5834.jpg","фото на сайте")</f>
        <v>фото на сайте</v>
      </c>
    </row>
    <row r="3469" spans="1:19" ht="50.1" customHeight="1">
      <c r="A3469" s="31"/>
      <c r="B3469" s="32" t="s">
        <v>13029</v>
      </c>
      <c r="C3469" s="31" t="s">
        <v>520</v>
      </c>
      <c r="D3469" s="31" t="s">
        <v>13030</v>
      </c>
      <c r="E3469" s="31" t="s">
        <v>13031</v>
      </c>
      <c r="F3469" s="31">
        <v>89</v>
      </c>
      <c r="G3469" s="31">
        <v>117</v>
      </c>
      <c r="H3469" s="31">
        <v>10</v>
      </c>
      <c r="I3469" s="31">
        <v>20</v>
      </c>
      <c r="J3469" s="31" t="s">
        <v>13032</v>
      </c>
      <c r="K3469" s="31" t="s">
        <v>123</v>
      </c>
      <c r="L3469" s="31" t="s">
        <v>56</v>
      </c>
      <c r="M3469" s="31">
        <v>191</v>
      </c>
      <c r="N3469" s="31">
        <v>2022</v>
      </c>
      <c r="O3469" s="31">
        <v>90</v>
      </c>
      <c r="P3469" s="31"/>
      <c r="Q3469" s="31"/>
      <c r="R3469" s="33"/>
      <c r="S3469" s="34" t="str">
        <f>HYPERLINK("http://www.cnpol.ru/covers/20338.jpg","фото на сайте")</f>
        <v>фото на сайте</v>
      </c>
    </row>
    <row r="3470" spans="1:19" ht="50.1" customHeight="1">
      <c r="A3470" s="31"/>
      <c r="B3470" s="32" t="s">
        <v>13033</v>
      </c>
      <c r="C3470" s="31" t="s">
        <v>939</v>
      </c>
      <c r="D3470" s="31" t="s">
        <v>940</v>
      </c>
      <c r="E3470" s="31" t="s">
        <v>13034</v>
      </c>
      <c r="F3470" s="31" t="s">
        <v>31</v>
      </c>
      <c r="G3470" s="31">
        <v>105</v>
      </c>
      <c r="H3470" s="31">
        <v>10</v>
      </c>
      <c r="I3470" s="31">
        <v>48</v>
      </c>
      <c r="J3470" s="31" t="s">
        <v>13035</v>
      </c>
      <c r="K3470" s="31" t="s">
        <v>130</v>
      </c>
      <c r="L3470" s="31" t="s">
        <v>56</v>
      </c>
      <c r="M3470" s="31">
        <v>107</v>
      </c>
      <c r="N3470" s="31">
        <v>2005</v>
      </c>
      <c r="O3470" s="31">
        <v>74</v>
      </c>
      <c r="P3470" s="31"/>
      <c r="Q3470" s="31"/>
      <c r="R3470" s="33"/>
      <c r="S3470" s="34" t="str">
        <f>HYPERLINK("http://www.cnpol.ru/covers/5737.jpg","фото на сайте")</f>
        <v>фото на сайте</v>
      </c>
    </row>
    <row r="3471" spans="1:19" ht="50.1" customHeight="1">
      <c r="A3471" s="31"/>
      <c r="B3471" s="32" t="s">
        <v>13036</v>
      </c>
      <c r="C3471" s="31" t="s">
        <v>546</v>
      </c>
      <c r="D3471" s="31" t="s">
        <v>1842</v>
      </c>
      <c r="E3471" s="31" t="s">
        <v>13037</v>
      </c>
      <c r="F3471" s="31">
        <v>306</v>
      </c>
      <c r="G3471" s="31">
        <v>93</v>
      </c>
      <c r="H3471" s="31">
        <v>10</v>
      </c>
      <c r="I3471" s="31">
        <v>30</v>
      </c>
      <c r="J3471" s="31" t="s">
        <v>13038</v>
      </c>
      <c r="K3471" s="31" t="s">
        <v>123</v>
      </c>
      <c r="L3471" s="31" t="s">
        <v>56</v>
      </c>
      <c r="M3471" s="31">
        <v>160</v>
      </c>
      <c r="N3471" s="31">
        <v>2019</v>
      </c>
      <c r="O3471" s="31">
        <v>78</v>
      </c>
      <c r="P3471" s="31"/>
      <c r="Q3471" s="31"/>
      <c r="R3471" s="33"/>
      <c r="S3471" s="34" t="str">
        <f>HYPERLINK("http://www.cnpol.ru/covers/18649.jpg","фото на сайте")</f>
        <v>фото на сайте</v>
      </c>
    </row>
    <row r="3472" spans="1:19" ht="50.1" customHeight="1">
      <c r="A3472" s="31"/>
      <c r="B3472" s="32" t="s">
        <v>13039</v>
      </c>
      <c r="C3472" s="31" t="s">
        <v>37</v>
      </c>
      <c r="D3472" s="31" t="s">
        <v>2555</v>
      </c>
      <c r="E3472" s="31" t="s">
        <v>13040</v>
      </c>
      <c r="F3472" s="31" t="s">
        <v>31</v>
      </c>
      <c r="G3472" s="31">
        <v>539</v>
      </c>
      <c r="H3472" s="31">
        <v>10</v>
      </c>
      <c r="I3472" s="31">
        <v>12</v>
      </c>
      <c r="J3472" s="31" t="s">
        <v>13041</v>
      </c>
      <c r="K3472" s="31" t="s">
        <v>33</v>
      </c>
      <c r="L3472" s="31" t="s">
        <v>34</v>
      </c>
      <c r="M3472" s="31">
        <v>351</v>
      </c>
      <c r="N3472" s="31">
        <v>2024</v>
      </c>
      <c r="O3472" s="31">
        <v>295</v>
      </c>
      <c r="P3472" s="31"/>
      <c r="Q3472" s="31"/>
      <c r="R3472" s="33" t="s">
        <v>13042</v>
      </c>
      <c r="S3472" s="34" t="str">
        <f>HYPERLINK("http://www.cnpol.ru/covers/20943.jpg","фото на сайте")</f>
        <v>фото на сайте</v>
      </c>
    </row>
    <row r="3473" spans="1:19" ht="50.1" customHeight="1">
      <c r="A3473" s="31"/>
      <c r="B3473" s="32" t="s">
        <v>13043</v>
      </c>
      <c r="C3473" s="31" t="s">
        <v>390</v>
      </c>
      <c r="D3473" s="31" t="s">
        <v>4374</v>
      </c>
      <c r="E3473" s="31" t="s">
        <v>13044</v>
      </c>
      <c r="F3473" s="31">
        <v>574</v>
      </c>
      <c r="G3473" s="31">
        <v>86</v>
      </c>
      <c r="H3473" s="31">
        <v>10</v>
      </c>
      <c r="I3473" s="31">
        <v>30</v>
      </c>
      <c r="J3473" s="31" t="s">
        <v>13045</v>
      </c>
      <c r="K3473" s="31" t="s">
        <v>123</v>
      </c>
      <c r="L3473" s="31" t="s">
        <v>56</v>
      </c>
      <c r="M3473" s="31">
        <v>158</v>
      </c>
      <c r="N3473" s="31">
        <v>2016</v>
      </c>
      <c r="O3473" s="31">
        <v>76</v>
      </c>
      <c r="P3473" s="31"/>
      <c r="Q3473" s="31"/>
      <c r="R3473" s="33"/>
      <c r="S3473" s="34" t="str">
        <f>HYPERLINK("http://www.cnpol.ru/covers/16419.jpg","фото на сайте")</f>
        <v>фото на сайте</v>
      </c>
    </row>
    <row r="3474" spans="1:19" ht="50.1" customHeight="1">
      <c r="A3474" s="31"/>
      <c r="B3474" s="32" t="s">
        <v>13046</v>
      </c>
      <c r="C3474" s="31" t="s">
        <v>390</v>
      </c>
      <c r="D3474" s="31" t="s">
        <v>1758</v>
      </c>
      <c r="E3474" s="31" t="s">
        <v>13047</v>
      </c>
      <c r="F3474" s="31">
        <v>525</v>
      </c>
      <c r="G3474" s="31">
        <v>86</v>
      </c>
      <c r="H3474" s="31">
        <v>10</v>
      </c>
      <c r="I3474" s="31">
        <v>30</v>
      </c>
      <c r="J3474" s="31" t="s">
        <v>13048</v>
      </c>
      <c r="K3474" s="31" t="s">
        <v>123</v>
      </c>
      <c r="L3474" s="31" t="s">
        <v>56</v>
      </c>
      <c r="M3474" s="31">
        <v>158</v>
      </c>
      <c r="N3474" s="31">
        <v>2015</v>
      </c>
      <c r="O3474" s="31">
        <v>76</v>
      </c>
      <c r="P3474" s="31"/>
      <c r="Q3474" s="31"/>
      <c r="R3474" s="33"/>
      <c r="S3474" s="34" t="str">
        <f>HYPERLINK("http://www.cnpol.ru/covers/16051.jpg","фото на сайте")</f>
        <v>фото на сайте</v>
      </c>
    </row>
    <row r="3475" spans="1:19" ht="50.1" customHeight="1">
      <c r="A3475" s="31" t="s">
        <v>35</v>
      </c>
      <c r="B3475" s="32" t="s">
        <v>13049</v>
      </c>
      <c r="C3475" s="31" t="s">
        <v>37</v>
      </c>
      <c r="D3475" s="31" t="s">
        <v>13050</v>
      </c>
      <c r="E3475" s="31" t="s">
        <v>13051</v>
      </c>
      <c r="F3475" s="31" t="s">
        <v>31</v>
      </c>
      <c r="G3475" s="31">
        <v>771</v>
      </c>
      <c r="H3475" s="31">
        <v>10</v>
      </c>
      <c r="I3475" s="31">
        <v>10</v>
      </c>
      <c r="J3475" s="31" t="s">
        <v>13052</v>
      </c>
      <c r="K3475" s="31" t="s">
        <v>33</v>
      </c>
      <c r="L3475" s="31" t="s">
        <v>34</v>
      </c>
      <c r="M3475" s="31">
        <v>220</v>
      </c>
      <c r="N3475" s="31">
        <v>2026</v>
      </c>
      <c r="O3475" s="31" t="s">
        <v>220</v>
      </c>
      <c r="P3475" s="31"/>
      <c r="Q3475" s="31"/>
      <c r="R3475" s="33" t="s">
        <v>13053</v>
      </c>
      <c r="S3475" s="34" t="str">
        <f>HYPERLINK("http://www.cnpol.ru/covers/21898.jpg","фото на сайте")</f>
        <v>фото на сайте</v>
      </c>
    </row>
    <row r="3476" spans="1:19" ht="50.1" customHeight="1">
      <c r="A3476" s="31"/>
      <c r="B3476" s="32" t="s">
        <v>13054</v>
      </c>
      <c r="C3476" s="31" t="s">
        <v>528</v>
      </c>
      <c r="D3476" s="31" t="s">
        <v>529</v>
      </c>
      <c r="E3476" s="31" t="s">
        <v>13055</v>
      </c>
      <c r="F3476" s="31" t="s">
        <v>31</v>
      </c>
      <c r="G3476" s="31">
        <v>137</v>
      </c>
      <c r="H3476" s="31">
        <v>10</v>
      </c>
      <c r="I3476" s="31">
        <v>20</v>
      </c>
      <c r="J3476" s="31" t="s">
        <v>13056</v>
      </c>
      <c r="K3476" s="31" t="s">
        <v>55</v>
      </c>
      <c r="L3476" s="31" t="s">
        <v>56</v>
      </c>
      <c r="M3476" s="31">
        <v>160</v>
      </c>
      <c r="N3476" s="31">
        <v>2017</v>
      </c>
      <c r="O3476" s="31">
        <v>68</v>
      </c>
      <c r="P3476" s="31"/>
      <c r="Q3476" s="31"/>
      <c r="R3476" s="33"/>
      <c r="S3476" s="34" t="str">
        <f>HYPERLINK("http://www.cnpol.ru/covers/17688.jpg","фото на сайте")</f>
        <v>фото на сайте</v>
      </c>
    </row>
    <row r="3477" spans="1:19" ht="50.1" customHeight="1">
      <c r="A3477" s="31"/>
      <c r="B3477" s="32" t="s">
        <v>13057</v>
      </c>
      <c r="C3477" s="31" t="s">
        <v>528</v>
      </c>
      <c r="D3477" s="31" t="s">
        <v>529</v>
      </c>
      <c r="E3477" s="31" t="s">
        <v>13058</v>
      </c>
      <c r="F3477" s="31" t="s">
        <v>31</v>
      </c>
      <c r="G3477" s="31">
        <v>137</v>
      </c>
      <c r="H3477" s="31">
        <v>10</v>
      </c>
      <c r="I3477" s="31">
        <v>28</v>
      </c>
      <c r="J3477" s="31" t="s">
        <v>13059</v>
      </c>
      <c r="K3477" s="31" t="s">
        <v>55</v>
      </c>
      <c r="L3477" s="31" t="s">
        <v>56</v>
      </c>
      <c r="M3477" s="31">
        <v>160</v>
      </c>
      <c r="N3477" s="31">
        <v>2017</v>
      </c>
      <c r="O3477" s="31">
        <v>68</v>
      </c>
      <c r="P3477" s="31"/>
      <c r="Q3477" s="31"/>
      <c r="R3477" s="33"/>
      <c r="S3477" s="34" t="str">
        <f>HYPERLINK("http://www.cnpol.ru/covers/17631.jpg","фото на сайте")</f>
        <v>фото на сайте</v>
      </c>
    </row>
    <row r="3478" spans="1:19" ht="50.1" customHeight="1">
      <c r="A3478" s="31"/>
      <c r="B3478" s="32" t="s">
        <v>13060</v>
      </c>
      <c r="C3478" s="31" t="s">
        <v>37</v>
      </c>
      <c r="D3478" s="31" t="s">
        <v>10241</v>
      </c>
      <c r="E3478" s="31" t="s">
        <v>13061</v>
      </c>
      <c r="F3478" s="31" t="s">
        <v>31</v>
      </c>
      <c r="G3478" s="31">
        <v>759</v>
      </c>
      <c r="H3478" s="31">
        <v>10</v>
      </c>
      <c r="I3478" s="31">
        <v>14</v>
      </c>
      <c r="J3478" s="31" t="s">
        <v>13062</v>
      </c>
      <c r="K3478" s="31" t="s">
        <v>33</v>
      </c>
      <c r="L3478" s="31" t="s">
        <v>34</v>
      </c>
      <c r="M3478" s="31">
        <v>223</v>
      </c>
      <c r="N3478" s="31">
        <v>2022</v>
      </c>
      <c r="O3478" s="31">
        <v>105</v>
      </c>
      <c r="P3478" s="31"/>
      <c r="Q3478" s="31"/>
      <c r="R3478" s="33" t="s">
        <v>13063</v>
      </c>
      <c r="S3478" s="34" t="str">
        <f>HYPERLINK("http://www.cnpol.ru/covers/20403.jpg","фото на сайте")</f>
        <v>фото на сайте</v>
      </c>
    </row>
    <row r="3479" spans="1:19" ht="50.1" customHeight="1">
      <c r="A3479" s="31"/>
      <c r="B3479" s="32" t="s">
        <v>13064</v>
      </c>
      <c r="C3479" s="31" t="s">
        <v>1338</v>
      </c>
      <c r="D3479" s="31" t="s">
        <v>7007</v>
      </c>
      <c r="E3479" s="31" t="s">
        <v>13065</v>
      </c>
      <c r="F3479" s="31" t="s">
        <v>31</v>
      </c>
      <c r="G3479" s="31">
        <v>154</v>
      </c>
      <c r="H3479" s="31">
        <v>10</v>
      </c>
      <c r="I3479" s="31">
        <v>20</v>
      </c>
      <c r="J3479" s="31" t="s">
        <v>13066</v>
      </c>
      <c r="K3479" s="31" t="s">
        <v>55</v>
      </c>
      <c r="L3479" s="31" t="s">
        <v>56</v>
      </c>
      <c r="M3479" s="31">
        <v>318</v>
      </c>
      <c r="N3479" s="31">
        <v>2008</v>
      </c>
      <c r="O3479" s="31">
        <v>130</v>
      </c>
      <c r="P3479" s="31"/>
      <c r="Q3479" s="31"/>
      <c r="R3479" s="33"/>
      <c r="S3479" s="34" t="str">
        <f>HYPERLINK("http://www.cnpol.ru/covers/10569.jpg","фото на сайте")</f>
        <v>фото на сайте</v>
      </c>
    </row>
    <row r="3480" spans="1:19" ht="50.1" customHeight="1">
      <c r="A3480" s="31"/>
      <c r="B3480" s="32" t="s">
        <v>13067</v>
      </c>
      <c r="C3480" s="31" t="s">
        <v>390</v>
      </c>
      <c r="D3480" s="31" t="s">
        <v>2674</v>
      </c>
      <c r="E3480" s="31" t="s">
        <v>13068</v>
      </c>
      <c r="F3480" s="31">
        <v>849</v>
      </c>
      <c r="G3480" s="31">
        <v>86</v>
      </c>
      <c r="H3480" s="31">
        <v>10</v>
      </c>
      <c r="I3480" s="31">
        <v>30</v>
      </c>
      <c r="J3480" s="31" t="s">
        <v>13069</v>
      </c>
      <c r="K3480" s="31" t="s">
        <v>123</v>
      </c>
      <c r="L3480" s="31" t="s">
        <v>56</v>
      </c>
      <c r="M3480" s="31">
        <v>160</v>
      </c>
      <c r="N3480" s="31">
        <v>2018</v>
      </c>
      <c r="O3480" s="31">
        <v>76</v>
      </c>
      <c r="P3480" s="31"/>
      <c r="Q3480" s="31"/>
      <c r="R3480" s="33"/>
      <c r="S3480" s="34" t="str">
        <f>HYPERLINK("http://www.cnpol.ru/covers/18382.jpg","фото на сайте")</f>
        <v>фото на сайте</v>
      </c>
    </row>
    <row r="3481" spans="1:19" ht="50.1" customHeight="1">
      <c r="A3481" s="31"/>
      <c r="B3481" s="32" t="s">
        <v>13070</v>
      </c>
      <c r="C3481" s="31" t="s">
        <v>390</v>
      </c>
      <c r="D3481" s="31" t="s">
        <v>391</v>
      </c>
      <c r="E3481" s="31" t="s">
        <v>13071</v>
      </c>
      <c r="F3481" s="31">
        <v>732</v>
      </c>
      <c r="G3481" s="31">
        <v>86</v>
      </c>
      <c r="H3481" s="31">
        <v>10</v>
      </c>
      <c r="I3481" s="31">
        <v>30</v>
      </c>
      <c r="J3481" s="31" t="s">
        <v>13072</v>
      </c>
      <c r="K3481" s="31" t="s">
        <v>123</v>
      </c>
      <c r="L3481" s="31" t="s">
        <v>56</v>
      </c>
      <c r="M3481" s="31">
        <v>160</v>
      </c>
      <c r="N3481" s="31">
        <v>2017</v>
      </c>
      <c r="O3481" s="31">
        <v>76</v>
      </c>
      <c r="P3481" s="31"/>
      <c r="Q3481" s="31"/>
      <c r="R3481" s="33"/>
      <c r="S3481" s="34" t="str">
        <f>HYPERLINK("http://www.cnpol.ru/covers/17577.jpg","фото на сайте")</f>
        <v>фото на сайте</v>
      </c>
    </row>
    <row r="3482" spans="1:19" ht="50.1" customHeight="1">
      <c r="A3482" s="31"/>
      <c r="B3482" s="32" t="s">
        <v>13073</v>
      </c>
      <c r="C3482" s="31" t="s">
        <v>390</v>
      </c>
      <c r="D3482" s="31" t="s">
        <v>961</v>
      </c>
      <c r="E3482" s="31" t="s">
        <v>13074</v>
      </c>
      <c r="F3482" s="31">
        <v>922</v>
      </c>
      <c r="G3482" s="31">
        <v>86</v>
      </c>
      <c r="H3482" s="31">
        <v>10</v>
      </c>
      <c r="I3482" s="31">
        <v>30</v>
      </c>
      <c r="J3482" s="31" t="s">
        <v>13075</v>
      </c>
      <c r="K3482" s="31" t="s">
        <v>123</v>
      </c>
      <c r="L3482" s="31" t="s">
        <v>56</v>
      </c>
      <c r="M3482" s="31">
        <v>160</v>
      </c>
      <c r="N3482" s="31">
        <v>2019</v>
      </c>
      <c r="O3482" s="31">
        <v>76</v>
      </c>
      <c r="P3482" s="31"/>
      <c r="Q3482" s="31"/>
      <c r="R3482" s="33"/>
      <c r="S3482" s="34" t="str">
        <f>HYPERLINK("http://www.cnpol.ru/covers/18845.jpg","фото на сайте")</f>
        <v>фото на сайте</v>
      </c>
    </row>
    <row r="3483" spans="1:19" ht="50.1" customHeight="1">
      <c r="A3483" s="31"/>
      <c r="B3483" s="32" t="s">
        <v>13076</v>
      </c>
      <c r="C3483" s="31" t="s">
        <v>390</v>
      </c>
      <c r="D3483" s="31" t="s">
        <v>1581</v>
      </c>
      <c r="E3483" s="31" t="s">
        <v>13077</v>
      </c>
      <c r="F3483" s="31">
        <v>967</v>
      </c>
      <c r="G3483" s="31">
        <v>86</v>
      </c>
      <c r="H3483" s="31">
        <v>10</v>
      </c>
      <c r="I3483" s="31">
        <v>30</v>
      </c>
      <c r="J3483" s="31" t="s">
        <v>13078</v>
      </c>
      <c r="K3483" s="31" t="s">
        <v>123</v>
      </c>
      <c r="L3483" s="31" t="s">
        <v>56</v>
      </c>
      <c r="M3483" s="31">
        <v>160</v>
      </c>
      <c r="N3483" s="31">
        <v>2020</v>
      </c>
      <c r="O3483" s="31">
        <v>76</v>
      </c>
      <c r="P3483" s="31"/>
      <c r="Q3483" s="31"/>
      <c r="R3483" s="33"/>
      <c r="S3483" s="34" t="str">
        <f>HYPERLINK("http://www.cnpol.ru/covers/19102.jpg","фото на сайте")</f>
        <v>фото на сайте</v>
      </c>
    </row>
    <row r="3484" spans="1:19" ht="50.1" customHeight="1">
      <c r="A3484" s="31"/>
      <c r="B3484" s="32" t="s">
        <v>13079</v>
      </c>
      <c r="C3484" s="31" t="s">
        <v>4248</v>
      </c>
      <c r="D3484" s="31" t="s">
        <v>10612</v>
      </c>
      <c r="E3484" s="31" t="s">
        <v>13080</v>
      </c>
      <c r="F3484" s="31" t="s">
        <v>31</v>
      </c>
      <c r="G3484" s="31">
        <v>461</v>
      </c>
      <c r="H3484" s="31">
        <v>10</v>
      </c>
      <c r="I3484" s="31">
        <v>14</v>
      </c>
      <c r="J3484" s="31" t="s">
        <v>13081</v>
      </c>
      <c r="K3484" s="31" t="s">
        <v>33</v>
      </c>
      <c r="L3484" s="31" t="s">
        <v>34</v>
      </c>
      <c r="M3484" s="31">
        <v>314</v>
      </c>
      <c r="N3484" s="31">
        <v>2011</v>
      </c>
      <c r="O3484" s="31">
        <v>332</v>
      </c>
      <c r="P3484" s="31"/>
      <c r="Q3484" s="31"/>
      <c r="R3484" s="33"/>
      <c r="S3484" s="34" t="str">
        <f>HYPERLINK("http://www.cnpol.ru/covers/12524.jpg","фото на сайте")</f>
        <v>фото на сайте</v>
      </c>
    </row>
    <row r="3485" spans="1:19" ht="50.1" customHeight="1">
      <c r="A3485" s="31"/>
      <c r="B3485" s="32" t="s">
        <v>13082</v>
      </c>
      <c r="C3485" s="31" t="s">
        <v>380</v>
      </c>
      <c r="D3485" s="31" t="s">
        <v>10963</v>
      </c>
      <c r="E3485" s="31" t="s">
        <v>13083</v>
      </c>
      <c r="F3485" s="31" t="s">
        <v>31</v>
      </c>
      <c r="G3485" s="35">
        <v>1085</v>
      </c>
      <c r="H3485" s="31">
        <v>10</v>
      </c>
      <c r="I3485" s="31">
        <v>10</v>
      </c>
      <c r="J3485" s="31" t="s">
        <v>13084</v>
      </c>
      <c r="K3485" s="31" t="s">
        <v>41</v>
      </c>
      <c r="L3485" s="31" t="s">
        <v>304</v>
      </c>
      <c r="M3485" s="31">
        <v>448</v>
      </c>
      <c r="N3485" s="31">
        <v>2020</v>
      </c>
      <c r="O3485" s="31">
        <v>586</v>
      </c>
      <c r="P3485" s="31"/>
      <c r="Q3485" s="31"/>
      <c r="R3485" s="33"/>
      <c r="S3485" s="34" t="str">
        <f>HYPERLINK("http://www.cnpol.ru/covers/19002.jpg","фото на сайте")</f>
        <v>фото на сайте</v>
      </c>
    </row>
    <row r="3486" spans="1:19" ht="50.1" customHeight="1">
      <c r="A3486" s="31" t="s">
        <v>43</v>
      </c>
      <c r="B3486" s="32" t="s">
        <v>13085</v>
      </c>
      <c r="C3486" s="31" t="s">
        <v>546</v>
      </c>
      <c r="D3486" s="31" t="s">
        <v>4589</v>
      </c>
      <c r="E3486" s="31" t="s">
        <v>13086</v>
      </c>
      <c r="F3486" s="31">
        <v>449</v>
      </c>
      <c r="G3486" s="31">
        <v>93</v>
      </c>
      <c r="H3486" s="31">
        <v>10</v>
      </c>
      <c r="I3486" s="31">
        <v>30</v>
      </c>
      <c r="J3486" s="31" t="s">
        <v>13087</v>
      </c>
      <c r="K3486" s="31" t="s">
        <v>123</v>
      </c>
      <c r="L3486" s="31" t="s">
        <v>56</v>
      </c>
      <c r="M3486" s="31">
        <v>159</v>
      </c>
      <c r="N3486" s="31">
        <v>2024</v>
      </c>
      <c r="O3486" s="31">
        <v>76</v>
      </c>
      <c r="P3486" s="31"/>
      <c r="Q3486" s="31"/>
      <c r="R3486" s="33" t="s">
        <v>13088</v>
      </c>
      <c r="S3486" s="34" t="str">
        <f>HYPERLINK("http://www.cnpol.ru/covers/21321.jpg","фото на сайте")</f>
        <v>фото на сайте</v>
      </c>
    </row>
    <row r="3487" spans="1:19" ht="50.1" customHeight="1">
      <c r="A3487" s="31"/>
      <c r="B3487" s="32" t="s">
        <v>13089</v>
      </c>
      <c r="C3487" s="31" t="s">
        <v>385</v>
      </c>
      <c r="D3487" s="31" t="s">
        <v>386</v>
      </c>
      <c r="E3487" s="31" t="s">
        <v>13090</v>
      </c>
      <c r="F3487" s="31" t="s">
        <v>31</v>
      </c>
      <c r="G3487" s="31">
        <v>162</v>
      </c>
      <c r="H3487" s="31">
        <v>10</v>
      </c>
      <c r="I3487" s="31">
        <v>32</v>
      </c>
      <c r="J3487" s="31" t="s">
        <v>13091</v>
      </c>
      <c r="K3487" s="31" t="s">
        <v>55</v>
      </c>
      <c r="L3487" s="31" t="s">
        <v>56</v>
      </c>
      <c r="M3487" s="31">
        <v>256</v>
      </c>
      <c r="N3487" s="31">
        <v>2016</v>
      </c>
      <c r="O3487" s="31">
        <v>106</v>
      </c>
      <c r="P3487" s="31"/>
      <c r="Q3487" s="31"/>
      <c r="R3487" s="33"/>
      <c r="S3487" s="34" t="str">
        <f>HYPERLINK("http://www.cnpol.ru/covers/16757.jpg","фото на сайте")</f>
        <v>фото на сайте</v>
      </c>
    </row>
    <row r="3488" spans="1:19" ht="50.1" customHeight="1">
      <c r="A3488" s="31"/>
      <c r="B3488" s="32" t="s">
        <v>13092</v>
      </c>
      <c r="C3488" s="31" t="s">
        <v>464</v>
      </c>
      <c r="D3488" s="31" t="s">
        <v>13093</v>
      </c>
      <c r="E3488" s="31" t="s">
        <v>13094</v>
      </c>
      <c r="F3488" s="31" t="s">
        <v>31</v>
      </c>
      <c r="G3488" s="31">
        <v>137</v>
      </c>
      <c r="H3488" s="31">
        <v>10</v>
      </c>
      <c r="I3488" s="31">
        <v>50</v>
      </c>
      <c r="J3488" s="31" t="s">
        <v>13095</v>
      </c>
      <c r="K3488" s="31" t="s">
        <v>468</v>
      </c>
      <c r="L3488" s="31" t="s">
        <v>56</v>
      </c>
      <c r="M3488" s="31">
        <v>16</v>
      </c>
      <c r="N3488" s="31">
        <v>2008</v>
      </c>
      <c r="O3488" s="31">
        <v>86</v>
      </c>
      <c r="P3488" s="31"/>
      <c r="Q3488" s="31"/>
      <c r="R3488" s="33"/>
      <c r="S3488" s="34" t="str">
        <f>HYPERLINK("http://www.cnpol.ru/covers/7870.jpg","фото на сайте")</f>
        <v>фото на сайте</v>
      </c>
    </row>
    <row r="3489" spans="1:19" ht="50.1" customHeight="1">
      <c r="A3489" s="31"/>
      <c r="B3489" s="32" t="s">
        <v>13096</v>
      </c>
      <c r="C3489" s="31" t="s">
        <v>418</v>
      </c>
      <c r="D3489" s="31" t="s">
        <v>4074</v>
      </c>
      <c r="E3489" s="31" t="s">
        <v>13097</v>
      </c>
      <c r="F3489" s="31">
        <v>97</v>
      </c>
      <c r="G3489" s="31">
        <v>153</v>
      </c>
      <c r="H3489" s="31">
        <v>10</v>
      </c>
      <c r="I3489" s="31">
        <v>24</v>
      </c>
      <c r="J3489" s="31" t="s">
        <v>13098</v>
      </c>
      <c r="K3489" s="31" t="s">
        <v>123</v>
      </c>
      <c r="L3489" s="31" t="s">
        <v>56</v>
      </c>
      <c r="M3489" s="31">
        <v>256</v>
      </c>
      <c r="N3489" s="31">
        <v>2019</v>
      </c>
      <c r="O3489" s="31">
        <v>117</v>
      </c>
      <c r="P3489" s="31"/>
      <c r="Q3489" s="31"/>
      <c r="R3489" s="33"/>
      <c r="S3489" s="34" t="str">
        <f>HYPERLINK("http://www.cnpol.ru/covers/18607.jpg","фото на сайте")</f>
        <v>фото на сайте</v>
      </c>
    </row>
    <row r="3490" spans="1:19" ht="50.1" customHeight="1">
      <c r="A3490" s="31"/>
      <c r="B3490" s="32" t="s">
        <v>13099</v>
      </c>
      <c r="C3490" s="31" t="s">
        <v>390</v>
      </c>
      <c r="D3490" s="31" t="s">
        <v>2106</v>
      </c>
      <c r="E3490" s="31" t="s">
        <v>13100</v>
      </c>
      <c r="F3490" s="31">
        <v>1151</v>
      </c>
      <c r="G3490" s="31">
        <v>86</v>
      </c>
      <c r="H3490" s="31">
        <v>10</v>
      </c>
      <c r="I3490" s="31">
        <v>30</v>
      </c>
      <c r="J3490" s="31" t="s">
        <v>13101</v>
      </c>
      <c r="K3490" s="31" t="s">
        <v>123</v>
      </c>
      <c r="L3490" s="31" t="s">
        <v>56</v>
      </c>
      <c r="M3490" s="31">
        <v>159</v>
      </c>
      <c r="N3490" s="31">
        <v>2023</v>
      </c>
      <c r="O3490" s="31">
        <v>76</v>
      </c>
      <c r="P3490" s="31"/>
      <c r="Q3490" s="31"/>
      <c r="R3490" s="33" t="s">
        <v>13102</v>
      </c>
      <c r="S3490" s="34" t="str">
        <f>HYPERLINK("http://www.cnpol.ru/covers/20786.jpg","фото на сайте")</f>
        <v>фото на сайте</v>
      </c>
    </row>
    <row r="3491" spans="1:19" ht="50.1" customHeight="1">
      <c r="A3491" s="31"/>
      <c r="B3491" s="32" t="s">
        <v>13103</v>
      </c>
      <c r="C3491" s="31" t="s">
        <v>37</v>
      </c>
      <c r="D3491" s="31" t="s">
        <v>5669</v>
      </c>
      <c r="E3491" s="31" t="s">
        <v>13104</v>
      </c>
      <c r="F3491" s="31" t="s">
        <v>31</v>
      </c>
      <c r="G3491" s="31">
        <v>486</v>
      </c>
      <c r="H3491" s="31">
        <v>10</v>
      </c>
      <c r="I3491" s="31">
        <v>12</v>
      </c>
      <c r="J3491" s="31" t="s">
        <v>13105</v>
      </c>
      <c r="K3491" s="31" t="s">
        <v>33</v>
      </c>
      <c r="L3491" s="31" t="s">
        <v>34</v>
      </c>
      <c r="M3491" s="31">
        <v>352</v>
      </c>
      <c r="N3491" s="31">
        <v>2018</v>
      </c>
      <c r="O3491" s="31">
        <v>284</v>
      </c>
      <c r="P3491" s="31"/>
      <c r="Q3491" s="31"/>
      <c r="R3491" s="33"/>
      <c r="S3491" s="34" t="str">
        <f>HYPERLINK("http://www.cnpol.ru/covers/18030.jpg","фото на сайте")</f>
        <v>фото на сайте</v>
      </c>
    </row>
    <row r="3492" spans="1:19" ht="50.1" customHeight="1">
      <c r="A3492" s="31"/>
      <c r="B3492" s="32" t="s">
        <v>13106</v>
      </c>
      <c r="C3492" s="31" t="s">
        <v>413</v>
      </c>
      <c r="D3492" s="31" t="s">
        <v>13107</v>
      </c>
      <c r="E3492" s="31" t="s">
        <v>13108</v>
      </c>
      <c r="F3492" s="31">
        <v>75</v>
      </c>
      <c r="G3492" s="31">
        <v>117</v>
      </c>
      <c r="H3492" s="31">
        <v>10</v>
      </c>
      <c r="I3492" s="31">
        <v>36</v>
      </c>
      <c r="J3492" s="31" t="s">
        <v>13109</v>
      </c>
      <c r="K3492" s="31" t="s">
        <v>123</v>
      </c>
      <c r="L3492" s="31" t="s">
        <v>56</v>
      </c>
      <c r="M3492" s="31">
        <v>189</v>
      </c>
      <c r="N3492" s="31">
        <v>2015</v>
      </c>
      <c r="O3492" s="31">
        <v>90</v>
      </c>
      <c r="P3492" s="31"/>
      <c r="Q3492" s="31"/>
      <c r="R3492" s="33"/>
      <c r="S3492" s="34" t="str">
        <f>HYPERLINK("http://www.cnpol.ru/covers/16265.jpg","фото на сайте")</f>
        <v>фото на сайте</v>
      </c>
    </row>
    <row r="3493" spans="1:19" ht="50.1" customHeight="1">
      <c r="A3493" s="31"/>
      <c r="B3493" s="32" t="s">
        <v>13110</v>
      </c>
      <c r="C3493" s="31" t="s">
        <v>390</v>
      </c>
      <c r="D3493" s="31" t="s">
        <v>1794</v>
      </c>
      <c r="E3493" s="31" t="s">
        <v>13111</v>
      </c>
      <c r="F3493" s="31">
        <v>455</v>
      </c>
      <c r="G3493" s="31">
        <v>86</v>
      </c>
      <c r="H3493" s="31">
        <v>10</v>
      </c>
      <c r="I3493" s="31">
        <v>30</v>
      </c>
      <c r="J3493" s="31" t="s">
        <v>13112</v>
      </c>
      <c r="K3493" s="31" t="s">
        <v>123</v>
      </c>
      <c r="L3493" s="31" t="s">
        <v>56</v>
      </c>
      <c r="M3493" s="31">
        <v>158</v>
      </c>
      <c r="N3493" s="31">
        <v>2014</v>
      </c>
      <c r="O3493" s="31">
        <v>78</v>
      </c>
      <c r="P3493" s="31"/>
      <c r="Q3493" s="31"/>
      <c r="R3493" s="33"/>
      <c r="S3493" s="34" t="str">
        <f>HYPERLINK("http://www.cnpol.ru/covers/15502.jpg","фото на сайте")</f>
        <v>фото на сайте</v>
      </c>
    </row>
    <row r="3494" spans="1:19" ht="50.1" customHeight="1">
      <c r="A3494" s="31" t="s">
        <v>35</v>
      </c>
      <c r="B3494" s="32" t="s">
        <v>13113</v>
      </c>
      <c r="C3494" s="31" t="s">
        <v>45</v>
      </c>
      <c r="D3494" s="31" t="s">
        <v>13114</v>
      </c>
      <c r="E3494" s="31" t="s">
        <v>13115</v>
      </c>
      <c r="F3494" s="31" t="s">
        <v>31</v>
      </c>
      <c r="G3494" s="35">
        <v>1437</v>
      </c>
      <c r="H3494" s="31">
        <v>10</v>
      </c>
      <c r="I3494" s="31">
        <v>5</v>
      </c>
      <c r="J3494" s="31" t="s">
        <v>13116</v>
      </c>
      <c r="K3494" s="31" t="s">
        <v>33</v>
      </c>
      <c r="L3494" s="31" t="s">
        <v>34</v>
      </c>
      <c r="M3494" s="31">
        <v>639</v>
      </c>
      <c r="N3494" s="31">
        <v>2025</v>
      </c>
      <c r="O3494" s="31">
        <v>632</v>
      </c>
      <c r="P3494" s="31"/>
      <c r="Q3494" s="31"/>
      <c r="R3494" s="33" t="s">
        <v>13117</v>
      </c>
      <c r="S3494" s="34" t="str">
        <f>HYPERLINK("http://www.cnpol.ru/covers/21768.jpg","фото на сайте")</f>
        <v>фото на сайте</v>
      </c>
    </row>
    <row r="3495" spans="1:19" ht="50.1" customHeight="1">
      <c r="A3495" s="31"/>
      <c r="B3495" s="32" t="s">
        <v>13118</v>
      </c>
      <c r="C3495" s="31" t="s">
        <v>1102</v>
      </c>
      <c r="D3495" s="31" t="s">
        <v>13119</v>
      </c>
      <c r="E3495" s="31" t="s">
        <v>13120</v>
      </c>
      <c r="F3495" s="31" t="s">
        <v>31</v>
      </c>
      <c r="G3495" s="31">
        <v>593</v>
      </c>
      <c r="H3495" s="31">
        <v>10</v>
      </c>
      <c r="I3495" s="31">
        <v>12</v>
      </c>
      <c r="J3495" s="31" t="s">
        <v>13121</v>
      </c>
      <c r="K3495" s="31" t="s">
        <v>33</v>
      </c>
      <c r="L3495" s="31" t="s">
        <v>34</v>
      </c>
      <c r="M3495" s="31">
        <v>347</v>
      </c>
      <c r="N3495" s="31">
        <v>2014</v>
      </c>
      <c r="O3495" s="31">
        <v>290</v>
      </c>
      <c r="P3495" s="31"/>
      <c r="Q3495" s="31"/>
      <c r="R3495" s="33"/>
      <c r="S3495" s="34" t="str">
        <f>HYPERLINK("http://www.cnpol.ru/covers/15160.jpg","фото на сайте")</f>
        <v>фото на сайте</v>
      </c>
    </row>
    <row r="3496" spans="1:19" ht="50.1" customHeight="1">
      <c r="A3496" s="31"/>
      <c r="B3496" s="32" t="s">
        <v>13122</v>
      </c>
      <c r="C3496" s="31" t="s">
        <v>1594</v>
      </c>
      <c r="D3496" s="31" t="s">
        <v>1908</v>
      </c>
      <c r="E3496" s="31" t="s">
        <v>13123</v>
      </c>
      <c r="F3496" s="31" t="s">
        <v>31</v>
      </c>
      <c r="G3496" s="31">
        <v>169</v>
      </c>
      <c r="H3496" s="31">
        <v>10</v>
      </c>
      <c r="I3496" s="31">
        <v>16</v>
      </c>
      <c r="J3496" s="31" t="s">
        <v>13124</v>
      </c>
      <c r="K3496" s="31" t="s">
        <v>55</v>
      </c>
      <c r="L3496" s="31" t="s">
        <v>56</v>
      </c>
      <c r="M3496" s="31">
        <v>285</v>
      </c>
      <c r="N3496" s="31">
        <v>2021</v>
      </c>
      <c r="O3496" s="31">
        <v>250</v>
      </c>
      <c r="P3496" s="31"/>
      <c r="Q3496" s="31"/>
      <c r="R3496" s="33"/>
      <c r="S3496" s="34" t="str">
        <f>HYPERLINK("http://www.cnpol.ru/covers/19965.jpg","фото на сайте")</f>
        <v>фото на сайте</v>
      </c>
    </row>
    <row r="3497" spans="1:19" ht="50.1" customHeight="1">
      <c r="A3497" s="31"/>
      <c r="B3497" s="32" t="s">
        <v>13125</v>
      </c>
      <c r="C3497" s="31" t="s">
        <v>390</v>
      </c>
      <c r="D3497" s="31" t="s">
        <v>961</v>
      </c>
      <c r="E3497" s="31" t="s">
        <v>13126</v>
      </c>
      <c r="F3497" s="31">
        <v>573</v>
      </c>
      <c r="G3497" s="31">
        <v>86</v>
      </c>
      <c r="H3497" s="31">
        <v>10</v>
      </c>
      <c r="I3497" s="31">
        <v>30</v>
      </c>
      <c r="J3497" s="31" t="s">
        <v>13127</v>
      </c>
      <c r="K3497" s="31" t="s">
        <v>123</v>
      </c>
      <c r="L3497" s="31" t="s">
        <v>56</v>
      </c>
      <c r="M3497" s="31">
        <v>158</v>
      </c>
      <c r="N3497" s="31">
        <v>2016</v>
      </c>
      <c r="O3497" s="31">
        <v>75</v>
      </c>
      <c r="P3497" s="31"/>
      <c r="Q3497" s="31"/>
      <c r="R3497" s="33"/>
      <c r="S3497" s="34" t="str">
        <f>HYPERLINK("http://www.cnpol.ru/covers/16400.jpg","фото на сайте")</f>
        <v>фото на сайте</v>
      </c>
    </row>
    <row r="3498" spans="1:19" ht="50.1" customHeight="1">
      <c r="A3498" s="31"/>
      <c r="B3498" s="32" t="s">
        <v>13128</v>
      </c>
      <c r="C3498" s="31" t="s">
        <v>11921</v>
      </c>
      <c r="D3498" s="31" t="s">
        <v>8085</v>
      </c>
      <c r="E3498" s="31" t="s">
        <v>13129</v>
      </c>
      <c r="F3498" s="31" t="s">
        <v>31</v>
      </c>
      <c r="G3498" s="31">
        <v>353</v>
      </c>
      <c r="H3498" s="31">
        <v>10</v>
      </c>
      <c r="I3498" s="31">
        <v>10</v>
      </c>
      <c r="J3498" s="31" t="s">
        <v>13130</v>
      </c>
      <c r="K3498" s="31" t="s">
        <v>33</v>
      </c>
      <c r="L3498" s="31" t="s">
        <v>34</v>
      </c>
      <c r="M3498" s="31">
        <v>500</v>
      </c>
      <c r="N3498" s="31">
        <v>2003</v>
      </c>
      <c r="O3498" s="31">
        <v>388</v>
      </c>
      <c r="P3498" s="31"/>
      <c r="Q3498" s="31"/>
      <c r="R3498" s="33"/>
      <c r="S3498" s="34" t="str">
        <f>HYPERLINK("http://www.cnpol.ru/covers/3765.jpg","фото на сайте")</f>
        <v>фото на сайте</v>
      </c>
    </row>
    <row r="3499" spans="1:19" ht="50.1" customHeight="1">
      <c r="A3499" s="31" t="s">
        <v>35</v>
      </c>
      <c r="B3499" s="32" t="s">
        <v>13131</v>
      </c>
      <c r="C3499" s="31" t="s">
        <v>4205</v>
      </c>
      <c r="D3499" s="31" t="s">
        <v>13132</v>
      </c>
      <c r="E3499" s="31" t="s">
        <v>13133</v>
      </c>
      <c r="F3499" s="31" t="s">
        <v>31</v>
      </c>
      <c r="G3499" s="31">
        <v>917</v>
      </c>
      <c r="H3499" s="31">
        <v>10</v>
      </c>
      <c r="I3499" s="31">
        <v>6</v>
      </c>
      <c r="J3499" s="31" t="s">
        <v>13134</v>
      </c>
      <c r="K3499" s="31" t="s">
        <v>33</v>
      </c>
      <c r="L3499" s="31" t="s">
        <v>34</v>
      </c>
      <c r="M3499" s="31">
        <v>319</v>
      </c>
      <c r="N3499" s="31">
        <v>2025</v>
      </c>
      <c r="O3499" s="31">
        <v>260</v>
      </c>
      <c r="P3499" s="31"/>
      <c r="Q3499" s="31"/>
      <c r="R3499" s="33" t="s">
        <v>13135</v>
      </c>
      <c r="S3499" s="34" t="str">
        <f>HYPERLINK("http://www.cnpol.ru/covers/21474.jpg","фото на сайте")</f>
        <v>фото на сайте</v>
      </c>
    </row>
    <row r="3500" spans="1:19" ht="50.1" customHeight="1">
      <c r="A3500" s="31"/>
      <c r="B3500" s="32" t="s">
        <v>13136</v>
      </c>
      <c r="C3500" s="31" t="s">
        <v>400</v>
      </c>
      <c r="D3500" s="31" t="s">
        <v>3022</v>
      </c>
      <c r="E3500" s="31" t="s">
        <v>13137</v>
      </c>
      <c r="F3500" s="31" t="s">
        <v>31</v>
      </c>
      <c r="G3500" s="31">
        <v>503</v>
      </c>
      <c r="H3500" s="31">
        <v>10</v>
      </c>
      <c r="I3500" s="31">
        <v>10</v>
      </c>
      <c r="J3500" s="31" t="s">
        <v>13138</v>
      </c>
      <c r="K3500" s="31" t="s">
        <v>33</v>
      </c>
      <c r="L3500" s="31" t="s">
        <v>34</v>
      </c>
      <c r="M3500" s="31">
        <v>352</v>
      </c>
      <c r="N3500" s="31">
        <v>2016</v>
      </c>
      <c r="O3500" s="31">
        <v>284</v>
      </c>
      <c r="P3500" s="31"/>
      <c r="Q3500" s="31"/>
      <c r="R3500" s="33"/>
      <c r="S3500" s="34" t="str">
        <f>HYPERLINK("http://www.cnpol.ru/covers/17034.jpg","фото на сайте")</f>
        <v>фото на сайте</v>
      </c>
    </row>
    <row r="3501" spans="1:19" ht="50.1" customHeight="1">
      <c r="A3501" s="31"/>
      <c r="B3501" s="32" t="s">
        <v>13139</v>
      </c>
      <c r="C3501" s="31" t="s">
        <v>1323</v>
      </c>
      <c r="D3501" s="31" t="s">
        <v>1835</v>
      </c>
      <c r="E3501" s="31" t="s">
        <v>13140</v>
      </c>
      <c r="F3501" s="31" t="s">
        <v>31</v>
      </c>
      <c r="G3501" s="31">
        <v>169</v>
      </c>
      <c r="H3501" s="31">
        <v>10</v>
      </c>
      <c r="I3501" s="31">
        <v>12</v>
      </c>
      <c r="J3501" s="31" t="s">
        <v>13141</v>
      </c>
      <c r="K3501" s="31" t="s">
        <v>55</v>
      </c>
      <c r="L3501" s="31" t="s">
        <v>56</v>
      </c>
      <c r="M3501" s="31">
        <v>288</v>
      </c>
      <c r="N3501" s="31">
        <v>2021</v>
      </c>
      <c r="O3501" s="31">
        <v>122</v>
      </c>
      <c r="P3501" s="31"/>
      <c r="Q3501" s="31"/>
      <c r="R3501" s="33"/>
      <c r="S3501" s="34" t="str">
        <f>HYPERLINK("http://www.cnpol.ru/covers/19552.jpg","фото на сайте")</f>
        <v>фото на сайте</v>
      </c>
    </row>
    <row r="3502" spans="1:19" ht="50.1" customHeight="1">
      <c r="A3502" s="31"/>
      <c r="B3502" s="32" t="s">
        <v>13142</v>
      </c>
      <c r="C3502" s="31" t="s">
        <v>400</v>
      </c>
      <c r="D3502" s="31" t="s">
        <v>13143</v>
      </c>
      <c r="E3502" s="31" t="s">
        <v>13144</v>
      </c>
      <c r="F3502" s="31" t="s">
        <v>31</v>
      </c>
      <c r="G3502" s="31">
        <v>503</v>
      </c>
      <c r="H3502" s="31">
        <v>10</v>
      </c>
      <c r="I3502" s="31">
        <v>14</v>
      </c>
      <c r="J3502" s="31" t="s">
        <v>13145</v>
      </c>
      <c r="K3502" s="31" t="s">
        <v>33</v>
      </c>
      <c r="L3502" s="31" t="s">
        <v>34</v>
      </c>
      <c r="M3502" s="31">
        <v>320</v>
      </c>
      <c r="N3502" s="31">
        <v>2019</v>
      </c>
      <c r="O3502" s="31">
        <v>274</v>
      </c>
      <c r="P3502" s="31"/>
      <c r="Q3502" s="31"/>
      <c r="R3502" s="33"/>
      <c r="S3502" s="34" t="str">
        <f>HYPERLINK("http://www.cnpol.ru/covers/18933.jpg","фото на сайте")</f>
        <v>фото на сайте</v>
      </c>
    </row>
    <row r="3503" spans="1:19" ht="50.1" customHeight="1">
      <c r="A3503" s="31"/>
      <c r="B3503" s="32" t="s">
        <v>13146</v>
      </c>
      <c r="C3503" s="31" t="s">
        <v>400</v>
      </c>
      <c r="D3503" s="31" t="s">
        <v>5829</v>
      </c>
      <c r="E3503" s="31" t="s">
        <v>13147</v>
      </c>
      <c r="F3503" s="31" t="s">
        <v>31</v>
      </c>
      <c r="G3503" s="31">
        <v>503</v>
      </c>
      <c r="H3503" s="31">
        <v>10</v>
      </c>
      <c r="I3503" s="31">
        <v>10</v>
      </c>
      <c r="J3503" s="31" t="s">
        <v>13148</v>
      </c>
      <c r="K3503" s="31" t="s">
        <v>33</v>
      </c>
      <c r="L3503" s="31" t="s">
        <v>34</v>
      </c>
      <c r="M3503" s="31">
        <v>288</v>
      </c>
      <c r="N3503" s="31">
        <v>2016</v>
      </c>
      <c r="O3503" s="31">
        <v>258</v>
      </c>
      <c r="P3503" s="31"/>
      <c r="Q3503" s="31"/>
      <c r="R3503" s="33"/>
      <c r="S3503" s="34" t="str">
        <f>HYPERLINK("http://www.cnpol.ru/covers/16650.jpg","фото на сайте")</f>
        <v>фото на сайте</v>
      </c>
    </row>
    <row r="3504" spans="1:19" ht="50.1" customHeight="1">
      <c r="A3504" s="31"/>
      <c r="B3504" s="32" t="s">
        <v>13149</v>
      </c>
      <c r="C3504" s="31" t="s">
        <v>297</v>
      </c>
      <c r="D3504" s="31" t="s">
        <v>13150</v>
      </c>
      <c r="E3504" s="31" t="s">
        <v>13151</v>
      </c>
      <c r="F3504" s="31" t="s">
        <v>31</v>
      </c>
      <c r="G3504" s="31">
        <v>300</v>
      </c>
      <c r="H3504" s="31">
        <v>10</v>
      </c>
      <c r="I3504" s="31">
        <v>20</v>
      </c>
      <c r="J3504" s="31" t="s">
        <v>13152</v>
      </c>
      <c r="K3504" s="31" t="s">
        <v>300</v>
      </c>
      <c r="L3504" s="31" t="s">
        <v>56</v>
      </c>
      <c r="M3504" s="31">
        <v>319</v>
      </c>
      <c r="N3504" s="31">
        <v>2022</v>
      </c>
      <c r="O3504" s="31">
        <v>270</v>
      </c>
      <c r="P3504" s="31"/>
      <c r="Q3504" s="31"/>
      <c r="R3504" s="33"/>
      <c r="S3504" s="34" t="str">
        <f>HYPERLINK("http://www.cnpol.ru/covers/20188.jpg","фото на сайте")</f>
        <v>фото на сайте</v>
      </c>
    </row>
    <row r="3505" spans="1:19" ht="50.1" customHeight="1">
      <c r="A3505" s="31"/>
      <c r="B3505" s="32" t="s">
        <v>13153</v>
      </c>
      <c r="C3505" s="31" t="s">
        <v>302</v>
      </c>
      <c r="D3505" s="31" t="s">
        <v>13150</v>
      </c>
      <c r="E3505" s="31" t="s">
        <v>13151</v>
      </c>
      <c r="F3505" s="31" t="s">
        <v>31</v>
      </c>
      <c r="G3505" s="31">
        <v>917</v>
      </c>
      <c r="H3505" s="31">
        <v>10</v>
      </c>
      <c r="I3505" s="31">
        <v>14</v>
      </c>
      <c r="J3505" s="31" t="s">
        <v>13154</v>
      </c>
      <c r="K3505" s="31" t="s">
        <v>41</v>
      </c>
      <c r="L3505" s="31" t="s">
        <v>304</v>
      </c>
      <c r="M3505" s="31">
        <v>320</v>
      </c>
      <c r="N3505" s="31">
        <v>2017</v>
      </c>
      <c r="O3505" s="31">
        <v>424</v>
      </c>
      <c r="P3505" s="31"/>
      <c r="Q3505" s="31"/>
      <c r="R3505" s="33"/>
      <c r="S3505" s="34" t="str">
        <f>HYPERLINK("http://www.cnpol.ru/covers/17838.jpg","фото на сайте")</f>
        <v>фото на сайте</v>
      </c>
    </row>
    <row r="3506" spans="1:19" ht="50.1" customHeight="1">
      <c r="A3506" s="31"/>
      <c r="B3506" s="32" t="s">
        <v>13155</v>
      </c>
      <c r="C3506" s="31" t="s">
        <v>543</v>
      </c>
      <c r="D3506" s="31" t="s">
        <v>539</v>
      </c>
      <c r="E3506" s="31" t="s">
        <v>13156</v>
      </c>
      <c r="F3506" s="31" t="s">
        <v>31</v>
      </c>
      <c r="G3506" s="31">
        <v>137</v>
      </c>
      <c r="H3506" s="31">
        <v>10</v>
      </c>
      <c r="I3506" s="31">
        <v>14</v>
      </c>
      <c r="J3506" s="31" t="s">
        <v>13157</v>
      </c>
      <c r="K3506" s="31" t="s">
        <v>123</v>
      </c>
      <c r="L3506" s="31" t="s">
        <v>56</v>
      </c>
      <c r="M3506" s="31">
        <v>413</v>
      </c>
      <c r="N3506" s="31">
        <v>2009</v>
      </c>
      <c r="O3506" s="31">
        <v>162</v>
      </c>
      <c r="P3506" s="31"/>
      <c r="Q3506" s="31"/>
      <c r="R3506" s="33"/>
      <c r="S3506" s="34" t="str">
        <f>HYPERLINK("http://www.cnpol.ru/covers/11326.jpg","фото на сайте")</f>
        <v>фото на сайте</v>
      </c>
    </row>
    <row r="3507" spans="1:19" ht="50.1" customHeight="1">
      <c r="A3507" s="31"/>
      <c r="B3507" s="32" t="s">
        <v>13158</v>
      </c>
      <c r="C3507" s="31" t="s">
        <v>543</v>
      </c>
      <c r="D3507" s="31" t="s">
        <v>539</v>
      </c>
      <c r="E3507" s="31" t="s">
        <v>13156</v>
      </c>
      <c r="F3507" s="31" t="s">
        <v>31</v>
      </c>
      <c r="G3507" s="31">
        <v>169</v>
      </c>
      <c r="H3507" s="31">
        <v>10</v>
      </c>
      <c r="I3507" s="31">
        <v>14</v>
      </c>
      <c r="J3507" s="31" t="s">
        <v>13159</v>
      </c>
      <c r="K3507" s="31" t="s">
        <v>123</v>
      </c>
      <c r="L3507" s="31" t="s">
        <v>56</v>
      </c>
      <c r="M3507" s="31">
        <v>413</v>
      </c>
      <c r="N3507" s="31">
        <v>2009</v>
      </c>
      <c r="O3507" s="31">
        <v>182</v>
      </c>
      <c r="P3507" s="31"/>
      <c r="Q3507" s="31"/>
      <c r="R3507" s="33"/>
      <c r="S3507" s="34" t="str">
        <f>HYPERLINK("http://www.cnpol.ru/covers/11613.jpg","фото на сайте")</f>
        <v>фото на сайте</v>
      </c>
    </row>
    <row r="3508" spans="1:19" ht="50.1" customHeight="1">
      <c r="A3508" s="31"/>
      <c r="B3508" s="32" t="s">
        <v>13160</v>
      </c>
      <c r="C3508" s="31" t="s">
        <v>5419</v>
      </c>
      <c r="D3508" s="31" t="s">
        <v>5420</v>
      </c>
      <c r="E3508" s="31" t="s">
        <v>13161</v>
      </c>
      <c r="F3508" s="31" t="s">
        <v>31</v>
      </c>
      <c r="G3508" s="31">
        <v>290</v>
      </c>
      <c r="H3508" s="31">
        <v>10</v>
      </c>
      <c r="I3508" s="31">
        <v>14</v>
      </c>
      <c r="J3508" s="31" t="s">
        <v>13162</v>
      </c>
      <c r="K3508" s="31" t="s">
        <v>130</v>
      </c>
      <c r="L3508" s="31" t="s">
        <v>56</v>
      </c>
      <c r="M3508" s="31">
        <v>384</v>
      </c>
      <c r="N3508" s="31">
        <v>2018</v>
      </c>
      <c r="O3508" s="31">
        <v>240</v>
      </c>
      <c r="P3508" s="31"/>
      <c r="Q3508" s="31"/>
      <c r="R3508" s="33"/>
      <c r="S3508" s="34" t="str">
        <f>HYPERLINK("http://www.cnpol.ru/covers/18089.jpg","фото на сайте")</f>
        <v>фото на сайте</v>
      </c>
    </row>
    <row r="3509" spans="1:19" ht="50.1" customHeight="1">
      <c r="A3509" s="31"/>
      <c r="B3509" s="32" t="s">
        <v>13163</v>
      </c>
      <c r="C3509" s="31" t="s">
        <v>818</v>
      </c>
      <c r="D3509" s="31" t="s">
        <v>819</v>
      </c>
      <c r="E3509" s="31" t="s">
        <v>13164</v>
      </c>
      <c r="F3509" s="31" t="s">
        <v>31</v>
      </c>
      <c r="G3509" s="31">
        <v>44</v>
      </c>
      <c r="H3509" s="31">
        <v>10</v>
      </c>
      <c r="I3509" s="31">
        <v>30</v>
      </c>
      <c r="J3509" s="31" t="s">
        <v>13165</v>
      </c>
      <c r="K3509" s="31" t="s">
        <v>130</v>
      </c>
      <c r="L3509" s="31" t="s">
        <v>56</v>
      </c>
      <c r="M3509" s="31" t="s">
        <v>431</v>
      </c>
      <c r="N3509" s="31" t="s">
        <v>431</v>
      </c>
      <c r="O3509" s="31">
        <v>116</v>
      </c>
      <c r="P3509" s="31"/>
      <c r="Q3509" s="31"/>
      <c r="R3509" s="33"/>
      <c r="S3509" s="34" t="str">
        <f>HYPERLINK("http://www.cnpol.ru/covers/3997.jpg","фото на сайте")</f>
        <v>фото на сайте</v>
      </c>
    </row>
    <row r="3510" spans="1:19" ht="50.1" customHeight="1">
      <c r="A3510" s="31"/>
      <c r="B3510" s="32" t="s">
        <v>13166</v>
      </c>
      <c r="C3510" s="31" t="s">
        <v>818</v>
      </c>
      <c r="D3510" s="31" t="s">
        <v>819</v>
      </c>
      <c r="E3510" s="31" t="s">
        <v>13164</v>
      </c>
      <c r="F3510" s="31" t="s">
        <v>31</v>
      </c>
      <c r="G3510" s="31">
        <v>63</v>
      </c>
      <c r="H3510" s="31">
        <v>10</v>
      </c>
      <c r="I3510" s="31">
        <v>30</v>
      </c>
      <c r="J3510" s="31" t="s">
        <v>13165</v>
      </c>
      <c r="K3510" s="31" t="s">
        <v>130</v>
      </c>
      <c r="L3510" s="31" t="s">
        <v>56</v>
      </c>
      <c r="M3510" s="31">
        <v>187</v>
      </c>
      <c r="N3510" s="31">
        <v>2005</v>
      </c>
      <c r="O3510" s="31">
        <v>120</v>
      </c>
      <c r="P3510" s="31"/>
      <c r="Q3510" s="31"/>
      <c r="R3510" s="33"/>
      <c r="S3510" s="34" t="str">
        <f>HYPERLINK("http://www.cnpol.ru/covers/5656.jpg","фото на сайте")</f>
        <v>фото на сайте</v>
      </c>
    </row>
    <row r="3511" spans="1:19" ht="50.1" customHeight="1">
      <c r="A3511" s="31"/>
      <c r="B3511" s="32" t="s">
        <v>13167</v>
      </c>
      <c r="C3511" s="31" t="s">
        <v>390</v>
      </c>
      <c r="D3511" s="31" t="s">
        <v>10576</v>
      </c>
      <c r="E3511" s="31" t="s">
        <v>13168</v>
      </c>
      <c r="F3511" s="31">
        <v>366</v>
      </c>
      <c r="G3511" s="31">
        <v>86</v>
      </c>
      <c r="H3511" s="31">
        <v>10</v>
      </c>
      <c r="I3511" s="31">
        <v>30</v>
      </c>
      <c r="J3511" s="31" t="s">
        <v>13169</v>
      </c>
      <c r="K3511" s="31" t="s">
        <v>300</v>
      </c>
      <c r="L3511" s="31" t="s">
        <v>56</v>
      </c>
      <c r="M3511" s="31">
        <v>158</v>
      </c>
      <c r="N3511" s="31">
        <v>2013</v>
      </c>
      <c r="O3511" s="31">
        <v>76</v>
      </c>
      <c r="P3511" s="31"/>
      <c r="Q3511" s="31"/>
      <c r="R3511" s="33"/>
      <c r="S3511" s="34" t="str">
        <f>HYPERLINK("http://www.cnpol.ru/covers/14701.jpg","фото на сайте")</f>
        <v>фото на сайте</v>
      </c>
    </row>
    <row r="3512" spans="1:19" ht="50.1" customHeight="1">
      <c r="A3512" s="31"/>
      <c r="B3512" s="32" t="s">
        <v>13170</v>
      </c>
      <c r="C3512" s="31" t="s">
        <v>390</v>
      </c>
      <c r="D3512" s="31" t="s">
        <v>1713</v>
      </c>
      <c r="E3512" s="31" t="s">
        <v>13171</v>
      </c>
      <c r="F3512" s="31">
        <v>719</v>
      </c>
      <c r="G3512" s="31">
        <v>86</v>
      </c>
      <c r="H3512" s="31">
        <v>10</v>
      </c>
      <c r="I3512" s="31">
        <v>30</v>
      </c>
      <c r="J3512" s="31" t="s">
        <v>13172</v>
      </c>
      <c r="K3512" s="31" t="s">
        <v>123</v>
      </c>
      <c r="L3512" s="31" t="s">
        <v>56</v>
      </c>
      <c r="M3512" s="31">
        <v>160</v>
      </c>
      <c r="N3512" s="31">
        <v>2017</v>
      </c>
      <c r="O3512" s="31">
        <v>76</v>
      </c>
      <c r="P3512" s="31"/>
      <c r="Q3512" s="31"/>
      <c r="R3512" s="33"/>
      <c r="S3512" s="34" t="str">
        <f>HYPERLINK("http://www.cnpol.ru/covers/17476.jpg","фото на сайте")</f>
        <v>фото на сайте</v>
      </c>
    </row>
    <row r="3513" spans="1:19" ht="50.1" customHeight="1">
      <c r="A3513" s="31"/>
      <c r="B3513" s="32" t="s">
        <v>13173</v>
      </c>
      <c r="C3513" s="31" t="s">
        <v>390</v>
      </c>
      <c r="D3513" s="31" t="s">
        <v>2253</v>
      </c>
      <c r="E3513" s="31" t="s">
        <v>13174</v>
      </c>
      <c r="F3513" s="31">
        <v>898</v>
      </c>
      <c r="G3513" s="31">
        <v>86</v>
      </c>
      <c r="H3513" s="31">
        <v>10</v>
      </c>
      <c r="I3513" s="31">
        <v>30</v>
      </c>
      <c r="J3513" s="31" t="s">
        <v>13175</v>
      </c>
      <c r="K3513" s="31" t="s">
        <v>123</v>
      </c>
      <c r="L3513" s="31" t="s">
        <v>56</v>
      </c>
      <c r="M3513" s="31">
        <v>160</v>
      </c>
      <c r="N3513" s="31">
        <v>2019</v>
      </c>
      <c r="O3513" s="31">
        <v>78</v>
      </c>
      <c r="P3513" s="31"/>
      <c r="Q3513" s="31"/>
      <c r="R3513" s="33"/>
      <c r="S3513" s="34" t="str">
        <f>HYPERLINK("http://www.cnpol.ru/covers/18693.jpg","фото на сайте")</f>
        <v>фото на сайте</v>
      </c>
    </row>
    <row r="3514" spans="1:19" ht="50.1" customHeight="1">
      <c r="A3514" s="31"/>
      <c r="B3514" s="32" t="s">
        <v>13176</v>
      </c>
      <c r="C3514" s="31" t="s">
        <v>546</v>
      </c>
      <c r="D3514" s="31" t="s">
        <v>1681</v>
      </c>
      <c r="E3514" s="31" t="s">
        <v>13177</v>
      </c>
      <c r="F3514" s="31">
        <v>376</v>
      </c>
      <c r="G3514" s="31">
        <v>93</v>
      </c>
      <c r="H3514" s="31">
        <v>10</v>
      </c>
      <c r="I3514" s="31">
        <v>30</v>
      </c>
      <c r="J3514" s="31" t="s">
        <v>13178</v>
      </c>
      <c r="K3514" s="31" t="s">
        <v>123</v>
      </c>
      <c r="L3514" s="31" t="s">
        <v>56</v>
      </c>
      <c r="M3514" s="31">
        <v>160</v>
      </c>
      <c r="N3514" s="31">
        <v>2021</v>
      </c>
      <c r="O3514" s="31">
        <v>76</v>
      </c>
      <c r="P3514" s="31"/>
      <c r="Q3514" s="31"/>
      <c r="R3514" s="33"/>
      <c r="S3514" s="34" t="str">
        <f>HYPERLINK("http://www.cnpol.ru/covers/19671.jpg","фото на сайте")</f>
        <v>фото на сайте</v>
      </c>
    </row>
    <row r="3515" spans="1:19" ht="50.1" customHeight="1">
      <c r="A3515" s="31"/>
      <c r="B3515" s="32" t="s">
        <v>13179</v>
      </c>
      <c r="C3515" s="31" t="s">
        <v>390</v>
      </c>
      <c r="D3515" s="31" t="s">
        <v>2177</v>
      </c>
      <c r="E3515" s="31" t="s">
        <v>13180</v>
      </c>
      <c r="F3515" s="31">
        <v>816</v>
      </c>
      <c r="G3515" s="31">
        <v>86</v>
      </c>
      <c r="H3515" s="31">
        <v>10</v>
      </c>
      <c r="I3515" s="31">
        <v>30</v>
      </c>
      <c r="J3515" s="31" t="s">
        <v>13181</v>
      </c>
      <c r="K3515" s="31" t="s">
        <v>123</v>
      </c>
      <c r="L3515" s="31" t="s">
        <v>56</v>
      </c>
      <c r="M3515" s="31">
        <v>160</v>
      </c>
      <c r="N3515" s="31">
        <v>2018</v>
      </c>
      <c r="O3515" s="31">
        <v>76</v>
      </c>
      <c r="P3515" s="31"/>
      <c r="Q3515" s="31"/>
      <c r="R3515" s="33"/>
      <c r="S3515" s="34" t="str">
        <f>HYPERLINK("http://www.cnpol.ru/covers/18194.jpg","фото на сайте")</f>
        <v>фото на сайте</v>
      </c>
    </row>
    <row r="3516" spans="1:19" ht="50.1" customHeight="1">
      <c r="A3516" s="31"/>
      <c r="B3516" s="32" t="s">
        <v>13182</v>
      </c>
      <c r="C3516" s="31" t="s">
        <v>390</v>
      </c>
      <c r="D3516" s="31" t="s">
        <v>1427</v>
      </c>
      <c r="E3516" s="31" t="s">
        <v>13183</v>
      </c>
      <c r="F3516" s="31">
        <v>1039</v>
      </c>
      <c r="G3516" s="31">
        <v>86</v>
      </c>
      <c r="H3516" s="31">
        <v>10</v>
      </c>
      <c r="I3516" s="31">
        <v>30</v>
      </c>
      <c r="J3516" s="31" t="s">
        <v>13184</v>
      </c>
      <c r="K3516" s="31" t="s">
        <v>123</v>
      </c>
      <c r="L3516" s="31" t="s">
        <v>56</v>
      </c>
      <c r="M3516" s="31">
        <v>160</v>
      </c>
      <c r="N3516" s="31">
        <v>2021</v>
      </c>
      <c r="O3516" s="31">
        <v>76</v>
      </c>
      <c r="P3516" s="31"/>
      <c r="Q3516" s="31"/>
      <c r="R3516" s="33"/>
      <c r="S3516" s="34" t="str">
        <f>HYPERLINK("http://www.cnpol.ru/covers/19695.jpg","фото на сайте")</f>
        <v>фото на сайте</v>
      </c>
    </row>
    <row r="3517" spans="1:19" ht="50.1" customHeight="1">
      <c r="A3517" s="31"/>
      <c r="B3517" s="32" t="s">
        <v>13185</v>
      </c>
      <c r="C3517" s="31" t="s">
        <v>390</v>
      </c>
      <c r="D3517" s="31" t="s">
        <v>989</v>
      </c>
      <c r="E3517" s="31" t="s">
        <v>13186</v>
      </c>
      <c r="F3517" s="31">
        <v>742</v>
      </c>
      <c r="G3517" s="31">
        <v>86</v>
      </c>
      <c r="H3517" s="31">
        <v>10</v>
      </c>
      <c r="I3517" s="31">
        <v>30</v>
      </c>
      <c r="J3517" s="31" t="s">
        <v>13187</v>
      </c>
      <c r="K3517" s="31" t="s">
        <v>123</v>
      </c>
      <c r="L3517" s="31" t="s">
        <v>56</v>
      </c>
      <c r="M3517" s="31">
        <v>160</v>
      </c>
      <c r="N3517" s="31">
        <v>2017</v>
      </c>
      <c r="O3517" s="31">
        <v>76</v>
      </c>
      <c r="P3517" s="31"/>
      <c r="Q3517" s="31"/>
      <c r="R3517" s="33"/>
      <c r="S3517" s="34" t="str">
        <f>HYPERLINK("http://www.cnpol.ru/covers/17640.jpg","фото на сайте")</f>
        <v>фото на сайте</v>
      </c>
    </row>
    <row r="3518" spans="1:19" ht="50.1" customHeight="1">
      <c r="A3518" s="31" t="s">
        <v>43</v>
      </c>
      <c r="B3518" s="32" t="s">
        <v>13188</v>
      </c>
      <c r="C3518" s="31" t="s">
        <v>1818</v>
      </c>
      <c r="D3518" s="31" t="s">
        <v>13189</v>
      </c>
      <c r="E3518" s="31" t="s">
        <v>13190</v>
      </c>
      <c r="F3518" s="31" t="s">
        <v>31</v>
      </c>
      <c r="G3518" s="31">
        <v>293</v>
      </c>
      <c r="H3518" s="31">
        <v>10</v>
      </c>
      <c r="I3518" s="31">
        <v>6</v>
      </c>
      <c r="J3518" s="31" t="s">
        <v>13191</v>
      </c>
      <c r="K3518" s="31" t="s">
        <v>130</v>
      </c>
      <c r="L3518" s="31" t="s">
        <v>56</v>
      </c>
      <c r="M3518" s="31">
        <v>414</v>
      </c>
      <c r="N3518" s="31">
        <v>2024</v>
      </c>
      <c r="O3518" s="31">
        <v>125</v>
      </c>
      <c r="P3518" s="31"/>
      <c r="Q3518" s="31"/>
      <c r="R3518" s="33" t="s">
        <v>13192</v>
      </c>
      <c r="S3518" s="34" t="str">
        <f>HYPERLINK("http://www.cnpol.ru/covers/21350.jpg","фото на сайте")</f>
        <v>фото на сайте</v>
      </c>
    </row>
    <row r="3519" spans="1:19" ht="50.1" customHeight="1">
      <c r="A3519" s="31"/>
      <c r="B3519" s="32" t="s">
        <v>13193</v>
      </c>
      <c r="C3519" s="31" t="s">
        <v>13194</v>
      </c>
      <c r="D3519" s="31" t="s">
        <v>13195</v>
      </c>
      <c r="E3519" s="31" t="s">
        <v>13196</v>
      </c>
      <c r="F3519" s="31" t="s">
        <v>31</v>
      </c>
      <c r="G3519" s="31">
        <v>105</v>
      </c>
      <c r="H3519" s="31">
        <v>10</v>
      </c>
      <c r="I3519" s="31">
        <v>32</v>
      </c>
      <c r="J3519" s="31" t="s">
        <v>13197</v>
      </c>
      <c r="K3519" s="31" t="s">
        <v>130</v>
      </c>
      <c r="L3519" s="31" t="s">
        <v>56</v>
      </c>
      <c r="M3519" s="31">
        <v>190</v>
      </c>
      <c r="N3519" s="31">
        <v>2002</v>
      </c>
      <c r="O3519" s="31">
        <v>116</v>
      </c>
      <c r="P3519" s="31"/>
      <c r="Q3519" s="31"/>
      <c r="R3519" s="33"/>
      <c r="S3519" s="34" t="str">
        <f>HYPERLINK("http://www.cnpol.ru/covers/3588.jpg","фото на сайте")</f>
        <v>фото на сайте</v>
      </c>
    </row>
    <row r="3520" spans="1:19" ht="50.1" customHeight="1">
      <c r="A3520" s="31"/>
      <c r="B3520" s="32" t="s">
        <v>13198</v>
      </c>
      <c r="C3520" s="31" t="s">
        <v>13194</v>
      </c>
      <c r="D3520" s="31" t="s">
        <v>13195</v>
      </c>
      <c r="E3520" s="31" t="s">
        <v>13199</v>
      </c>
      <c r="F3520" s="31" t="s">
        <v>31</v>
      </c>
      <c r="G3520" s="31">
        <v>105</v>
      </c>
      <c r="H3520" s="31">
        <v>10</v>
      </c>
      <c r="I3520" s="31">
        <v>34</v>
      </c>
      <c r="J3520" s="31" t="s">
        <v>13200</v>
      </c>
      <c r="K3520" s="31" t="s">
        <v>130</v>
      </c>
      <c r="L3520" s="31" t="s">
        <v>56</v>
      </c>
      <c r="M3520" s="31">
        <v>204</v>
      </c>
      <c r="N3520" s="31">
        <v>2002</v>
      </c>
      <c r="O3520" s="31">
        <v>122</v>
      </c>
      <c r="P3520" s="31"/>
      <c r="Q3520" s="31"/>
      <c r="R3520" s="33"/>
      <c r="S3520" s="34" t="str">
        <f>HYPERLINK("http://www.cnpol.ru/covers/3579.jpg","фото на сайте")</f>
        <v>фото на сайте</v>
      </c>
    </row>
    <row r="3521" spans="1:19" ht="50.1" customHeight="1">
      <c r="A3521" s="31"/>
      <c r="B3521" s="32" t="s">
        <v>13201</v>
      </c>
      <c r="C3521" s="31" t="s">
        <v>6615</v>
      </c>
      <c r="D3521" s="31" t="s">
        <v>13202</v>
      </c>
      <c r="E3521" s="31" t="s">
        <v>13203</v>
      </c>
      <c r="F3521" s="31" t="s">
        <v>31</v>
      </c>
      <c r="G3521" s="31">
        <v>128</v>
      </c>
      <c r="H3521" s="31">
        <v>10</v>
      </c>
      <c r="I3521" s="31">
        <v>30</v>
      </c>
      <c r="J3521" s="31" t="s">
        <v>13204</v>
      </c>
      <c r="K3521" s="31" t="s">
        <v>1938</v>
      </c>
      <c r="L3521" s="31" t="s">
        <v>56</v>
      </c>
      <c r="M3521" s="31">
        <v>192</v>
      </c>
      <c r="N3521" s="31">
        <v>2009</v>
      </c>
      <c r="O3521" s="31">
        <v>126</v>
      </c>
      <c r="P3521" s="31"/>
      <c r="Q3521" s="31"/>
      <c r="R3521" s="33"/>
      <c r="S3521" s="34" t="str">
        <f>HYPERLINK("http://www.cnpol.ru/covers/11162.jpg","фото на сайте")</f>
        <v>фото на сайте</v>
      </c>
    </row>
    <row r="3522" spans="1:19" ht="50.1" customHeight="1">
      <c r="A3522" s="31"/>
      <c r="B3522" s="32" t="s">
        <v>13205</v>
      </c>
      <c r="C3522" s="31" t="s">
        <v>390</v>
      </c>
      <c r="D3522" s="31" t="s">
        <v>8525</v>
      </c>
      <c r="E3522" s="31" t="s">
        <v>13206</v>
      </c>
      <c r="F3522" s="31">
        <v>971</v>
      </c>
      <c r="G3522" s="31">
        <v>86</v>
      </c>
      <c r="H3522" s="31">
        <v>10</v>
      </c>
      <c r="I3522" s="31">
        <v>30</v>
      </c>
      <c r="J3522" s="31" t="s">
        <v>13207</v>
      </c>
      <c r="K3522" s="31" t="s">
        <v>123</v>
      </c>
      <c r="L3522" s="31" t="s">
        <v>56</v>
      </c>
      <c r="M3522" s="31">
        <v>160</v>
      </c>
      <c r="N3522" s="31">
        <v>2020</v>
      </c>
      <c r="O3522" s="31">
        <v>76</v>
      </c>
      <c r="P3522" s="31"/>
      <c r="Q3522" s="31"/>
      <c r="R3522" s="33"/>
      <c r="S3522" s="34" t="str">
        <f>HYPERLINK("http://www.cnpol.ru/covers/19120.jpg","фото на сайте")</f>
        <v>фото на сайте</v>
      </c>
    </row>
    <row r="3523" spans="1:19" ht="50.1" customHeight="1">
      <c r="A3523" s="31"/>
      <c r="B3523" s="32" t="s">
        <v>13208</v>
      </c>
      <c r="C3523" s="31" t="s">
        <v>400</v>
      </c>
      <c r="D3523" s="31" t="s">
        <v>1369</v>
      </c>
      <c r="E3523" s="31" t="s">
        <v>13209</v>
      </c>
      <c r="F3523" s="31" t="s">
        <v>31</v>
      </c>
      <c r="G3523" s="31">
        <v>503</v>
      </c>
      <c r="H3523" s="31">
        <v>10</v>
      </c>
      <c r="I3523" s="31">
        <v>14</v>
      </c>
      <c r="J3523" s="31" t="s">
        <v>13210</v>
      </c>
      <c r="K3523" s="31" t="s">
        <v>33</v>
      </c>
      <c r="L3523" s="31" t="s">
        <v>34</v>
      </c>
      <c r="M3523" s="31">
        <v>317</v>
      </c>
      <c r="N3523" s="31">
        <v>2013</v>
      </c>
      <c r="O3523" s="31">
        <v>274</v>
      </c>
      <c r="P3523" s="31"/>
      <c r="Q3523" s="31"/>
      <c r="R3523" s="33"/>
      <c r="S3523" s="34" t="str">
        <f>HYPERLINK("http://www.cnpol.ru/covers/14552.jpg","фото на сайте")</f>
        <v>фото на сайте</v>
      </c>
    </row>
    <row r="3524" spans="1:19" ht="50.1" customHeight="1">
      <c r="A3524" s="31"/>
      <c r="B3524" s="32" t="s">
        <v>13211</v>
      </c>
      <c r="C3524" s="31" t="s">
        <v>4411</v>
      </c>
      <c r="D3524" s="31" t="s">
        <v>3754</v>
      </c>
      <c r="E3524" s="31" t="s">
        <v>13212</v>
      </c>
      <c r="F3524" s="31" t="s">
        <v>31</v>
      </c>
      <c r="G3524" s="31">
        <v>288</v>
      </c>
      <c r="H3524" s="31">
        <v>10</v>
      </c>
      <c r="I3524" s="31">
        <v>20</v>
      </c>
      <c r="J3524" s="31" t="s">
        <v>13213</v>
      </c>
      <c r="K3524" s="31" t="s">
        <v>123</v>
      </c>
      <c r="L3524" s="31" t="s">
        <v>56</v>
      </c>
      <c r="M3524" s="31">
        <v>346</v>
      </c>
      <c r="N3524" s="31">
        <v>2023</v>
      </c>
      <c r="O3524" s="31">
        <v>340</v>
      </c>
      <c r="P3524" s="31"/>
      <c r="Q3524" s="31"/>
      <c r="R3524" s="33" t="s">
        <v>13214</v>
      </c>
      <c r="S3524" s="34" t="str">
        <f>HYPERLINK("http://www.cnpol.ru/covers/20718.jpg","фото на сайте")</f>
        <v>фото на сайте</v>
      </c>
    </row>
    <row r="3525" spans="1:19" ht="50.1" customHeight="1">
      <c r="A3525" s="31"/>
      <c r="B3525" s="32" t="s">
        <v>13215</v>
      </c>
      <c r="C3525" s="31" t="s">
        <v>413</v>
      </c>
      <c r="D3525" s="31" t="s">
        <v>5994</v>
      </c>
      <c r="E3525" s="31" t="s">
        <v>13216</v>
      </c>
      <c r="F3525" s="31">
        <v>143</v>
      </c>
      <c r="G3525" s="31">
        <v>117</v>
      </c>
      <c r="H3525" s="31">
        <v>10</v>
      </c>
      <c r="I3525" s="31">
        <v>36</v>
      </c>
      <c r="J3525" s="31" t="s">
        <v>13217</v>
      </c>
      <c r="K3525" s="31" t="s">
        <v>123</v>
      </c>
      <c r="L3525" s="31" t="s">
        <v>56</v>
      </c>
      <c r="M3525" s="31">
        <v>192</v>
      </c>
      <c r="N3525" s="31">
        <v>2017</v>
      </c>
      <c r="O3525" s="31">
        <v>90</v>
      </c>
      <c r="P3525" s="31"/>
      <c r="Q3525" s="31"/>
      <c r="R3525" s="33"/>
      <c r="S3525" s="34" t="str">
        <f>HYPERLINK("http://www.cnpol.ru/covers/17495.jpg","фото на сайте")</f>
        <v>фото на сайте</v>
      </c>
    </row>
    <row r="3526" spans="1:19" ht="50.1" customHeight="1">
      <c r="A3526" s="31"/>
      <c r="B3526" s="32" t="s">
        <v>13218</v>
      </c>
      <c r="C3526" s="31" t="s">
        <v>1390</v>
      </c>
      <c r="D3526" s="31" t="s">
        <v>13219</v>
      </c>
      <c r="E3526" s="31" t="s">
        <v>13220</v>
      </c>
      <c r="F3526" s="31" t="s">
        <v>31</v>
      </c>
      <c r="G3526" s="31">
        <v>675</v>
      </c>
      <c r="H3526" s="31">
        <v>10</v>
      </c>
      <c r="I3526" s="31">
        <v>12</v>
      </c>
      <c r="J3526" s="31" t="s">
        <v>13221</v>
      </c>
      <c r="K3526" s="31" t="s">
        <v>41</v>
      </c>
      <c r="L3526" s="31" t="s">
        <v>34</v>
      </c>
      <c r="M3526" s="31">
        <v>480</v>
      </c>
      <c r="N3526" s="31">
        <v>2018</v>
      </c>
      <c r="O3526" s="31">
        <v>512</v>
      </c>
      <c r="P3526" s="31"/>
      <c r="Q3526" s="31"/>
      <c r="R3526" s="33"/>
      <c r="S3526" s="34" t="str">
        <f>HYPERLINK("http://www.cnpol.ru/covers/18043.jpg","фото на сайте")</f>
        <v>фото на сайте</v>
      </c>
    </row>
    <row r="3527" spans="1:19" ht="50.1" customHeight="1">
      <c r="A3527" s="31"/>
      <c r="B3527" s="32" t="s">
        <v>13222</v>
      </c>
      <c r="C3527" s="31" t="s">
        <v>528</v>
      </c>
      <c r="D3527" s="31" t="s">
        <v>529</v>
      </c>
      <c r="E3527" s="31" t="s">
        <v>13223</v>
      </c>
      <c r="F3527" s="31" t="s">
        <v>31</v>
      </c>
      <c r="G3527" s="31">
        <v>137</v>
      </c>
      <c r="H3527" s="31">
        <v>10</v>
      </c>
      <c r="I3527" s="31">
        <v>40</v>
      </c>
      <c r="J3527" s="31" t="s">
        <v>13224</v>
      </c>
      <c r="K3527" s="31" t="s">
        <v>55</v>
      </c>
      <c r="L3527" s="31" t="s">
        <v>56</v>
      </c>
      <c r="M3527" s="31">
        <v>160</v>
      </c>
      <c r="N3527" s="31">
        <v>2019</v>
      </c>
      <c r="O3527" s="31">
        <v>68</v>
      </c>
      <c r="P3527" s="31"/>
      <c r="Q3527" s="31"/>
      <c r="R3527" s="33"/>
      <c r="S3527" s="34" t="str">
        <f>HYPERLINK("http://www.cnpol.ru/covers/18807.jpg","фото на сайте")</f>
        <v>фото на сайте</v>
      </c>
    </row>
    <row r="3528" spans="1:19" ht="50.1" customHeight="1">
      <c r="A3528" s="31"/>
      <c r="B3528" s="32" t="s">
        <v>13225</v>
      </c>
      <c r="C3528" s="31" t="s">
        <v>390</v>
      </c>
      <c r="D3528" s="31" t="s">
        <v>1461</v>
      </c>
      <c r="E3528" s="31" t="s">
        <v>13226</v>
      </c>
      <c r="F3528" s="31">
        <v>697</v>
      </c>
      <c r="G3528" s="31">
        <v>86</v>
      </c>
      <c r="H3528" s="31">
        <v>10</v>
      </c>
      <c r="I3528" s="31">
        <v>30</v>
      </c>
      <c r="J3528" s="31" t="s">
        <v>13227</v>
      </c>
      <c r="K3528" s="31" t="s">
        <v>123</v>
      </c>
      <c r="L3528" s="31" t="s">
        <v>56</v>
      </c>
      <c r="M3528" s="31">
        <v>160</v>
      </c>
      <c r="N3528" s="31">
        <v>2017</v>
      </c>
      <c r="O3528" s="31">
        <v>76</v>
      </c>
      <c r="P3528" s="31"/>
      <c r="Q3528" s="31"/>
      <c r="R3528" s="33"/>
      <c r="S3528" s="34" t="str">
        <f>HYPERLINK("http://www.cnpol.ru/covers/17332.jpg","фото на сайте")</f>
        <v>фото на сайте</v>
      </c>
    </row>
    <row r="3529" spans="1:19" ht="50.1" customHeight="1">
      <c r="A3529" s="31"/>
      <c r="B3529" s="32" t="s">
        <v>13228</v>
      </c>
      <c r="C3529" s="31" t="s">
        <v>390</v>
      </c>
      <c r="D3529" s="31" t="s">
        <v>1599</v>
      </c>
      <c r="E3529" s="31" t="s">
        <v>13229</v>
      </c>
      <c r="F3529" s="31">
        <v>840</v>
      </c>
      <c r="G3529" s="31">
        <v>86</v>
      </c>
      <c r="H3529" s="31">
        <v>10</v>
      </c>
      <c r="I3529" s="31">
        <v>30</v>
      </c>
      <c r="J3529" s="31" t="s">
        <v>13230</v>
      </c>
      <c r="K3529" s="31" t="s">
        <v>123</v>
      </c>
      <c r="L3529" s="31" t="s">
        <v>56</v>
      </c>
      <c r="M3529" s="31">
        <v>160</v>
      </c>
      <c r="N3529" s="31">
        <v>2018</v>
      </c>
      <c r="O3529" s="31">
        <v>76</v>
      </c>
      <c r="P3529" s="31"/>
      <c r="Q3529" s="31"/>
      <c r="R3529" s="33"/>
      <c r="S3529" s="34" t="str">
        <f>HYPERLINK("http://www.cnpol.ru/covers/18332.jpg","фото на сайте")</f>
        <v>фото на сайте</v>
      </c>
    </row>
    <row r="3530" spans="1:19" ht="50.1" customHeight="1">
      <c r="A3530" s="31"/>
      <c r="B3530" s="32" t="s">
        <v>13231</v>
      </c>
      <c r="C3530" s="31" t="s">
        <v>546</v>
      </c>
      <c r="D3530" s="31" t="s">
        <v>1356</v>
      </c>
      <c r="E3530" s="31" t="s">
        <v>13232</v>
      </c>
      <c r="F3530" s="31">
        <v>162</v>
      </c>
      <c r="G3530" s="31">
        <v>93</v>
      </c>
      <c r="H3530" s="31">
        <v>10</v>
      </c>
      <c r="I3530" s="31">
        <v>30</v>
      </c>
      <c r="J3530" s="31" t="s">
        <v>13233</v>
      </c>
      <c r="K3530" s="31" t="s">
        <v>123</v>
      </c>
      <c r="L3530" s="31" t="s">
        <v>56</v>
      </c>
      <c r="M3530" s="31">
        <v>160</v>
      </c>
      <c r="N3530" s="31">
        <v>2016</v>
      </c>
      <c r="O3530" s="31">
        <v>76</v>
      </c>
      <c r="P3530" s="31"/>
      <c r="Q3530" s="31"/>
      <c r="R3530" s="33"/>
      <c r="S3530" s="34" t="str">
        <f>HYPERLINK("http://www.cnpol.ru/covers/16643.jpg","фото на сайте")</f>
        <v>фото на сайте</v>
      </c>
    </row>
    <row r="3531" spans="1:19" ht="50.1" customHeight="1">
      <c r="A3531" s="31"/>
      <c r="B3531" s="32" t="s">
        <v>13234</v>
      </c>
      <c r="C3531" s="31" t="s">
        <v>1940</v>
      </c>
      <c r="D3531" s="31" t="s">
        <v>949</v>
      </c>
      <c r="E3531" s="31" t="s">
        <v>13235</v>
      </c>
      <c r="F3531" s="31" t="s">
        <v>31</v>
      </c>
      <c r="G3531" s="31">
        <v>154</v>
      </c>
      <c r="H3531" s="31">
        <v>10</v>
      </c>
      <c r="I3531" s="31">
        <v>20</v>
      </c>
      <c r="J3531" s="31" t="s">
        <v>13236</v>
      </c>
      <c r="K3531" s="31" t="s">
        <v>55</v>
      </c>
      <c r="L3531" s="31" t="s">
        <v>56</v>
      </c>
      <c r="M3531" s="31">
        <v>319</v>
      </c>
      <c r="N3531" s="31">
        <v>2008</v>
      </c>
      <c r="O3531" s="31">
        <v>126</v>
      </c>
      <c r="P3531" s="31"/>
      <c r="Q3531" s="31"/>
      <c r="R3531" s="33"/>
      <c r="S3531" s="34" t="str">
        <f>HYPERLINK("http://www.cnpol.ru/covers/10794.jpg","фото на сайте")</f>
        <v>фото на сайте</v>
      </c>
    </row>
    <row r="3532" spans="1:19" ht="50.1" customHeight="1">
      <c r="A3532" s="31"/>
      <c r="B3532" s="32" t="s">
        <v>13237</v>
      </c>
      <c r="C3532" s="31" t="s">
        <v>400</v>
      </c>
      <c r="D3532" s="31" t="s">
        <v>13238</v>
      </c>
      <c r="E3532" s="31" t="s">
        <v>13239</v>
      </c>
      <c r="F3532" s="31" t="s">
        <v>31</v>
      </c>
      <c r="G3532" s="31">
        <v>503</v>
      </c>
      <c r="H3532" s="31">
        <v>10</v>
      </c>
      <c r="I3532" s="31">
        <v>14</v>
      </c>
      <c r="J3532" s="31" t="s">
        <v>13240</v>
      </c>
      <c r="K3532" s="31" t="s">
        <v>33</v>
      </c>
      <c r="L3532" s="31" t="s">
        <v>34</v>
      </c>
      <c r="M3532" s="31">
        <v>288</v>
      </c>
      <c r="N3532" s="31">
        <v>2020</v>
      </c>
      <c r="O3532" s="31">
        <v>260</v>
      </c>
      <c r="P3532" s="31"/>
      <c r="Q3532" s="31"/>
      <c r="R3532" s="33"/>
      <c r="S3532" s="34" t="str">
        <f>HYPERLINK("http://www.cnpol.ru/covers/19259.jpg","фото на сайте")</f>
        <v>фото на сайте</v>
      </c>
    </row>
    <row r="3533" spans="1:19" ht="50.1" customHeight="1">
      <c r="A3533" s="31"/>
      <c r="B3533" s="32" t="s">
        <v>13241</v>
      </c>
      <c r="C3533" s="31" t="s">
        <v>1338</v>
      </c>
      <c r="D3533" s="31" t="s">
        <v>1339</v>
      </c>
      <c r="E3533" s="31" t="s">
        <v>13242</v>
      </c>
      <c r="F3533" s="31" t="s">
        <v>31</v>
      </c>
      <c r="G3533" s="31">
        <v>154</v>
      </c>
      <c r="H3533" s="31">
        <v>10</v>
      </c>
      <c r="I3533" s="31">
        <v>28</v>
      </c>
      <c r="J3533" s="31" t="s">
        <v>13243</v>
      </c>
      <c r="K3533" s="31" t="s">
        <v>55</v>
      </c>
      <c r="L3533" s="31" t="s">
        <v>56</v>
      </c>
      <c r="M3533" s="31">
        <v>300</v>
      </c>
      <c r="N3533" s="31">
        <v>2008</v>
      </c>
      <c r="O3533" s="31">
        <v>124</v>
      </c>
      <c r="P3533" s="31"/>
      <c r="Q3533" s="31"/>
      <c r="R3533" s="33"/>
      <c r="S3533" s="34" t="str">
        <f>HYPERLINK("http://www.cnpol.ru/covers/7972.jpg","фото на сайте")</f>
        <v>фото на сайте</v>
      </c>
    </row>
    <row r="3534" spans="1:19" ht="50.1" customHeight="1">
      <c r="A3534" s="31"/>
      <c r="B3534" s="32" t="s">
        <v>13244</v>
      </c>
      <c r="C3534" s="31" t="s">
        <v>520</v>
      </c>
      <c r="D3534" s="31" t="s">
        <v>5181</v>
      </c>
      <c r="E3534" s="31" t="s">
        <v>13245</v>
      </c>
      <c r="F3534" s="31">
        <v>90</v>
      </c>
      <c r="G3534" s="31">
        <v>117</v>
      </c>
      <c r="H3534" s="31">
        <v>10</v>
      </c>
      <c r="I3534" s="31">
        <v>20</v>
      </c>
      <c r="J3534" s="31" t="s">
        <v>13246</v>
      </c>
      <c r="K3534" s="31" t="s">
        <v>123</v>
      </c>
      <c r="L3534" s="31" t="s">
        <v>56</v>
      </c>
      <c r="M3534" s="31">
        <v>191</v>
      </c>
      <c r="N3534" s="31">
        <v>2022</v>
      </c>
      <c r="O3534" s="31">
        <v>90</v>
      </c>
      <c r="P3534" s="31"/>
      <c r="Q3534" s="31"/>
      <c r="R3534" s="33"/>
      <c r="S3534" s="34" t="str">
        <f>HYPERLINK("http://www.cnpol.ru/covers/20370.jpg","фото на сайте")</f>
        <v>фото на сайте</v>
      </c>
    </row>
    <row r="3535" spans="1:19" ht="50.1" customHeight="1">
      <c r="A3535" s="31"/>
      <c r="B3535" s="32" t="s">
        <v>13247</v>
      </c>
      <c r="C3535" s="31" t="s">
        <v>1338</v>
      </c>
      <c r="D3535" s="31" t="s">
        <v>1831</v>
      </c>
      <c r="E3535" s="31" t="s">
        <v>13248</v>
      </c>
      <c r="F3535" s="31" t="s">
        <v>31</v>
      </c>
      <c r="G3535" s="31">
        <v>154</v>
      </c>
      <c r="H3535" s="31">
        <v>10</v>
      </c>
      <c r="I3535" s="31">
        <v>16</v>
      </c>
      <c r="J3535" s="31" t="s">
        <v>13249</v>
      </c>
      <c r="K3535" s="31" t="s">
        <v>55</v>
      </c>
      <c r="L3535" s="31" t="s">
        <v>56</v>
      </c>
      <c r="M3535" s="31">
        <v>414</v>
      </c>
      <c r="N3535" s="31">
        <v>2008</v>
      </c>
      <c r="O3535" s="31">
        <v>168</v>
      </c>
      <c r="P3535" s="31"/>
      <c r="Q3535" s="31"/>
      <c r="R3535" s="33"/>
      <c r="S3535" s="34" t="str">
        <f>HYPERLINK("http://www.cnpol.ru/covers/7771.jpg","фото на сайте")</f>
        <v>фото на сайте</v>
      </c>
    </row>
    <row r="3536" spans="1:19" ht="50.1" customHeight="1">
      <c r="A3536" s="31"/>
      <c r="B3536" s="32" t="s">
        <v>13250</v>
      </c>
      <c r="C3536" s="31" t="s">
        <v>1830</v>
      </c>
      <c r="D3536" s="31" t="s">
        <v>1831</v>
      </c>
      <c r="E3536" s="31" t="s">
        <v>13248</v>
      </c>
      <c r="F3536" s="31" t="s">
        <v>31</v>
      </c>
      <c r="G3536" s="31">
        <v>370</v>
      </c>
      <c r="H3536" s="31">
        <v>10</v>
      </c>
      <c r="I3536" s="31">
        <v>14</v>
      </c>
      <c r="J3536" s="31" t="s">
        <v>13251</v>
      </c>
      <c r="K3536" s="31" t="s">
        <v>33</v>
      </c>
      <c r="L3536" s="31" t="s">
        <v>34</v>
      </c>
      <c r="M3536" s="31">
        <v>368</v>
      </c>
      <c r="N3536" s="31">
        <v>2004</v>
      </c>
      <c r="O3536" s="31">
        <v>318</v>
      </c>
      <c r="P3536" s="31"/>
      <c r="Q3536" s="31"/>
      <c r="R3536" s="33"/>
      <c r="S3536" s="34" t="str">
        <f>HYPERLINK("http://www.cnpol.ru/covers/4989.jpg","фото на сайте")</f>
        <v>фото на сайте</v>
      </c>
    </row>
    <row r="3537" spans="1:19" ht="50.1" customHeight="1">
      <c r="A3537" s="31"/>
      <c r="B3537" s="32" t="s">
        <v>13252</v>
      </c>
      <c r="C3537" s="31" t="s">
        <v>390</v>
      </c>
      <c r="D3537" s="31" t="s">
        <v>7469</v>
      </c>
      <c r="E3537" s="31" t="s">
        <v>13253</v>
      </c>
      <c r="F3537" s="31">
        <v>379</v>
      </c>
      <c r="G3537" s="31">
        <v>86</v>
      </c>
      <c r="H3537" s="31">
        <v>10</v>
      </c>
      <c r="I3537" s="31">
        <v>30</v>
      </c>
      <c r="J3537" s="31" t="s">
        <v>13254</v>
      </c>
      <c r="K3537" s="31" t="s">
        <v>123</v>
      </c>
      <c r="L3537" s="31" t="s">
        <v>56</v>
      </c>
      <c r="M3537" s="31">
        <v>158</v>
      </c>
      <c r="N3537" s="31">
        <v>2014</v>
      </c>
      <c r="O3537" s="31">
        <v>78</v>
      </c>
      <c r="P3537" s="31"/>
      <c r="Q3537" s="31"/>
      <c r="R3537" s="33"/>
      <c r="S3537" s="34" t="str">
        <f>HYPERLINK("http://www.cnpol.ru/covers/14829.jpg","фото на сайте")</f>
        <v>фото на сайте</v>
      </c>
    </row>
    <row r="3538" spans="1:19" ht="50.1" customHeight="1">
      <c r="A3538" s="31"/>
      <c r="B3538" s="32" t="s">
        <v>13255</v>
      </c>
      <c r="C3538" s="31" t="s">
        <v>28</v>
      </c>
      <c r="D3538" s="31" t="s">
        <v>4966</v>
      </c>
      <c r="E3538" s="31" t="s">
        <v>13256</v>
      </c>
      <c r="F3538" s="31" t="s">
        <v>31</v>
      </c>
      <c r="G3538" s="31">
        <v>575</v>
      </c>
      <c r="H3538" s="31">
        <v>10</v>
      </c>
      <c r="I3538" s="31">
        <v>10</v>
      </c>
      <c r="J3538" s="31" t="s">
        <v>13257</v>
      </c>
      <c r="K3538" s="31" t="s">
        <v>33</v>
      </c>
      <c r="L3538" s="31" t="s">
        <v>34</v>
      </c>
      <c r="M3538" s="31">
        <v>480</v>
      </c>
      <c r="N3538" s="31">
        <v>2018</v>
      </c>
      <c r="O3538" s="31">
        <v>366</v>
      </c>
      <c r="P3538" s="31"/>
      <c r="Q3538" s="31"/>
      <c r="R3538" s="33"/>
      <c r="S3538" s="34" t="str">
        <f>HYPERLINK("http://www.cnpol.ru/covers/18121.jpg","фото на сайте")</f>
        <v>фото на сайте</v>
      </c>
    </row>
    <row r="3539" spans="1:19" ht="50.1" customHeight="1">
      <c r="A3539" s="31" t="s">
        <v>43</v>
      </c>
      <c r="B3539" s="32" t="s">
        <v>13258</v>
      </c>
      <c r="C3539" s="31" t="s">
        <v>1991</v>
      </c>
      <c r="D3539" s="31" t="s">
        <v>13259</v>
      </c>
      <c r="E3539" s="31" t="s">
        <v>13260</v>
      </c>
      <c r="F3539" s="31" t="s">
        <v>31</v>
      </c>
      <c r="G3539" s="31">
        <v>917</v>
      </c>
      <c r="H3539" s="31">
        <v>10</v>
      </c>
      <c r="I3539" s="31">
        <v>5</v>
      </c>
      <c r="J3539" s="31" t="s">
        <v>13261</v>
      </c>
      <c r="K3539" s="31" t="s">
        <v>33</v>
      </c>
      <c r="L3539" s="31" t="s">
        <v>34</v>
      </c>
      <c r="M3539" s="31">
        <v>303</v>
      </c>
      <c r="N3539" s="31">
        <v>2025</v>
      </c>
      <c r="O3539" s="31">
        <v>520</v>
      </c>
      <c r="P3539" s="31"/>
      <c r="Q3539" s="31"/>
      <c r="R3539" s="33" t="s">
        <v>13262</v>
      </c>
      <c r="S3539" s="34" t="str">
        <f>HYPERLINK("http://www.cnpol.ru/covers/21724.jpg","фото на сайте")</f>
        <v>фото на сайте</v>
      </c>
    </row>
    <row r="3540" spans="1:19" ht="50.1" customHeight="1">
      <c r="A3540" s="31"/>
      <c r="B3540" s="32" t="s">
        <v>13263</v>
      </c>
      <c r="C3540" s="31" t="s">
        <v>13264</v>
      </c>
      <c r="D3540" s="31" t="s">
        <v>10731</v>
      </c>
      <c r="E3540" s="31" t="s">
        <v>13265</v>
      </c>
      <c r="F3540" s="31" t="s">
        <v>31</v>
      </c>
      <c r="G3540" s="31">
        <v>389</v>
      </c>
      <c r="H3540" s="31">
        <v>20</v>
      </c>
      <c r="I3540" s="31">
        <v>20</v>
      </c>
      <c r="J3540" s="31" t="s">
        <v>13266</v>
      </c>
      <c r="K3540" s="31" t="s">
        <v>33</v>
      </c>
      <c r="L3540" s="31" t="s">
        <v>34</v>
      </c>
      <c r="M3540" s="31">
        <v>224</v>
      </c>
      <c r="N3540" s="31">
        <v>2008</v>
      </c>
      <c r="O3540" s="31">
        <v>236</v>
      </c>
      <c r="P3540" s="31"/>
      <c r="Q3540" s="31"/>
      <c r="R3540" s="33"/>
      <c r="S3540" s="34" t="str">
        <f>HYPERLINK("http://www.cnpol.ru/covers/10324.jpg","фото на сайте")</f>
        <v>фото на сайте</v>
      </c>
    </row>
    <row r="3541" spans="1:19" ht="50.1" customHeight="1">
      <c r="A3541" s="31"/>
      <c r="B3541" s="32" t="s">
        <v>13267</v>
      </c>
      <c r="C3541" s="31" t="s">
        <v>543</v>
      </c>
      <c r="D3541" s="31" t="s">
        <v>539</v>
      </c>
      <c r="E3541" s="31" t="s">
        <v>13268</v>
      </c>
      <c r="F3541" s="31" t="s">
        <v>31</v>
      </c>
      <c r="G3541" s="31">
        <v>137</v>
      </c>
      <c r="H3541" s="31">
        <v>10</v>
      </c>
      <c r="I3541" s="31">
        <v>20</v>
      </c>
      <c r="J3541" s="31" t="s">
        <v>13269</v>
      </c>
      <c r="K3541" s="31" t="s">
        <v>123</v>
      </c>
      <c r="L3541" s="31" t="s">
        <v>56</v>
      </c>
      <c r="M3541" s="31">
        <v>446</v>
      </c>
      <c r="N3541" s="31">
        <v>2009</v>
      </c>
      <c r="O3541" s="31">
        <v>174</v>
      </c>
      <c r="P3541" s="31"/>
      <c r="Q3541" s="31"/>
      <c r="R3541" s="33"/>
      <c r="S3541" s="34" t="str">
        <f>HYPERLINK("http://www.cnpol.ru/covers/11390.jpg","фото на сайте")</f>
        <v>фото на сайте</v>
      </c>
    </row>
    <row r="3542" spans="1:19" ht="50.1" customHeight="1">
      <c r="A3542" s="31"/>
      <c r="B3542" s="32" t="s">
        <v>13270</v>
      </c>
      <c r="C3542" s="31" t="s">
        <v>28</v>
      </c>
      <c r="D3542" s="31" t="s">
        <v>13271</v>
      </c>
      <c r="E3542" s="31" t="s">
        <v>13272</v>
      </c>
      <c r="F3542" s="31" t="s">
        <v>31</v>
      </c>
      <c r="G3542" s="31">
        <v>503</v>
      </c>
      <c r="H3542" s="31">
        <v>10</v>
      </c>
      <c r="I3542" s="31">
        <v>10</v>
      </c>
      <c r="J3542" s="31" t="s">
        <v>13273</v>
      </c>
      <c r="K3542" s="31" t="s">
        <v>33</v>
      </c>
      <c r="L3542" s="31" t="s">
        <v>34</v>
      </c>
      <c r="M3542" s="31">
        <v>416</v>
      </c>
      <c r="N3542" s="31">
        <v>2016</v>
      </c>
      <c r="O3542" s="31">
        <v>390</v>
      </c>
      <c r="P3542" s="31"/>
      <c r="Q3542" s="31"/>
      <c r="R3542" s="33"/>
      <c r="S3542" s="34" t="str">
        <f>HYPERLINK("http://www.cnpol.ru/covers/17138.jpg","фото на сайте")</f>
        <v>фото на сайте</v>
      </c>
    </row>
    <row r="3543" spans="1:19" ht="50.1" customHeight="1">
      <c r="A3543" s="31"/>
      <c r="B3543" s="32" t="s">
        <v>13274</v>
      </c>
      <c r="C3543" s="31" t="s">
        <v>1003</v>
      </c>
      <c r="D3543" s="31" t="s">
        <v>1004</v>
      </c>
      <c r="E3543" s="31" t="s">
        <v>13275</v>
      </c>
      <c r="F3543" s="31" t="s">
        <v>31</v>
      </c>
      <c r="G3543" s="31">
        <v>122</v>
      </c>
      <c r="H3543" s="31">
        <v>10</v>
      </c>
      <c r="I3543" s="31">
        <v>20</v>
      </c>
      <c r="J3543" s="31" t="s">
        <v>13276</v>
      </c>
      <c r="K3543" s="31" t="s">
        <v>123</v>
      </c>
      <c r="L3543" s="31" t="s">
        <v>56</v>
      </c>
      <c r="M3543" s="31">
        <v>128</v>
      </c>
      <c r="N3543" s="31">
        <v>2016</v>
      </c>
      <c r="O3543" s="31">
        <v>60</v>
      </c>
      <c r="P3543" s="31"/>
      <c r="Q3543" s="31"/>
      <c r="R3543" s="33"/>
      <c r="S3543" s="34" t="str">
        <f>HYPERLINK("http://www.cnpol.ru/covers/17026.jpg","фото на сайте")</f>
        <v>фото на сайте</v>
      </c>
    </row>
    <row r="3544" spans="1:19" ht="50.1" customHeight="1">
      <c r="A3544" s="31" t="s">
        <v>35</v>
      </c>
      <c r="B3544" s="32" t="s">
        <v>13277</v>
      </c>
      <c r="C3544" s="31" t="s">
        <v>37</v>
      </c>
      <c r="D3544" s="31" t="s">
        <v>13278</v>
      </c>
      <c r="E3544" s="31" t="s">
        <v>13279</v>
      </c>
      <c r="F3544" s="31" t="s">
        <v>31</v>
      </c>
      <c r="G3544" s="35">
        <v>1119</v>
      </c>
      <c r="H3544" s="31">
        <v>10</v>
      </c>
      <c r="I3544" s="31">
        <v>5</v>
      </c>
      <c r="J3544" s="31" t="s">
        <v>13280</v>
      </c>
      <c r="K3544" s="31" t="s">
        <v>33</v>
      </c>
      <c r="L3544" s="31" t="s">
        <v>34</v>
      </c>
      <c r="M3544" s="31">
        <v>445</v>
      </c>
      <c r="N3544" s="31">
        <v>2025</v>
      </c>
      <c r="O3544" s="31">
        <v>346</v>
      </c>
      <c r="P3544" s="31"/>
      <c r="Q3544" s="31"/>
      <c r="R3544" s="33" t="s">
        <v>13281</v>
      </c>
      <c r="S3544" s="34" t="str">
        <f>HYPERLINK("http://www.cnpol.ru/covers/21675.jpg","фото на сайте")</f>
        <v>фото на сайте</v>
      </c>
    </row>
    <row r="3545" spans="1:19" ht="50.1" customHeight="1">
      <c r="A3545" s="31"/>
      <c r="B3545" s="32" t="s">
        <v>13282</v>
      </c>
      <c r="C3545" s="31" t="s">
        <v>126</v>
      </c>
      <c r="D3545" s="31" t="s">
        <v>13283</v>
      </c>
      <c r="E3545" s="31" t="s">
        <v>13284</v>
      </c>
      <c r="F3545" s="31" t="s">
        <v>31</v>
      </c>
      <c r="G3545" s="31">
        <v>128</v>
      </c>
      <c r="H3545" s="31">
        <v>10</v>
      </c>
      <c r="I3545" s="31">
        <v>20</v>
      </c>
      <c r="J3545" s="31" t="s">
        <v>13285</v>
      </c>
      <c r="K3545" s="31" t="s">
        <v>130</v>
      </c>
      <c r="L3545" s="31" t="s">
        <v>56</v>
      </c>
      <c r="M3545" s="31">
        <v>303</v>
      </c>
      <c r="N3545" s="31">
        <v>2009</v>
      </c>
      <c r="O3545" s="31">
        <v>176</v>
      </c>
      <c r="P3545" s="31"/>
      <c r="Q3545" s="31"/>
      <c r="R3545" s="33"/>
      <c r="S3545" s="34" t="str">
        <f>HYPERLINK("http://www.cnpol.ru/covers/11607.jpg","фото на сайте")</f>
        <v>фото на сайте</v>
      </c>
    </row>
    <row r="3546" spans="1:19" ht="50.1" customHeight="1">
      <c r="A3546" s="31"/>
      <c r="B3546" s="32" t="s">
        <v>13286</v>
      </c>
      <c r="C3546" s="31" t="s">
        <v>1390</v>
      </c>
      <c r="D3546" s="31" t="s">
        <v>13283</v>
      </c>
      <c r="E3546" s="31" t="s">
        <v>13287</v>
      </c>
      <c r="F3546" s="31" t="s">
        <v>31</v>
      </c>
      <c r="G3546" s="31">
        <v>258</v>
      </c>
      <c r="H3546" s="31">
        <v>10</v>
      </c>
      <c r="I3546" s="31">
        <v>16</v>
      </c>
      <c r="J3546" s="31" t="s">
        <v>13288</v>
      </c>
      <c r="K3546" s="31" t="s">
        <v>130</v>
      </c>
      <c r="L3546" s="31" t="s">
        <v>56</v>
      </c>
      <c r="M3546" s="31">
        <v>304</v>
      </c>
      <c r="N3546" s="31">
        <v>2020</v>
      </c>
      <c r="O3546" s="31">
        <v>185</v>
      </c>
      <c r="P3546" s="31"/>
      <c r="Q3546" s="31"/>
      <c r="R3546" s="33"/>
      <c r="S3546" s="34" t="str">
        <f>HYPERLINK("http://www.cnpol.ru/covers/19093.jpg","фото на сайте")</f>
        <v>фото на сайте</v>
      </c>
    </row>
    <row r="3547" spans="1:19" ht="50.1" customHeight="1">
      <c r="A3547" s="31"/>
      <c r="B3547" s="32" t="s">
        <v>13289</v>
      </c>
      <c r="C3547" s="31" t="s">
        <v>3429</v>
      </c>
      <c r="D3547" s="31" t="s">
        <v>3430</v>
      </c>
      <c r="E3547" s="31" t="s">
        <v>13290</v>
      </c>
      <c r="F3547" s="31" t="s">
        <v>31</v>
      </c>
      <c r="G3547" s="31">
        <v>105</v>
      </c>
      <c r="H3547" s="31">
        <v>10</v>
      </c>
      <c r="I3547" s="31">
        <v>30</v>
      </c>
      <c r="J3547" s="31" t="s">
        <v>13291</v>
      </c>
      <c r="K3547" s="31" t="s">
        <v>130</v>
      </c>
      <c r="L3547" s="31" t="s">
        <v>56</v>
      </c>
      <c r="M3547" s="31">
        <v>221</v>
      </c>
      <c r="N3547" s="31">
        <v>2001</v>
      </c>
      <c r="O3547" s="31">
        <v>136</v>
      </c>
      <c r="P3547" s="31"/>
      <c r="Q3547" s="31"/>
      <c r="R3547" s="33"/>
      <c r="S3547" s="34" t="str">
        <f>HYPERLINK("http://www.cnpol.ru/covers/2929.jpg","фото на сайте")</f>
        <v>фото на сайте</v>
      </c>
    </row>
    <row r="3548" spans="1:19" ht="50.1" customHeight="1">
      <c r="A3548" s="31"/>
      <c r="B3548" s="32" t="s">
        <v>13292</v>
      </c>
      <c r="C3548" s="31" t="s">
        <v>1721</v>
      </c>
      <c r="D3548" s="31" t="s">
        <v>1722</v>
      </c>
      <c r="E3548" s="31" t="s">
        <v>13293</v>
      </c>
      <c r="F3548" s="31" t="s">
        <v>31</v>
      </c>
      <c r="G3548" s="31">
        <v>119</v>
      </c>
      <c r="H3548" s="31">
        <v>10</v>
      </c>
      <c r="I3548" s="31">
        <v>52</v>
      </c>
      <c r="J3548" s="31" t="s">
        <v>13294</v>
      </c>
      <c r="K3548" s="31" t="s">
        <v>1725</v>
      </c>
      <c r="L3548" s="31" t="s">
        <v>1726</v>
      </c>
      <c r="M3548" s="31">
        <v>14</v>
      </c>
      <c r="N3548" s="31">
        <v>2005</v>
      </c>
      <c r="O3548" s="31">
        <v>124</v>
      </c>
      <c r="P3548" s="31"/>
      <c r="Q3548" s="31"/>
      <c r="R3548" s="33"/>
      <c r="S3548" s="34" t="str">
        <f>HYPERLINK("http://www.cnpol.ru/covers/5980.jpg","фото на сайте")</f>
        <v>фото на сайте</v>
      </c>
    </row>
    <row r="3549" spans="1:19" ht="50.1" customHeight="1">
      <c r="A3549" s="31"/>
      <c r="B3549" s="32" t="s">
        <v>13295</v>
      </c>
      <c r="C3549" s="31" t="s">
        <v>418</v>
      </c>
      <c r="D3549" s="31" t="s">
        <v>10724</v>
      </c>
      <c r="E3549" s="31" t="s">
        <v>13296</v>
      </c>
      <c r="F3549" s="31">
        <v>24</v>
      </c>
      <c r="G3549" s="31">
        <v>153</v>
      </c>
      <c r="H3549" s="31">
        <v>10</v>
      </c>
      <c r="I3549" s="31">
        <v>32</v>
      </c>
      <c r="J3549" s="31" t="s">
        <v>13297</v>
      </c>
      <c r="K3549" s="31" t="s">
        <v>123</v>
      </c>
      <c r="L3549" s="31" t="s">
        <v>56</v>
      </c>
      <c r="M3549" s="31">
        <v>286</v>
      </c>
      <c r="N3549" s="31">
        <v>2013</v>
      </c>
      <c r="O3549" s="31">
        <v>132</v>
      </c>
      <c r="P3549" s="31"/>
      <c r="Q3549" s="31"/>
      <c r="R3549" s="33"/>
      <c r="S3549" s="34" t="str">
        <f>HYPERLINK("http://www.cnpol.ru/covers/14352.jpg","фото на сайте")</f>
        <v>фото на сайте</v>
      </c>
    </row>
    <row r="3550" spans="1:19" ht="50.1" customHeight="1">
      <c r="A3550" s="31"/>
      <c r="B3550" s="32" t="s">
        <v>13298</v>
      </c>
      <c r="C3550" s="31" t="s">
        <v>1247</v>
      </c>
      <c r="D3550" s="31" t="s">
        <v>1248</v>
      </c>
      <c r="E3550" s="31" t="s">
        <v>13299</v>
      </c>
      <c r="F3550" s="31" t="s">
        <v>31</v>
      </c>
      <c r="G3550" s="31">
        <v>112</v>
      </c>
      <c r="H3550" s="31">
        <v>10</v>
      </c>
      <c r="I3550" s="31">
        <v>40</v>
      </c>
      <c r="J3550" s="31" t="s">
        <v>13300</v>
      </c>
      <c r="K3550" s="31" t="s">
        <v>123</v>
      </c>
      <c r="L3550" s="31" t="s">
        <v>56</v>
      </c>
      <c r="M3550" s="31">
        <v>128</v>
      </c>
      <c r="N3550" s="31">
        <v>2015</v>
      </c>
      <c r="O3550" s="31">
        <v>68</v>
      </c>
      <c r="P3550" s="31"/>
      <c r="Q3550" s="31"/>
      <c r="R3550" s="33"/>
      <c r="S3550" s="34" t="str">
        <f>HYPERLINK("http://www.cnpol.ru/covers/16163.jpg","фото на сайте")</f>
        <v>фото на сайте</v>
      </c>
    </row>
    <row r="3551" spans="1:19" ht="50.1" customHeight="1">
      <c r="A3551" s="31"/>
      <c r="B3551" s="32" t="s">
        <v>13301</v>
      </c>
      <c r="C3551" s="31" t="s">
        <v>2233</v>
      </c>
      <c r="D3551" s="31" t="s">
        <v>4957</v>
      </c>
      <c r="E3551" s="31" t="s">
        <v>13302</v>
      </c>
      <c r="F3551" s="31" t="s">
        <v>31</v>
      </c>
      <c r="G3551" s="31">
        <v>137</v>
      </c>
      <c r="H3551" s="31">
        <v>10</v>
      </c>
      <c r="I3551" s="31">
        <v>32</v>
      </c>
      <c r="J3551" s="31" t="s">
        <v>13303</v>
      </c>
      <c r="K3551" s="31" t="s">
        <v>55</v>
      </c>
      <c r="L3551" s="31" t="s">
        <v>56</v>
      </c>
      <c r="M3551" s="31">
        <v>253</v>
      </c>
      <c r="N3551" s="31">
        <v>2009</v>
      </c>
      <c r="O3551" s="31">
        <v>106</v>
      </c>
      <c r="P3551" s="31"/>
      <c r="Q3551" s="31"/>
      <c r="R3551" s="33"/>
      <c r="S3551" s="34" t="str">
        <f>HYPERLINK("http://www.cnpol.ru/covers/11108.jpg","фото на сайте")</f>
        <v>фото на сайте</v>
      </c>
    </row>
    <row r="3552" spans="1:19" ht="50.1" customHeight="1">
      <c r="A3552" s="31"/>
      <c r="B3552" s="32" t="s">
        <v>13304</v>
      </c>
      <c r="C3552" s="31" t="s">
        <v>3062</v>
      </c>
      <c r="D3552" s="31" t="s">
        <v>4876</v>
      </c>
      <c r="E3552" s="31" t="s">
        <v>13305</v>
      </c>
      <c r="F3552" s="31" t="s">
        <v>31</v>
      </c>
      <c r="G3552" s="31">
        <v>325</v>
      </c>
      <c r="H3552" s="31">
        <v>10</v>
      </c>
      <c r="I3552" s="31">
        <v>16</v>
      </c>
      <c r="J3552" s="31" t="s">
        <v>13306</v>
      </c>
      <c r="K3552" s="31" t="s">
        <v>55</v>
      </c>
      <c r="L3552" s="31" t="s">
        <v>34</v>
      </c>
      <c r="M3552" s="31">
        <v>253</v>
      </c>
      <c r="N3552" s="31">
        <v>2008</v>
      </c>
      <c r="O3552" s="31">
        <v>288</v>
      </c>
      <c r="P3552" s="31"/>
      <c r="Q3552" s="31"/>
      <c r="R3552" s="33"/>
      <c r="S3552" s="34" t="str">
        <f>HYPERLINK("http://www.cnpol.ru/covers/7768.jpg","фото на сайте")</f>
        <v>фото на сайте</v>
      </c>
    </row>
    <row r="3553" spans="1:19" ht="50.1" customHeight="1">
      <c r="A3553" s="31"/>
      <c r="B3553" s="32" t="s">
        <v>13307</v>
      </c>
      <c r="C3553" s="31" t="s">
        <v>390</v>
      </c>
      <c r="D3553" s="31" t="s">
        <v>13308</v>
      </c>
      <c r="E3553" s="31" t="s">
        <v>13309</v>
      </c>
      <c r="F3553" s="31">
        <v>696</v>
      </c>
      <c r="G3553" s="31">
        <v>86</v>
      </c>
      <c r="H3553" s="31">
        <v>10</v>
      </c>
      <c r="I3553" s="31">
        <v>30</v>
      </c>
      <c r="J3553" s="31" t="s">
        <v>13310</v>
      </c>
      <c r="K3553" s="31" t="s">
        <v>123</v>
      </c>
      <c r="L3553" s="31" t="s">
        <v>56</v>
      </c>
      <c r="M3553" s="31">
        <v>160</v>
      </c>
      <c r="N3553" s="31">
        <v>2017</v>
      </c>
      <c r="O3553" s="31">
        <v>76</v>
      </c>
      <c r="P3553" s="31"/>
      <c r="Q3553" s="31"/>
      <c r="R3553" s="33"/>
      <c r="S3553" s="34" t="str">
        <f>HYPERLINK("http://www.cnpol.ru/covers/17331.jpg","фото на сайте")</f>
        <v>фото на сайте</v>
      </c>
    </row>
    <row r="3554" spans="1:19" ht="50.1" customHeight="1">
      <c r="A3554" s="31"/>
      <c r="B3554" s="32" t="s">
        <v>13311</v>
      </c>
      <c r="C3554" s="31" t="s">
        <v>297</v>
      </c>
      <c r="D3554" s="31" t="s">
        <v>539</v>
      </c>
      <c r="E3554" s="31" t="s">
        <v>13312</v>
      </c>
      <c r="F3554" s="31" t="s">
        <v>31</v>
      </c>
      <c r="G3554" s="31">
        <v>300</v>
      </c>
      <c r="H3554" s="31">
        <v>10</v>
      </c>
      <c r="I3554" s="31">
        <v>16</v>
      </c>
      <c r="J3554" s="31" t="s">
        <v>13313</v>
      </c>
      <c r="K3554" s="31" t="s">
        <v>300</v>
      </c>
      <c r="L3554" s="31" t="s">
        <v>56</v>
      </c>
      <c r="M3554" s="31">
        <v>418</v>
      </c>
      <c r="N3554" s="31">
        <v>2018</v>
      </c>
      <c r="O3554" s="31">
        <v>206</v>
      </c>
      <c r="P3554" s="31"/>
      <c r="Q3554" s="31"/>
      <c r="R3554" s="33"/>
      <c r="S3554" s="34" t="str">
        <f>HYPERLINK("http://www.cnpol.ru/covers/18302.jpg","фото на сайте")</f>
        <v>фото на сайте</v>
      </c>
    </row>
    <row r="3555" spans="1:19" ht="50.1" customHeight="1">
      <c r="A3555" s="31"/>
      <c r="B3555" s="32" t="s">
        <v>13314</v>
      </c>
      <c r="C3555" s="31" t="s">
        <v>302</v>
      </c>
      <c r="D3555" s="31" t="s">
        <v>539</v>
      </c>
      <c r="E3555" s="31" t="s">
        <v>13312</v>
      </c>
      <c r="F3555" s="31" t="s">
        <v>31</v>
      </c>
      <c r="G3555" s="31">
        <v>917</v>
      </c>
      <c r="H3555" s="31">
        <v>10</v>
      </c>
      <c r="I3555" s="31">
        <v>10</v>
      </c>
      <c r="J3555" s="31" t="s">
        <v>13315</v>
      </c>
      <c r="K3555" s="31" t="s">
        <v>41</v>
      </c>
      <c r="L3555" s="31" t="s">
        <v>304</v>
      </c>
      <c r="M3555" s="31">
        <v>447</v>
      </c>
      <c r="N3555" s="31">
        <v>2014</v>
      </c>
      <c r="O3555" s="31">
        <v>582</v>
      </c>
      <c r="P3555" s="31"/>
      <c r="Q3555" s="31"/>
      <c r="R3555" s="33"/>
      <c r="S3555" s="34" t="str">
        <f>HYPERLINK("http://www.cnpol.ru/covers/15576.jpg","фото на сайте")</f>
        <v>фото на сайте</v>
      </c>
    </row>
    <row r="3556" spans="1:19" ht="50.1" customHeight="1">
      <c r="A3556" s="31" t="s">
        <v>35</v>
      </c>
      <c r="B3556" s="32" t="s">
        <v>13316</v>
      </c>
      <c r="C3556" s="31" t="s">
        <v>1206</v>
      </c>
      <c r="D3556" s="31" t="s">
        <v>1207</v>
      </c>
      <c r="E3556" s="31" t="s">
        <v>13317</v>
      </c>
      <c r="F3556" s="31" t="s">
        <v>31</v>
      </c>
      <c r="G3556" s="35">
        <v>2809</v>
      </c>
      <c r="H3556" s="31">
        <v>10</v>
      </c>
      <c r="I3556" s="31">
        <v>3</v>
      </c>
      <c r="J3556" s="31" t="s">
        <v>13318</v>
      </c>
      <c r="K3556" s="31" t="s">
        <v>41</v>
      </c>
      <c r="L3556" s="31" t="s">
        <v>34</v>
      </c>
      <c r="M3556" s="31">
        <v>1182</v>
      </c>
      <c r="N3556" s="31">
        <v>2025</v>
      </c>
      <c r="O3556" s="31">
        <v>1224</v>
      </c>
      <c r="P3556" s="31"/>
      <c r="Q3556" s="31"/>
      <c r="R3556" s="33" t="s">
        <v>13319</v>
      </c>
      <c r="S3556" s="34" t="str">
        <f>HYPERLINK("http://www.cnpol.ru/covers/21629.jpg","фото на сайте")</f>
        <v>фото на сайте</v>
      </c>
    </row>
    <row r="3557" spans="1:19" ht="50.1" customHeight="1">
      <c r="A3557" s="31" t="s">
        <v>43</v>
      </c>
      <c r="B3557" s="32" t="s">
        <v>13320</v>
      </c>
      <c r="C3557" s="31" t="s">
        <v>1206</v>
      </c>
      <c r="D3557" s="31" t="s">
        <v>1207</v>
      </c>
      <c r="E3557" s="31" t="s">
        <v>13321</v>
      </c>
      <c r="F3557" s="31" t="s">
        <v>31</v>
      </c>
      <c r="G3557" s="35">
        <v>1754</v>
      </c>
      <c r="H3557" s="31">
        <v>10</v>
      </c>
      <c r="I3557" s="31">
        <v>6</v>
      </c>
      <c r="J3557" s="31" t="s">
        <v>13322</v>
      </c>
      <c r="K3557" s="31" t="s">
        <v>41</v>
      </c>
      <c r="L3557" s="31" t="s">
        <v>34</v>
      </c>
      <c r="M3557" s="31">
        <v>639</v>
      </c>
      <c r="N3557" s="31">
        <v>2025</v>
      </c>
      <c r="O3557" s="31">
        <v>888</v>
      </c>
      <c r="P3557" s="31"/>
      <c r="Q3557" s="31"/>
      <c r="R3557" s="33" t="s">
        <v>13323</v>
      </c>
      <c r="S3557" s="34" t="str">
        <f>HYPERLINK("http://www.cnpol.ru/covers/21554.jpg","фото на сайте")</f>
        <v>фото на сайте</v>
      </c>
    </row>
    <row r="3558" spans="1:19" ht="50.1" customHeight="1">
      <c r="A3558" s="31" t="s">
        <v>43</v>
      </c>
      <c r="B3558" s="32" t="s">
        <v>13324</v>
      </c>
      <c r="C3558" s="31" t="s">
        <v>1206</v>
      </c>
      <c r="D3558" s="31" t="s">
        <v>1207</v>
      </c>
      <c r="E3558" s="31" t="s">
        <v>13325</v>
      </c>
      <c r="F3558" s="31" t="s">
        <v>31</v>
      </c>
      <c r="G3558" s="35">
        <v>1554</v>
      </c>
      <c r="H3558" s="31">
        <v>10</v>
      </c>
      <c r="I3558" s="31">
        <v>8</v>
      </c>
      <c r="J3558" s="31" t="s">
        <v>13326</v>
      </c>
      <c r="K3558" s="31" t="s">
        <v>41</v>
      </c>
      <c r="L3558" s="31" t="s">
        <v>34</v>
      </c>
      <c r="M3558" s="31">
        <v>543</v>
      </c>
      <c r="N3558" s="31">
        <v>2025</v>
      </c>
      <c r="O3558" s="31">
        <v>799</v>
      </c>
      <c r="P3558" s="31"/>
      <c r="Q3558" s="31"/>
      <c r="R3558" s="33" t="s">
        <v>13327</v>
      </c>
      <c r="S3558" s="34" t="str">
        <f>HYPERLINK("http://www.cnpol.ru/covers/21555.jpg","фото на сайте")</f>
        <v>фото на сайте</v>
      </c>
    </row>
    <row r="3559" spans="1:19" ht="50.1" customHeight="1">
      <c r="A3559" s="31" t="s">
        <v>35</v>
      </c>
      <c r="B3559" s="32" t="s">
        <v>13328</v>
      </c>
      <c r="C3559" s="31" t="s">
        <v>1206</v>
      </c>
      <c r="D3559" s="31" t="s">
        <v>1207</v>
      </c>
      <c r="E3559" s="31" t="s">
        <v>13329</v>
      </c>
      <c r="F3559" s="31" t="s">
        <v>31</v>
      </c>
      <c r="G3559" s="35">
        <v>1832</v>
      </c>
      <c r="H3559" s="31">
        <v>10</v>
      </c>
      <c r="I3559" s="31">
        <v>6</v>
      </c>
      <c r="J3559" s="31" t="s">
        <v>13330</v>
      </c>
      <c r="K3559" s="31" t="s">
        <v>41</v>
      </c>
      <c r="L3559" s="31" t="s">
        <v>34</v>
      </c>
      <c r="M3559" s="31">
        <v>788</v>
      </c>
      <c r="N3559" s="31">
        <v>2025</v>
      </c>
      <c r="O3559" s="31">
        <v>666</v>
      </c>
      <c r="P3559" s="31"/>
      <c r="Q3559" s="31"/>
      <c r="R3559" s="33" t="s">
        <v>13331</v>
      </c>
      <c r="S3559" s="34" t="str">
        <f>HYPERLINK("http://www.cnpol.ru/covers/21642.jpg","фото на сайте")</f>
        <v>фото на сайте</v>
      </c>
    </row>
    <row r="3560" spans="1:19" ht="50.1" customHeight="1">
      <c r="A3560" s="31"/>
      <c r="B3560" s="32" t="s">
        <v>13332</v>
      </c>
      <c r="C3560" s="31" t="s">
        <v>2631</v>
      </c>
      <c r="D3560" s="31" t="s">
        <v>13333</v>
      </c>
      <c r="E3560" s="31" t="s">
        <v>13334</v>
      </c>
      <c r="F3560" s="31" t="s">
        <v>31</v>
      </c>
      <c r="G3560" s="31">
        <v>843</v>
      </c>
      <c r="H3560" s="31">
        <v>10</v>
      </c>
      <c r="I3560" s="31">
        <v>12</v>
      </c>
      <c r="J3560" s="31" t="s">
        <v>13335</v>
      </c>
      <c r="K3560" s="31" t="s">
        <v>41</v>
      </c>
      <c r="L3560" s="31" t="s">
        <v>34</v>
      </c>
      <c r="M3560" s="31">
        <v>448</v>
      </c>
      <c r="N3560" s="31">
        <v>2014</v>
      </c>
      <c r="O3560" s="31">
        <v>546</v>
      </c>
      <c r="P3560" s="31"/>
      <c r="Q3560" s="31"/>
      <c r="R3560" s="33"/>
      <c r="S3560" s="34" t="str">
        <f>HYPERLINK("http://www.cnpol.ru/covers/15184.jpg","фото на сайте")</f>
        <v>фото на сайте</v>
      </c>
    </row>
    <row r="3561" spans="1:19" ht="50.1" customHeight="1">
      <c r="A3561" s="31"/>
      <c r="B3561" s="32" t="s">
        <v>13336</v>
      </c>
      <c r="C3561" s="31" t="s">
        <v>1206</v>
      </c>
      <c r="D3561" s="31" t="s">
        <v>1207</v>
      </c>
      <c r="E3561" s="31" t="s">
        <v>13337</v>
      </c>
      <c r="F3561" s="31" t="s">
        <v>31</v>
      </c>
      <c r="G3561" s="35">
        <v>1380</v>
      </c>
      <c r="H3561" s="31">
        <v>10</v>
      </c>
      <c r="I3561" s="31">
        <v>6</v>
      </c>
      <c r="J3561" s="31" t="s">
        <v>13338</v>
      </c>
      <c r="K3561" s="31" t="s">
        <v>2231</v>
      </c>
      <c r="L3561" s="31" t="s">
        <v>34</v>
      </c>
      <c r="M3561" s="31">
        <v>816</v>
      </c>
      <c r="N3561" s="31">
        <v>2017</v>
      </c>
      <c r="O3561" s="31">
        <v>838</v>
      </c>
      <c r="P3561" s="31"/>
      <c r="Q3561" s="31"/>
      <c r="R3561" s="33"/>
      <c r="S3561" s="34" t="str">
        <f>HYPERLINK("http://www.cnpol.ru/covers/17779.jpg","фото на сайте")</f>
        <v>фото на сайте</v>
      </c>
    </row>
    <row r="3562" spans="1:19" ht="50.1" customHeight="1">
      <c r="A3562" s="31"/>
      <c r="B3562" s="32" t="s">
        <v>13339</v>
      </c>
      <c r="C3562" s="31" t="s">
        <v>2434</v>
      </c>
      <c r="D3562" s="31" t="s">
        <v>2435</v>
      </c>
      <c r="E3562" s="31" t="s">
        <v>13340</v>
      </c>
      <c r="F3562" s="31" t="s">
        <v>31</v>
      </c>
      <c r="G3562" s="31">
        <v>875</v>
      </c>
      <c r="H3562" s="31">
        <v>10</v>
      </c>
      <c r="I3562" s="31">
        <v>12</v>
      </c>
      <c r="J3562" s="31" t="s">
        <v>13341</v>
      </c>
      <c r="K3562" s="31" t="s">
        <v>33</v>
      </c>
      <c r="L3562" s="31" t="s">
        <v>34</v>
      </c>
      <c r="M3562" s="31">
        <v>350</v>
      </c>
      <c r="N3562" s="31">
        <v>2023</v>
      </c>
      <c r="O3562" s="31">
        <v>420</v>
      </c>
      <c r="P3562" s="31"/>
      <c r="Q3562" s="31"/>
      <c r="R3562" s="33" t="s">
        <v>13342</v>
      </c>
      <c r="S3562" s="34" t="str">
        <f>HYPERLINK("http://www.cnpol.ru/covers/20709.jpg","фото на сайте")</f>
        <v>фото на сайте</v>
      </c>
    </row>
    <row r="3563" spans="1:19" ht="50.1" customHeight="1">
      <c r="A3563" s="31"/>
      <c r="B3563" s="32" t="s">
        <v>13343</v>
      </c>
      <c r="C3563" s="31" t="s">
        <v>546</v>
      </c>
      <c r="D3563" s="31" t="s">
        <v>594</v>
      </c>
      <c r="E3563" s="31" t="s">
        <v>13344</v>
      </c>
      <c r="F3563" s="31">
        <v>416</v>
      </c>
      <c r="G3563" s="31">
        <v>93</v>
      </c>
      <c r="H3563" s="31">
        <v>10</v>
      </c>
      <c r="I3563" s="31">
        <v>30</v>
      </c>
      <c r="J3563" s="31" t="s">
        <v>13345</v>
      </c>
      <c r="K3563" s="31" t="s">
        <v>123</v>
      </c>
      <c r="L3563" s="31" t="s">
        <v>56</v>
      </c>
      <c r="M3563" s="31">
        <v>159</v>
      </c>
      <c r="N3563" s="31">
        <v>2022</v>
      </c>
      <c r="O3563" s="31">
        <v>76</v>
      </c>
      <c r="P3563" s="31"/>
      <c r="Q3563" s="31"/>
      <c r="R3563" s="33" t="s">
        <v>13346</v>
      </c>
      <c r="S3563" s="34" t="str">
        <f>HYPERLINK("http://www.cnpol.ru/covers/20442.jpg","фото на сайте")</f>
        <v>фото на сайте</v>
      </c>
    </row>
    <row r="3564" spans="1:19" ht="50.1" customHeight="1">
      <c r="A3564" s="31"/>
      <c r="B3564" s="32" t="s">
        <v>13347</v>
      </c>
      <c r="C3564" s="31" t="s">
        <v>939</v>
      </c>
      <c r="D3564" s="31" t="s">
        <v>13348</v>
      </c>
      <c r="E3564" s="31" t="s">
        <v>13349</v>
      </c>
      <c r="F3564" s="31" t="s">
        <v>31</v>
      </c>
      <c r="G3564" s="31">
        <v>81</v>
      </c>
      <c r="H3564" s="31">
        <v>10</v>
      </c>
      <c r="I3564" s="31">
        <v>40</v>
      </c>
      <c r="J3564" s="31" t="s">
        <v>13350</v>
      </c>
      <c r="K3564" s="31" t="s">
        <v>130</v>
      </c>
      <c r="L3564" s="31" t="s">
        <v>56</v>
      </c>
      <c r="M3564" s="31">
        <v>127</v>
      </c>
      <c r="N3564" s="31">
        <v>2004</v>
      </c>
      <c r="O3564" s="31">
        <v>84</v>
      </c>
      <c r="P3564" s="31"/>
      <c r="Q3564" s="31"/>
      <c r="R3564" s="33"/>
      <c r="S3564" s="34" t="str">
        <f>HYPERLINK("http://www.cnpol.ru/covers/4571.jpg","фото на сайте")</f>
        <v>фото на сайте</v>
      </c>
    </row>
    <row r="3565" spans="1:19" ht="50.1" customHeight="1">
      <c r="A3565" s="31"/>
      <c r="B3565" s="32" t="s">
        <v>13351</v>
      </c>
      <c r="C3565" s="31" t="s">
        <v>546</v>
      </c>
      <c r="D3565" s="31" t="s">
        <v>2662</v>
      </c>
      <c r="E3565" s="31" t="s">
        <v>13352</v>
      </c>
      <c r="F3565" s="31">
        <v>145</v>
      </c>
      <c r="G3565" s="31">
        <v>93</v>
      </c>
      <c r="H3565" s="31">
        <v>10</v>
      </c>
      <c r="I3565" s="31">
        <v>30</v>
      </c>
      <c r="J3565" s="31" t="s">
        <v>13353</v>
      </c>
      <c r="K3565" s="31" t="s">
        <v>123</v>
      </c>
      <c r="L3565" s="31" t="s">
        <v>56</v>
      </c>
      <c r="M3565" s="31">
        <v>158</v>
      </c>
      <c r="N3565" s="31">
        <v>2015</v>
      </c>
      <c r="O3565" s="31">
        <v>76</v>
      </c>
      <c r="P3565" s="31"/>
      <c r="Q3565" s="31"/>
      <c r="R3565" s="33"/>
      <c r="S3565" s="34" t="str">
        <f>HYPERLINK("http://www.cnpol.ru/covers/16380.jpg","фото на сайте")</f>
        <v>фото на сайте</v>
      </c>
    </row>
    <row r="3566" spans="1:19" ht="50.1" customHeight="1">
      <c r="A3566" s="31"/>
      <c r="B3566" s="32" t="s">
        <v>13354</v>
      </c>
      <c r="C3566" s="31" t="s">
        <v>390</v>
      </c>
      <c r="D3566" s="31" t="s">
        <v>4374</v>
      </c>
      <c r="E3566" s="31" t="s">
        <v>13355</v>
      </c>
      <c r="F3566" s="31">
        <v>518</v>
      </c>
      <c r="G3566" s="31">
        <v>86</v>
      </c>
      <c r="H3566" s="31">
        <v>10</v>
      </c>
      <c r="I3566" s="31">
        <v>30</v>
      </c>
      <c r="J3566" s="31" t="s">
        <v>13356</v>
      </c>
      <c r="K3566" s="31" t="s">
        <v>123</v>
      </c>
      <c r="L3566" s="31" t="s">
        <v>56</v>
      </c>
      <c r="M3566" s="31">
        <v>158</v>
      </c>
      <c r="N3566" s="31">
        <v>2015</v>
      </c>
      <c r="O3566" s="31">
        <v>76</v>
      </c>
      <c r="P3566" s="31"/>
      <c r="Q3566" s="31"/>
      <c r="R3566" s="33"/>
      <c r="S3566" s="34" t="str">
        <f>HYPERLINK("http://www.cnpol.ru/covers/16008.jpg","фото на сайте")</f>
        <v>фото на сайте</v>
      </c>
    </row>
    <row r="3567" spans="1:19" ht="50.1" customHeight="1">
      <c r="A3567" s="31" t="s">
        <v>43</v>
      </c>
      <c r="B3567" s="32" t="s">
        <v>13357</v>
      </c>
      <c r="C3567" s="31" t="s">
        <v>143</v>
      </c>
      <c r="D3567" s="31" t="s">
        <v>2546</v>
      </c>
      <c r="E3567" s="31" t="s">
        <v>13358</v>
      </c>
      <c r="F3567" s="31" t="s">
        <v>31</v>
      </c>
      <c r="G3567" s="31">
        <v>771</v>
      </c>
      <c r="H3567" s="31">
        <v>10</v>
      </c>
      <c r="I3567" s="31">
        <v>10</v>
      </c>
      <c r="J3567" s="31" t="s">
        <v>13359</v>
      </c>
      <c r="K3567" s="31" t="s">
        <v>33</v>
      </c>
      <c r="L3567" s="31" t="s">
        <v>34</v>
      </c>
      <c r="M3567" s="31">
        <v>254</v>
      </c>
      <c r="N3567" s="31">
        <v>2025</v>
      </c>
      <c r="O3567" s="31">
        <v>322</v>
      </c>
      <c r="P3567" s="31"/>
      <c r="Q3567" s="31"/>
      <c r="R3567" s="33" t="s">
        <v>13360</v>
      </c>
      <c r="S3567" s="34" t="str">
        <f>HYPERLINK("http://www.cnpol.ru/covers/21732.jpg","фото на сайте")</f>
        <v>фото на сайте</v>
      </c>
    </row>
    <row r="3568" spans="1:19" ht="50.1" customHeight="1">
      <c r="A3568" s="31"/>
      <c r="B3568" s="32" t="s">
        <v>13361</v>
      </c>
      <c r="C3568" s="31" t="s">
        <v>37</v>
      </c>
      <c r="D3568" s="31" t="s">
        <v>13362</v>
      </c>
      <c r="E3568" s="31" t="s">
        <v>13363</v>
      </c>
      <c r="F3568" s="31" t="s">
        <v>31</v>
      </c>
      <c r="G3568" s="31">
        <v>425</v>
      </c>
      <c r="H3568" s="31">
        <v>10</v>
      </c>
      <c r="I3568" s="31">
        <v>22</v>
      </c>
      <c r="J3568" s="31" t="s">
        <v>13364</v>
      </c>
      <c r="K3568" s="31" t="s">
        <v>33</v>
      </c>
      <c r="L3568" s="31" t="s">
        <v>34</v>
      </c>
      <c r="M3568" s="31">
        <v>224</v>
      </c>
      <c r="N3568" s="31">
        <v>2016</v>
      </c>
      <c r="O3568" s="31">
        <v>260</v>
      </c>
      <c r="P3568" s="31"/>
      <c r="Q3568" s="31"/>
      <c r="R3568" s="33"/>
      <c r="S3568" s="34" t="str">
        <f>HYPERLINK("http://www.cnpol.ru/covers/17191.jpg","фото на сайте")</f>
        <v>фото на сайте</v>
      </c>
    </row>
    <row r="3569" spans="1:19" ht="50.1" customHeight="1">
      <c r="A3569" s="31"/>
      <c r="B3569" s="32" t="s">
        <v>13365</v>
      </c>
      <c r="C3569" s="31" t="s">
        <v>13366</v>
      </c>
      <c r="D3569" s="31" t="s">
        <v>1921</v>
      </c>
      <c r="E3569" s="31" t="s">
        <v>13367</v>
      </c>
      <c r="F3569" s="31" t="s">
        <v>31</v>
      </c>
      <c r="G3569" s="31">
        <v>579</v>
      </c>
      <c r="H3569" s="31">
        <v>10</v>
      </c>
      <c r="I3569" s="31">
        <v>10</v>
      </c>
      <c r="J3569" s="31" t="s">
        <v>13368</v>
      </c>
      <c r="K3569" s="31" t="s">
        <v>260</v>
      </c>
      <c r="L3569" s="31" t="s">
        <v>210</v>
      </c>
      <c r="M3569" s="31">
        <v>84</v>
      </c>
      <c r="N3569" s="31">
        <v>2022</v>
      </c>
      <c r="O3569" s="31">
        <v>160</v>
      </c>
      <c r="P3569" s="31"/>
      <c r="Q3569" s="31"/>
      <c r="R3569" s="33" t="s">
        <v>13369</v>
      </c>
      <c r="S3569" s="34" t="str">
        <f>HYPERLINK("http://www.cnpol.ru/covers/20353.jpg","фото на сайте")</f>
        <v>фото на сайте</v>
      </c>
    </row>
    <row r="3570" spans="1:19" ht="50.1" customHeight="1">
      <c r="A3570" s="31"/>
      <c r="B3570" s="32" t="s">
        <v>13370</v>
      </c>
      <c r="C3570" s="31" t="s">
        <v>5430</v>
      </c>
      <c r="D3570" s="31" t="s">
        <v>1921</v>
      </c>
      <c r="E3570" s="31" t="s">
        <v>13367</v>
      </c>
      <c r="F3570" s="31" t="s">
        <v>31</v>
      </c>
      <c r="G3570" s="31">
        <v>349</v>
      </c>
      <c r="H3570" s="31">
        <v>10</v>
      </c>
      <c r="I3570" s="31">
        <v>18</v>
      </c>
      <c r="J3570" s="31" t="s">
        <v>13371</v>
      </c>
      <c r="K3570" s="31" t="s">
        <v>33</v>
      </c>
      <c r="L3570" s="31" t="s">
        <v>210</v>
      </c>
      <c r="M3570" s="31">
        <v>249</v>
      </c>
      <c r="N3570" s="31">
        <v>2012</v>
      </c>
      <c r="O3570" s="31">
        <v>282</v>
      </c>
      <c r="P3570" s="31"/>
      <c r="Q3570" s="31"/>
      <c r="R3570" s="33"/>
      <c r="S3570" s="34" t="str">
        <f>HYPERLINK("http://www.cnpol.ru/covers/13160.jpg","фото на сайте")</f>
        <v>фото на сайте</v>
      </c>
    </row>
    <row r="3571" spans="1:19" ht="50.1" customHeight="1">
      <c r="A3571" s="31"/>
      <c r="B3571" s="32" t="s">
        <v>13372</v>
      </c>
      <c r="C3571" s="31" t="s">
        <v>5430</v>
      </c>
      <c r="D3571" s="31" t="s">
        <v>1921</v>
      </c>
      <c r="E3571" s="31" t="s">
        <v>13367</v>
      </c>
      <c r="F3571" s="31" t="s">
        <v>31</v>
      </c>
      <c r="G3571" s="31">
        <v>539</v>
      </c>
      <c r="H3571" s="31">
        <v>10</v>
      </c>
      <c r="I3571" s="31">
        <v>20</v>
      </c>
      <c r="J3571" s="31" t="s">
        <v>13373</v>
      </c>
      <c r="K3571" s="31" t="s">
        <v>33</v>
      </c>
      <c r="L3571" s="31" t="s">
        <v>34</v>
      </c>
      <c r="M3571" s="31">
        <v>256</v>
      </c>
      <c r="N3571" s="31">
        <v>2022</v>
      </c>
      <c r="O3571" s="31">
        <v>302</v>
      </c>
      <c r="P3571" s="31"/>
      <c r="Q3571" s="31"/>
      <c r="R3571" s="33"/>
      <c r="S3571" s="34" t="str">
        <f>HYPERLINK("http://www.cnpol.ru/covers/20112.jpg","фото на сайте")</f>
        <v>фото на сайте</v>
      </c>
    </row>
    <row r="3572" spans="1:19" ht="50.1" customHeight="1">
      <c r="A3572" s="31" t="s">
        <v>35</v>
      </c>
      <c r="B3572" s="32" t="s">
        <v>13374</v>
      </c>
      <c r="C3572" s="31" t="s">
        <v>1920</v>
      </c>
      <c r="D3572" s="31" t="s">
        <v>1921</v>
      </c>
      <c r="E3572" s="31" t="s">
        <v>13367</v>
      </c>
      <c r="F3572" s="31" t="s">
        <v>31</v>
      </c>
      <c r="G3572" s="31">
        <v>258</v>
      </c>
      <c r="H3572" s="31">
        <v>10</v>
      </c>
      <c r="I3572" s="31">
        <v>12</v>
      </c>
      <c r="J3572" s="31" t="s">
        <v>13375</v>
      </c>
      <c r="K3572" s="31" t="s">
        <v>130</v>
      </c>
      <c r="L3572" s="31" t="s">
        <v>56</v>
      </c>
      <c r="M3572" s="31">
        <v>256</v>
      </c>
      <c r="N3572" s="31">
        <v>2025</v>
      </c>
      <c r="O3572" s="31">
        <v>152</v>
      </c>
      <c r="P3572" s="31"/>
      <c r="Q3572" s="31"/>
      <c r="R3572" s="33" t="s">
        <v>13376</v>
      </c>
      <c r="S3572" s="34" t="str">
        <f>HYPERLINK("http://www.cnpol.ru/covers/21837.jpg","фото на сайте")</f>
        <v>фото на сайте</v>
      </c>
    </row>
    <row r="3573" spans="1:19" ht="50.1" customHeight="1">
      <c r="A3573" s="31"/>
      <c r="B3573" s="32" t="s">
        <v>13377</v>
      </c>
      <c r="C3573" s="31" t="s">
        <v>400</v>
      </c>
      <c r="D3573" s="31" t="s">
        <v>460</v>
      </c>
      <c r="E3573" s="31" t="s">
        <v>13378</v>
      </c>
      <c r="F3573" s="31" t="s">
        <v>31</v>
      </c>
      <c r="G3573" s="31">
        <v>503</v>
      </c>
      <c r="H3573" s="31">
        <v>10</v>
      </c>
      <c r="I3573" s="31">
        <v>14</v>
      </c>
      <c r="J3573" s="31" t="s">
        <v>13379</v>
      </c>
      <c r="K3573" s="31" t="s">
        <v>33</v>
      </c>
      <c r="L3573" s="31" t="s">
        <v>34</v>
      </c>
      <c r="M3573" s="31">
        <v>319</v>
      </c>
      <c r="N3573" s="31">
        <v>2012</v>
      </c>
      <c r="O3573" s="31">
        <v>272</v>
      </c>
      <c r="P3573" s="31"/>
      <c r="Q3573" s="31"/>
      <c r="R3573" s="33"/>
      <c r="S3573" s="34" t="str">
        <f>HYPERLINK("http://www.cnpol.ru/covers/13432.jpg","фото на сайте")</f>
        <v>фото на сайте</v>
      </c>
    </row>
    <row r="3574" spans="1:19" ht="50.1" customHeight="1">
      <c r="A3574" s="31"/>
      <c r="B3574" s="32" t="s">
        <v>13380</v>
      </c>
      <c r="C3574" s="31" t="s">
        <v>385</v>
      </c>
      <c r="D3574" s="31" t="s">
        <v>386</v>
      </c>
      <c r="E3574" s="31" t="s">
        <v>13381</v>
      </c>
      <c r="F3574" s="31" t="s">
        <v>31</v>
      </c>
      <c r="G3574" s="31">
        <v>162</v>
      </c>
      <c r="H3574" s="31">
        <v>10</v>
      </c>
      <c r="I3574" s="31">
        <v>32</v>
      </c>
      <c r="J3574" s="31" t="s">
        <v>13382</v>
      </c>
      <c r="K3574" s="31" t="s">
        <v>55</v>
      </c>
      <c r="L3574" s="31" t="s">
        <v>56</v>
      </c>
      <c r="M3574" s="31">
        <v>256</v>
      </c>
      <c r="N3574" s="31">
        <v>2016</v>
      </c>
      <c r="O3574" s="31">
        <v>104</v>
      </c>
      <c r="P3574" s="31"/>
      <c r="Q3574" s="31"/>
      <c r="R3574" s="33"/>
      <c r="S3574" s="34" t="str">
        <f>HYPERLINK("http://www.cnpol.ru/covers/0173.jpg","фото на сайте")</f>
        <v>фото на сайте</v>
      </c>
    </row>
    <row r="3575" spans="1:19" ht="50.1" customHeight="1">
      <c r="A3575" s="31"/>
      <c r="B3575" s="32" t="s">
        <v>13383</v>
      </c>
      <c r="C3575" s="31" t="s">
        <v>1813</v>
      </c>
      <c r="D3575" s="31" t="s">
        <v>1814</v>
      </c>
      <c r="E3575" s="31" t="s">
        <v>13384</v>
      </c>
      <c r="F3575" s="31" t="s">
        <v>31</v>
      </c>
      <c r="G3575" s="31">
        <v>349</v>
      </c>
      <c r="H3575" s="31">
        <v>10</v>
      </c>
      <c r="I3575" s="31">
        <v>20</v>
      </c>
      <c r="J3575" s="31" t="s">
        <v>13385</v>
      </c>
      <c r="K3575" s="31" t="s">
        <v>130</v>
      </c>
      <c r="L3575" s="31" t="s">
        <v>210</v>
      </c>
      <c r="M3575" s="31">
        <v>160</v>
      </c>
      <c r="N3575" s="31">
        <v>2021</v>
      </c>
      <c r="O3575" s="31">
        <v>140</v>
      </c>
      <c r="P3575" s="31"/>
      <c r="Q3575" s="31"/>
      <c r="R3575" s="33"/>
      <c r="S3575" s="34" t="str">
        <f>HYPERLINK("http://www.cnpol.ru/covers/20009.jpg","фото на сайте")</f>
        <v>фото на сайте</v>
      </c>
    </row>
    <row r="3576" spans="1:19" ht="50.1" customHeight="1">
      <c r="A3576" s="31"/>
      <c r="B3576" s="32" t="s">
        <v>13386</v>
      </c>
      <c r="C3576" s="31" t="s">
        <v>2497</v>
      </c>
      <c r="D3576" s="31" t="s">
        <v>1814</v>
      </c>
      <c r="E3576" s="31" t="s">
        <v>13387</v>
      </c>
      <c r="F3576" s="31" t="s">
        <v>31</v>
      </c>
      <c r="G3576" s="31">
        <v>251</v>
      </c>
      <c r="H3576" s="31">
        <v>10</v>
      </c>
      <c r="I3576" s="31">
        <v>24</v>
      </c>
      <c r="J3576" s="31" t="s">
        <v>13388</v>
      </c>
      <c r="K3576" s="31" t="s">
        <v>123</v>
      </c>
      <c r="L3576" s="31" t="s">
        <v>56</v>
      </c>
      <c r="M3576" s="31">
        <v>219</v>
      </c>
      <c r="N3576" s="31">
        <v>2021</v>
      </c>
      <c r="O3576" s="31">
        <v>122</v>
      </c>
      <c r="P3576" s="31"/>
      <c r="Q3576" s="31"/>
      <c r="R3576" s="33"/>
      <c r="S3576" s="34" t="str">
        <f>HYPERLINK("http://www.cnpol.ru/covers/20005.jpg","фото на сайте")</f>
        <v>фото на сайте</v>
      </c>
    </row>
    <row r="3577" spans="1:19" ht="50.1" customHeight="1">
      <c r="A3577" s="31"/>
      <c r="B3577" s="32" t="s">
        <v>13389</v>
      </c>
      <c r="C3577" s="31" t="s">
        <v>1818</v>
      </c>
      <c r="D3577" s="31" t="s">
        <v>1814</v>
      </c>
      <c r="E3577" s="31" t="s">
        <v>13387</v>
      </c>
      <c r="F3577" s="31" t="s">
        <v>31</v>
      </c>
      <c r="G3577" s="31">
        <v>258</v>
      </c>
      <c r="H3577" s="31">
        <v>10</v>
      </c>
      <c r="I3577" s="31">
        <v>30</v>
      </c>
      <c r="J3577" s="31" t="s">
        <v>13390</v>
      </c>
      <c r="K3577" s="31" t="s">
        <v>130</v>
      </c>
      <c r="L3577" s="31" t="s">
        <v>56</v>
      </c>
      <c r="M3577" s="31">
        <v>192</v>
      </c>
      <c r="N3577" s="31">
        <v>2021</v>
      </c>
      <c r="O3577" s="31">
        <v>140</v>
      </c>
      <c r="P3577" s="31"/>
      <c r="Q3577" s="31"/>
      <c r="R3577" s="33"/>
      <c r="S3577" s="34" t="str">
        <f>HYPERLINK("http://www.cnpol.ru/covers/19992.jpg","фото на сайте")</f>
        <v>фото на сайте</v>
      </c>
    </row>
    <row r="3578" spans="1:19" ht="50.1" customHeight="1">
      <c r="A3578" s="31"/>
      <c r="B3578" s="32" t="s">
        <v>13391</v>
      </c>
      <c r="C3578" s="31" t="s">
        <v>479</v>
      </c>
      <c r="D3578" s="31" t="s">
        <v>13392</v>
      </c>
      <c r="E3578" s="31" t="s">
        <v>13393</v>
      </c>
      <c r="F3578" s="31" t="s">
        <v>31</v>
      </c>
      <c r="G3578" s="31">
        <v>539</v>
      </c>
      <c r="H3578" s="31">
        <v>10</v>
      </c>
      <c r="I3578" s="31">
        <v>14</v>
      </c>
      <c r="J3578" s="31" t="s">
        <v>13394</v>
      </c>
      <c r="K3578" s="31" t="s">
        <v>33</v>
      </c>
      <c r="L3578" s="31" t="s">
        <v>34</v>
      </c>
      <c r="M3578" s="31">
        <v>224</v>
      </c>
      <c r="N3578" s="31">
        <v>2021</v>
      </c>
      <c r="O3578" s="31">
        <v>220</v>
      </c>
      <c r="P3578" s="31"/>
      <c r="Q3578" s="31"/>
      <c r="R3578" s="33"/>
      <c r="S3578" s="34" t="str">
        <f>HYPERLINK("http://www.cnpol.ru/covers/19688.jpg","фото на сайте")</f>
        <v>фото на сайте</v>
      </c>
    </row>
    <row r="3579" spans="1:19" ht="50.1" customHeight="1">
      <c r="A3579" s="31"/>
      <c r="B3579" s="32" t="s">
        <v>13395</v>
      </c>
      <c r="C3579" s="31" t="s">
        <v>37</v>
      </c>
      <c r="D3579" s="31" t="s">
        <v>13392</v>
      </c>
      <c r="E3579" s="31" t="s">
        <v>13396</v>
      </c>
      <c r="F3579" s="31" t="s">
        <v>31</v>
      </c>
      <c r="G3579" s="31">
        <v>539</v>
      </c>
      <c r="H3579" s="31">
        <v>10</v>
      </c>
      <c r="I3579" s="31">
        <v>14</v>
      </c>
      <c r="J3579" s="31" t="s">
        <v>13397</v>
      </c>
      <c r="K3579" s="31" t="s">
        <v>33</v>
      </c>
      <c r="L3579" s="31" t="s">
        <v>34</v>
      </c>
      <c r="M3579" s="31">
        <v>224</v>
      </c>
      <c r="N3579" s="31">
        <v>2021</v>
      </c>
      <c r="O3579" s="31">
        <v>220</v>
      </c>
      <c r="P3579" s="31"/>
      <c r="Q3579" s="31"/>
      <c r="R3579" s="33"/>
      <c r="S3579" s="34" t="str">
        <f>HYPERLINK("http://www.cnpol.ru/covers/19689.jpg","фото на сайте")</f>
        <v>фото на сайте</v>
      </c>
    </row>
    <row r="3580" spans="1:19" ht="50.1" customHeight="1">
      <c r="A3580" s="31"/>
      <c r="B3580" s="32" t="s">
        <v>13398</v>
      </c>
      <c r="C3580" s="31" t="s">
        <v>4834</v>
      </c>
      <c r="D3580" s="31" t="s">
        <v>13399</v>
      </c>
      <c r="E3580" s="31" t="s">
        <v>13400</v>
      </c>
      <c r="F3580" s="31" t="s">
        <v>31</v>
      </c>
      <c r="G3580" s="31">
        <v>290</v>
      </c>
      <c r="H3580" s="31">
        <v>10</v>
      </c>
      <c r="I3580" s="31">
        <v>12</v>
      </c>
      <c r="J3580" s="31" t="s">
        <v>13401</v>
      </c>
      <c r="K3580" s="31" t="s">
        <v>300</v>
      </c>
      <c r="L3580" s="31" t="s">
        <v>56</v>
      </c>
      <c r="M3580" s="31">
        <v>448</v>
      </c>
      <c r="N3580" s="31">
        <v>2016</v>
      </c>
      <c r="O3580" s="31">
        <v>212</v>
      </c>
      <c r="P3580" s="31"/>
      <c r="Q3580" s="31"/>
      <c r="R3580" s="33"/>
      <c r="S3580" s="34" t="str">
        <f>HYPERLINK("http://www.cnpol.ru/covers/16824.jpg","фото на сайте")</f>
        <v>фото на сайте</v>
      </c>
    </row>
    <row r="3581" spans="1:19" ht="50.1" customHeight="1">
      <c r="A3581" s="31"/>
      <c r="B3581" s="32" t="s">
        <v>13402</v>
      </c>
      <c r="C3581" s="31" t="s">
        <v>297</v>
      </c>
      <c r="D3581" s="31" t="s">
        <v>13403</v>
      </c>
      <c r="E3581" s="31" t="s">
        <v>13404</v>
      </c>
      <c r="F3581" s="31" t="s">
        <v>31</v>
      </c>
      <c r="G3581" s="31">
        <v>300</v>
      </c>
      <c r="H3581" s="31">
        <v>10</v>
      </c>
      <c r="I3581" s="31">
        <v>16</v>
      </c>
      <c r="J3581" s="31" t="s">
        <v>13405</v>
      </c>
      <c r="K3581" s="31" t="s">
        <v>300</v>
      </c>
      <c r="L3581" s="31" t="s">
        <v>56</v>
      </c>
      <c r="M3581" s="31">
        <v>320</v>
      </c>
      <c r="N3581" s="31">
        <v>2018</v>
      </c>
      <c r="O3581" s="31">
        <v>208</v>
      </c>
      <c r="P3581" s="31"/>
      <c r="Q3581" s="31"/>
      <c r="R3581" s="33"/>
      <c r="S3581" s="34" t="str">
        <f>HYPERLINK("http://www.cnpol.ru/covers/18144.jpg","фото на сайте")</f>
        <v>фото на сайте</v>
      </c>
    </row>
    <row r="3582" spans="1:19" ht="50.1" customHeight="1">
      <c r="A3582" s="31"/>
      <c r="B3582" s="32" t="s">
        <v>13406</v>
      </c>
      <c r="C3582" s="31" t="s">
        <v>302</v>
      </c>
      <c r="D3582" s="31" t="s">
        <v>13403</v>
      </c>
      <c r="E3582" s="31" t="s">
        <v>13404</v>
      </c>
      <c r="F3582" s="31" t="s">
        <v>31</v>
      </c>
      <c r="G3582" s="31">
        <v>917</v>
      </c>
      <c r="H3582" s="31">
        <v>10</v>
      </c>
      <c r="I3582" s="31">
        <v>10</v>
      </c>
      <c r="J3582" s="31" t="s">
        <v>13407</v>
      </c>
      <c r="K3582" s="31" t="s">
        <v>41</v>
      </c>
      <c r="L3582" s="31" t="s">
        <v>304</v>
      </c>
      <c r="M3582" s="31">
        <v>464</v>
      </c>
      <c r="N3582" s="31">
        <v>2014</v>
      </c>
      <c r="O3582" s="31">
        <v>606</v>
      </c>
      <c r="P3582" s="31"/>
      <c r="Q3582" s="31"/>
      <c r="R3582" s="33"/>
      <c r="S3582" s="34" t="str">
        <f>HYPERLINK("http://www.cnpol.ru/covers/15556.jpg","фото на сайте")</f>
        <v>фото на сайте</v>
      </c>
    </row>
    <row r="3583" spans="1:19" ht="50.1" customHeight="1">
      <c r="A3583" s="31"/>
      <c r="B3583" s="32" t="s">
        <v>13408</v>
      </c>
      <c r="C3583" s="31" t="s">
        <v>390</v>
      </c>
      <c r="D3583" s="31" t="s">
        <v>2177</v>
      </c>
      <c r="E3583" s="31" t="s">
        <v>13409</v>
      </c>
      <c r="F3583" s="31">
        <v>930</v>
      </c>
      <c r="G3583" s="31">
        <v>86</v>
      </c>
      <c r="H3583" s="31">
        <v>10</v>
      </c>
      <c r="I3583" s="31">
        <v>30</v>
      </c>
      <c r="J3583" s="31" t="s">
        <v>13410</v>
      </c>
      <c r="K3583" s="31" t="s">
        <v>123</v>
      </c>
      <c r="L3583" s="31" t="s">
        <v>56</v>
      </c>
      <c r="M3583" s="31">
        <v>159</v>
      </c>
      <c r="N3583" s="31">
        <v>2019</v>
      </c>
      <c r="O3583" s="31">
        <v>76</v>
      </c>
      <c r="P3583" s="31"/>
      <c r="Q3583" s="31"/>
      <c r="R3583" s="33"/>
      <c r="S3583" s="34" t="str">
        <f>HYPERLINK("http://www.cnpol.ru/covers/18888.jpg","фото на сайте")</f>
        <v>фото на сайте</v>
      </c>
    </row>
    <row r="3584" spans="1:19" ht="50.1" customHeight="1">
      <c r="A3584" s="31"/>
      <c r="B3584" s="32" t="s">
        <v>13411</v>
      </c>
      <c r="C3584" s="31" t="s">
        <v>1516</v>
      </c>
      <c r="D3584" s="31" t="s">
        <v>3095</v>
      </c>
      <c r="E3584" s="31" t="s">
        <v>13412</v>
      </c>
      <c r="F3584" s="31">
        <v>3</v>
      </c>
      <c r="G3584" s="31">
        <v>106</v>
      </c>
      <c r="H3584" s="31">
        <v>10</v>
      </c>
      <c r="I3584" s="31">
        <v>30</v>
      </c>
      <c r="J3584" s="31" t="s">
        <v>13413</v>
      </c>
      <c r="K3584" s="31" t="s">
        <v>123</v>
      </c>
      <c r="L3584" s="31" t="s">
        <v>56</v>
      </c>
      <c r="M3584" s="31">
        <v>160</v>
      </c>
      <c r="N3584" s="31">
        <v>2017</v>
      </c>
      <c r="O3584" s="31">
        <v>76</v>
      </c>
      <c r="P3584" s="31"/>
      <c r="Q3584" s="31"/>
      <c r="R3584" s="33"/>
      <c r="S3584" s="34" t="str">
        <f>HYPERLINK("http://www.cnpol.ru/covers/17818.jpg","фото на сайте")</f>
        <v>фото на сайте</v>
      </c>
    </row>
    <row r="3585" spans="1:19" ht="50.1" customHeight="1">
      <c r="A3585" s="31"/>
      <c r="B3585" s="32" t="s">
        <v>13414</v>
      </c>
      <c r="C3585" s="31" t="s">
        <v>1623</v>
      </c>
      <c r="D3585" s="31" t="s">
        <v>3018</v>
      </c>
      <c r="E3585" s="31" t="s">
        <v>13415</v>
      </c>
      <c r="F3585" s="31" t="s">
        <v>31</v>
      </c>
      <c r="G3585" s="31">
        <v>169</v>
      </c>
      <c r="H3585" s="31">
        <v>10</v>
      </c>
      <c r="I3585" s="31">
        <v>32</v>
      </c>
      <c r="J3585" s="31" t="s">
        <v>13416</v>
      </c>
      <c r="K3585" s="31" t="s">
        <v>55</v>
      </c>
      <c r="L3585" s="31" t="s">
        <v>56</v>
      </c>
      <c r="M3585" s="31">
        <v>288</v>
      </c>
      <c r="N3585" s="31">
        <v>2021</v>
      </c>
      <c r="O3585" s="31">
        <v>122</v>
      </c>
      <c r="P3585" s="31"/>
      <c r="Q3585" s="31"/>
      <c r="R3585" s="33"/>
      <c r="S3585" s="34" t="str">
        <f>HYPERLINK("http://www.cnpol.ru/covers/19534.jpg","фото на сайте")</f>
        <v>фото на сайте</v>
      </c>
    </row>
    <row r="3586" spans="1:19" ht="50.1" customHeight="1">
      <c r="A3586" s="31"/>
      <c r="B3586" s="32" t="s">
        <v>13417</v>
      </c>
      <c r="C3586" s="31" t="s">
        <v>1338</v>
      </c>
      <c r="D3586" s="31" t="s">
        <v>13418</v>
      </c>
      <c r="E3586" s="31" t="s">
        <v>13419</v>
      </c>
      <c r="F3586" s="31" t="s">
        <v>31</v>
      </c>
      <c r="G3586" s="31">
        <v>154</v>
      </c>
      <c r="H3586" s="31">
        <v>10</v>
      </c>
      <c r="I3586" s="31">
        <v>36</v>
      </c>
      <c r="J3586" s="31" t="s">
        <v>13420</v>
      </c>
      <c r="K3586" s="31" t="s">
        <v>55</v>
      </c>
      <c r="L3586" s="31" t="s">
        <v>56</v>
      </c>
      <c r="M3586" s="31">
        <v>255</v>
      </c>
      <c r="N3586" s="31">
        <v>2011</v>
      </c>
      <c r="O3586" s="31">
        <v>108</v>
      </c>
      <c r="P3586" s="31"/>
      <c r="Q3586" s="31"/>
      <c r="R3586" s="33"/>
      <c r="S3586" s="34" t="str">
        <f>HYPERLINK("http://www.cnpol.ru/covers/12551.jpg","фото на сайте")</f>
        <v>фото на сайте</v>
      </c>
    </row>
    <row r="3587" spans="1:19" ht="50.1" customHeight="1">
      <c r="A3587" s="31"/>
      <c r="B3587" s="32" t="s">
        <v>13421</v>
      </c>
      <c r="C3587" s="31" t="s">
        <v>400</v>
      </c>
      <c r="D3587" s="31" t="s">
        <v>13422</v>
      </c>
      <c r="E3587" s="31" t="s">
        <v>13423</v>
      </c>
      <c r="F3587" s="31" t="s">
        <v>31</v>
      </c>
      <c r="G3587" s="31">
        <v>503</v>
      </c>
      <c r="H3587" s="31">
        <v>10</v>
      </c>
      <c r="I3587" s="31">
        <v>4</v>
      </c>
      <c r="J3587" s="31" t="s">
        <v>13424</v>
      </c>
      <c r="K3587" s="31" t="s">
        <v>33</v>
      </c>
      <c r="L3587" s="31" t="s">
        <v>34</v>
      </c>
      <c r="M3587" s="31">
        <v>287</v>
      </c>
      <c r="N3587" s="31">
        <v>2023</v>
      </c>
      <c r="O3587" s="31">
        <v>278</v>
      </c>
      <c r="P3587" s="31"/>
      <c r="Q3587" s="31"/>
      <c r="R3587" s="33" t="s">
        <v>13425</v>
      </c>
      <c r="S3587" s="34" t="str">
        <f>HYPERLINK("http://www.cnpol.ru/covers/20540.jpg","фото на сайте")</f>
        <v>фото на сайте</v>
      </c>
    </row>
    <row r="3588" spans="1:19" ht="50.1" customHeight="1">
      <c r="A3588" s="31"/>
      <c r="B3588" s="32" t="s">
        <v>13426</v>
      </c>
      <c r="C3588" s="31" t="s">
        <v>7214</v>
      </c>
      <c r="D3588" s="31" t="s">
        <v>13427</v>
      </c>
      <c r="E3588" s="31" t="s">
        <v>13428</v>
      </c>
      <c r="F3588" s="31" t="s">
        <v>31</v>
      </c>
      <c r="G3588" s="31">
        <v>441</v>
      </c>
      <c r="H3588" s="31">
        <v>10</v>
      </c>
      <c r="I3588" s="31">
        <v>16</v>
      </c>
      <c r="J3588" s="31" t="s">
        <v>13429</v>
      </c>
      <c r="K3588" s="31" t="s">
        <v>33</v>
      </c>
      <c r="L3588" s="31" t="s">
        <v>34</v>
      </c>
      <c r="M3588" s="31">
        <v>255</v>
      </c>
      <c r="N3588" s="31">
        <v>2008</v>
      </c>
      <c r="O3588" s="31">
        <v>268</v>
      </c>
      <c r="P3588" s="31"/>
      <c r="Q3588" s="31"/>
      <c r="R3588" s="33"/>
      <c r="S3588" s="34" t="str">
        <f>HYPERLINK("http://www.cnpol.ru/covers/10682.jpg","фото на сайте")</f>
        <v>фото на сайте</v>
      </c>
    </row>
    <row r="3589" spans="1:19" ht="50.1" customHeight="1">
      <c r="A3589" s="31"/>
      <c r="B3589" s="32" t="s">
        <v>13430</v>
      </c>
      <c r="C3589" s="31" t="s">
        <v>8466</v>
      </c>
      <c r="D3589" s="31" t="s">
        <v>13427</v>
      </c>
      <c r="E3589" s="31" t="s">
        <v>13428</v>
      </c>
      <c r="F3589" s="31" t="s">
        <v>31</v>
      </c>
      <c r="G3589" s="31">
        <v>169</v>
      </c>
      <c r="H3589" s="31">
        <v>10</v>
      </c>
      <c r="I3589" s="31">
        <v>20</v>
      </c>
      <c r="J3589" s="31" t="s">
        <v>13431</v>
      </c>
      <c r="K3589" s="31" t="s">
        <v>55</v>
      </c>
      <c r="L3589" s="31" t="s">
        <v>56</v>
      </c>
      <c r="M3589" s="31">
        <v>288</v>
      </c>
      <c r="N3589" s="31">
        <v>2010</v>
      </c>
      <c r="O3589" s="31">
        <v>120</v>
      </c>
      <c r="P3589" s="31"/>
      <c r="Q3589" s="31"/>
      <c r="R3589" s="33"/>
      <c r="S3589" s="34" t="str">
        <f>HYPERLINK("http://www.cnpol.ru/covers/11753.jpg","фото на сайте")</f>
        <v>фото на сайте</v>
      </c>
    </row>
    <row r="3590" spans="1:19" ht="50.1" customHeight="1">
      <c r="A3590" s="31"/>
      <c r="B3590" s="32" t="s">
        <v>13432</v>
      </c>
      <c r="C3590" s="31" t="s">
        <v>479</v>
      </c>
      <c r="D3590" s="31" t="s">
        <v>13433</v>
      </c>
      <c r="E3590" s="31" t="s">
        <v>13434</v>
      </c>
      <c r="F3590" s="31" t="s">
        <v>31</v>
      </c>
      <c r="G3590" s="35">
        <v>1058</v>
      </c>
      <c r="H3590" s="31">
        <v>10</v>
      </c>
      <c r="I3590" s="31">
        <v>8</v>
      </c>
      <c r="J3590" s="31" t="s">
        <v>13435</v>
      </c>
      <c r="K3590" s="31" t="s">
        <v>41</v>
      </c>
      <c r="L3590" s="31" t="s">
        <v>34</v>
      </c>
      <c r="M3590" s="31">
        <v>752</v>
      </c>
      <c r="N3590" s="31">
        <v>2017</v>
      </c>
      <c r="O3590" s="31">
        <v>758</v>
      </c>
      <c r="P3590" s="31"/>
      <c r="Q3590" s="31"/>
      <c r="R3590" s="33"/>
      <c r="S3590" s="34" t="str">
        <f>HYPERLINK("http://www.cnpol.ru/covers/17810.jpg","фото на сайте")</f>
        <v>фото на сайте</v>
      </c>
    </row>
    <row r="3591" spans="1:19" ht="50.1" customHeight="1">
      <c r="A3591" s="31" t="s">
        <v>35</v>
      </c>
      <c r="B3591" s="32" t="s">
        <v>13436</v>
      </c>
      <c r="C3591" s="31" t="s">
        <v>143</v>
      </c>
      <c r="D3591" s="31" t="s">
        <v>4604</v>
      </c>
      <c r="E3591" s="31" t="s">
        <v>13437</v>
      </c>
      <c r="F3591" s="31" t="s">
        <v>31</v>
      </c>
      <c r="G3591" s="31">
        <v>692</v>
      </c>
      <c r="H3591" s="31">
        <v>10</v>
      </c>
      <c r="I3591" s="31">
        <v>18</v>
      </c>
      <c r="J3591" s="31" t="s">
        <v>13438</v>
      </c>
      <c r="K3591" s="31" t="s">
        <v>33</v>
      </c>
      <c r="L3591" s="31" t="s">
        <v>34</v>
      </c>
      <c r="M3591" s="31">
        <v>191</v>
      </c>
      <c r="N3591" s="31">
        <v>2025</v>
      </c>
      <c r="O3591" s="31">
        <v>250</v>
      </c>
      <c r="P3591" s="31"/>
      <c r="Q3591" s="31"/>
      <c r="R3591" s="33" t="s">
        <v>13439</v>
      </c>
      <c r="S3591" s="34" t="str">
        <f>HYPERLINK("http://www.cnpol.ru/covers/21686.jpg","фото на сайте")</f>
        <v>фото на сайте</v>
      </c>
    </row>
    <row r="3592" spans="1:19" ht="50.1" customHeight="1">
      <c r="A3592" s="31"/>
      <c r="B3592" s="32" t="s">
        <v>13440</v>
      </c>
      <c r="C3592" s="31" t="s">
        <v>1668</v>
      </c>
      <c r="D3592" s="31" t="s">
        <v>1669</v>
      </c>
      <c r="E3592" s="31" t="s">
        <v>13441</v>
      </c>
      <c r="F3592" s="31" t="s">
        <v>31</v>
      </c>
      <c r="G3592" s="31">
        <v>575</v>
      </c>
      <c r="H3592" s="31">
        <v>10</v>
      </c>
      <c r="I3592" s="31">
        <v>14</v>
      </c>
      <c r="J3592" s="31" t="s">
        <v>13442</v>
      </c>
      <c r="K3592" s="31" t="s">
        <v>33</v>
      </c>
      <c r="L3592" s="31" t="s">
        <v>34</v>
      </c>
      <c r="M3592" s="31">
        <v>318</v>
      </c>
      <c r="N3592" s="31">
        <v>2023</v>
      </c>
      <c r="O3592" s="31">
        <v>270</v>
      </c>
      <c r="P3592" s="31"/>
      <c r="Q3592" s="31"/>
      <c r="R3592" s="33" t="s">
        <v>13443</v>
      </c>
      <c r="S3592" s="34" t="str">
        <f>HYPERLINK("http://www.cnpol.ru/covers/20653.jpg","фото на сайте")</f>
        <v>фото на сайте</v>
      </c>
    </row>
    <row r="3593" spans="1:19" ht="50.1" customHeight="1">
      <c r="A3593" s="31"/>
      <c r="B3593" s="32" t="s">
        <v>13444</v>
      </c>
      <c r="C3593" s="31" t="s">
        <v>4411</v>
      </c>
      <c r="D3593" s="31" t="s">
        <v>3754</v>
      </c>
      <c r="E3593" s="31" t="s">
        <v>13445</v>
      </c>
      <c r="F3593" s="31" t="s">
        <v>31</v>
      </c>
      <c r="G3593" s="31">
        <v>288</v>
      </c>
      <c r="H3593" s="31">
        <v>10</v>
      </c>
      <c r="I3593" s="31">
        <v>24</v>
      </c>
      <c r="J3593" s="31" t="s">
        <v>13446</v>
      </c>
      <c r="K3593" s="31" t="s">
        <v>123</v>
      </c>
      <c r="L3593" s="31" t="s">
        <v>56</v>
      </c>
      <c r="M3593" s="31">
        <v>256</v>
      </c>
      <c r="N3593" s="31">
        <v>2022</v>
      </c>
      <c r="O3593" s="31">
        <v>122</v>
      </c>
      <c r="P3593" s="31"/>
      <c r="Q3593" s="31"/>
      <c r="R3593" s="33"/>
      <c r="S3593" s="34" t="str">
        <f>HYPERLINK("http://www.cnpol.ru/covers/20148.jpg","фото на сайте")</f>
        <v>фото на сайте</v>
      </c>
    </row>
    <row r="3594" spans="1:19" ht="50.1" customHeight="1">
      <c r="A3594" s="31"/>
      <c r="B3594" s="32" t="s">
        <v>13447</v>
      </c>
      <c r="C3594" s="31" t="s">
        <v>13448</v>
      </c>
      <c r="D3594" s="31" t="s">
        <v>1814</v>
      </c>
      <c r="E3594" s="31" t="s">
        <v>13449</v>
      </c>
      <c r="F3594" s="31" t="s">
        <v>31</v>
      </c>
      <c r="G3594" s="31">
        <v>349</v>
      </c>
      <c r="H3594" s="31">
        <v>10</v>
      </c>
      <c r="I3594" s="31">
        <v>16</v>
      </c>
      <c r="J3594" s="31" t="s">
        <v>13450</v>
      </c>
      <c r="K3594" s="31" t="s">
        <v>41</v>
      </c>
      <c r="L3594" s="31" t="s">
        <v>56</v>
      </c>
      <c r="M3594" s="31">
        <v>256</v>
      </c>
      <c r="N3594" s="31">
        <v>2021</v>
      </c>
      <c r="O3594" s="31">
        <v>182</v>
      </c>
      <c r="P3594" s="31"/>
      <c r="Q3594" s="31"/>
      <c r="R3594" s="33" t="s">
        <v>13451</v>
      </c>
      <c r="S3594" s="34" t="str">
        <f>HYPERLINK("http://www.cnpol.ru/covers/20436.jpg","фото на сайте")</f>
        <v>фото на сайте</v>
      </c>
    </row>
    <row r="3595" spans="1:19" ht="50.1" customHeight="1">
      <c r="A3595" s="31"/>
      <c r="B3595" s="32" t="s">
        <v>13452</v>
      </c>
      <c r="C3595" s="31" t="s">
        <v>390</v>
      </c>
      <c r="D3595" s="31" t="s">
        <v>2137</v>
      </c>
      <c r="E3595" s="31" t="s">
        <v>13453</v>
      </c>
      <c r="F3595" s="31">
        <v>1045</v>
      </c>
      <c r="G3595" s="31">
        <v>86</v>
      </c>
      <c r="H3595" s="31">
        <v>10</v>
      </c>
      <c r="I3595" s="31">
        <v>30</v>
      </c>
      <c r="J3595" s="31" t="s">
        <v>13454</v>
      </c>
      <c r="K3595" s="31" t="s">
        <v>123</v>
      </c>
      <c r="L3595" s="31" t="s">
        <v>56</v>
      </c>
      <c r="M3595" s="31">
        <v>160</v>
      </c>
      <c r="N3595" s="31">
        <v>2021</v>
      </c>
      <c r="O3595" s="31">
        <v>76</v>
      </c>
      <c r="P3595" s="31"/>
      <c r="Q3595" s="31"/>
      <c r="R3595" s="33"/>
      <c r="S3595" s="34" t="str">
        <f>HYPERLINK("http://www.cnpol.ru/covers/19736.jpg","фото на сайте")</f>
        <v>фото на сайте</v>
      </c>
    </row>
    <row r="3596" spans="1:19" ht="50.1" customHeight="1">
      <c r="A3596" s="31"/>
      <c r="B3596" s="32" t="s">
        <v>13455</v>
      </c>
      <c r="C3596" s="31" t="s">
        <v>546</v>
      </c>
      <c r="D3596" s="31" t="s">
        <v>1107</v>
      </c>
      <c r="E3596" s="31" t="s">
        <v>13456</v>
      </c>
      <c r="F3596" s="31">
        <v>242</v>
      </c>
      <c r="G3596" s="31">
        <v>93</v>
      </c>
      <c r="H3596" s="31">
        <v>10</v>
      </c>
      <c r="I3596" s="31">
        <v>30</v>
      </c>
      <c r="J3596" s="31" t="s">
        <v>13457</v>
      </c>
      <c r="K3596" s="31" t="s">
        <v>123</v>
      </c>
      <c r="L3596" s="31" t="s">
        <v>56</v>
      </c>
      <c r="M3596" s="31">
        <v>160</v>
      </c>
      <c r="N3596" s="31">
        <v>2017</v>
      </c>
      <c r="O3596" s="31">
        <v>76</v>
      </c>
      <c r="P3596" s="31"/>
      <c r="Q3596" s="31"/>
      <c r="R3596" s="33"/>
      <c r="S3596" s="34" t="str">
        <f>HYPERLINK("http://www.cnpol.ru/covers/17766.jpg","фото на сайте")</f>
        <v>фото на сайте</v>
      </c>
    </row>
    <row r="3597" spans="1:19" ht="50.1" customHeight="1">
      <c r="A3597" s="31" t="s">
        <v>35</v>
      </c>
      <c r="B3597" s="32" t="s">
        <v>13458</v>
      </c>
      <c r="C3597" s="31" t="s">
        <v>37</v>
      </c>
      <c r="D3597" s="31" t="s">
        <v>13459</v>
      </c>
      <c r="E3597" s="31" t="s">
        <v>13460</v>
      </c>
      <c r="F3597" s="31" t="s">
        <v>31</v>
      </c>
      <c r="G3597" s="35">
        <v>1107</v>
      </c>
      <c r="H3597" s="31">
        <v>10</v>
      </c>
      <c r="I3597" s="31">
        <v>6</v>
      </c>
      <c r="J3597" s="31" t="s">
        <v>13461</v>
      </c>
      <c r="K3597" s="31" t="s">
        <v>33</v>
      </c>
      <c r="L3597" s="31" t="s">
        <v>34</v>
      </c>
      <c r="M3597" s="31">
        <v>415</v>
      </c>
      <c r="N3597" s="31">
        <v>2025</v>
      </c>
      <c r="O3597" s="31" t="s">
        <v>220</v>
      </c>
      <c r="P3597" s="31"/>
      <c r="Q3597" s="31"/>
      <c r="R3597" s="33" t="s">
        <v>13462</v>
      </c>
      <c r="S3597" s="34" t="str">
        <f>HYPERLINK("http://www.cnpol.ru/covers/21810.jpg","фото на сайте")</f>
        <v>фото на сайте</v>
      </c>
    </row>
    <row r="3598" spans="1:19" ht="50.1" customHeight="1">
      <c r="A3598" s="31"/>
      <c r="B3598" s="32" t="s">
        <v>13463</v>
      </c>
      <c r="C3598" s="31" t="s">
        <v>400</v>
      </c>
      <c r="D3598" s="31" t="s">
        <v>3948</v>
      </c>
      <c r="E3598" s="31" t="s">
        <v>13464</v>
      </c>
      <c r="F3598" s="31" t="s">
        <v>31</v>
      </c>
      <c r="G3598" s="31">
        <v>503</v>
      </c>
      <c r="H3598" s="31">
        <v>10</v>
      </c>
      <c r="I3598" s="31">
        <v>14</v>
      </c>
      <c r="J3598" s="31" t="s">
        <v>13465</v>
      </c>
      <c r="K3598" s="31" t="s">
        <v>33</v>
      </c>
      <c r="L3598" s="31" t="s">
        <v>34</v>
      </c>
      <c r="M3598" s="31">
        <v>320</v>
      </c>
      <c r="N3598" s="31">
        <v>2019</v>
      </c>
      <c r="O3598" s="31">
        <v>272</v>
      </c>
      <c r="P3598" s="31"/>
      <c r="Q3598" s="31"/>
      <c r="R3598" s="33"/>
      <c r="S3598" s="34" t="str">
        <f>HYPERLINK("http://www.cnpol.ru/covers/18744.jpg","фото на сайте")</f>
        <v>фото на сайте</v>
      </c>
    </row>
    <row r="3599" spans="1:19" ht="50.1" customHeight="1">
      <c r="A3599" s="31" t="s">
        <v>35</v>
      </c>
      <c r="B3599" s="32" t="s">
        <v>13466</v>
      </c>
      <c r="C3599" s="31" t="s">
        <v>37</v>
      </c>
      <c r="D3599" s="31" t="s">
        <v>13467</v>
      </c>
      <c r="E3599" s="31" t="s">
        <v>13468</v>
      </c>
      <c r="F3599" s="31" t="s">
        <v>31</v>
      </c>
      <c r="G3599" s="31">
        <v>611</v>
      </c>
      <c r="H3599" s="31">
        <v>10</v>
      </c>
      <c r="I3599" s="31">
        <v>10</v>
      </c>
      <c r="J3599" s="31" t="s">
        <v>13469</v>
      </c>
      <c r="K3599" s="31" t="s">
        <v>33</v>
      </c>
      <c r="L3599" s="31" t="s">
        <v>34</v>
      </c>
      <c r="M3599" s="31">
        <v>447</v>
      </c>
      <c r="N3599" s="31">
        <v>2025</v>
      </c>
      <c r="O3599" s="31">
        <v>353</v>
      </c>
      <c r="P3599" s="31"/>
      <c r="Q3599" s="31"/>
      <c r="R3599" s="33" t="s">
        <v>13470</v>
      </c>
      <c r="S3599" s="34" t="str">
        <f>HYPERLINK("http://www.cnpol.ru/covers/21714.jpg","фото на сайте")</f>
        <v>фото на сайте</v>
      </c>
    </row>
    <row r="3600" spans="1:19" ht="50.1" customHeight="1">
      <c r="A3600" s="31" t="s">
        <v>43</v>
      </c>
      <c r="B3600" s="32" t="s">
        <v>13471</v>
      </c>
      <c r="C3600" s="31" t="s">
        <v>1390</v>
      </c>
      <c r="D3600" s="31" t="s">
        <v>236</v>
      </c>
      <c r="E3600" s="31" t="s">
        <v>13472</v>
      </c>
      <c r="F3600" s="31" t="s">
        <v>31</v>
      </c>
      <c r="G3600" s="31">
        <v>514</v>
      </c>
      <c r="H3600" s="31">
        <v>10</v>
      </c>
      <c r="I3600" s="31">
        <v>20</v>
      </c>
      <c r="J3600" s="31" t="s">
        <v>13473</v>
      </c>
      <c r="K3600" s="31" t="s">
        <v>33</v>
      </c>
      <c r="L3600" s="31" t="s">
        <v>34</v>
      </c>
      <c r="M3600" s="31">
        <v>255</v>
      </c>
      <c r="N3600" s="31">
        <v>2024</v>
      </c>
      <c r="O3600" s="31">
        <v>270</v>
      </c>
      <c r="P3600" s="31"/>
      <c r="Q3600" s="31"/>
      <c r="R3600" s="33" t="s">
        <v>13474</v>
      </c>
      <c r="S3600" s="34" t="str">
        <f>HYPERLINK("http://www.cnpol.ru/covers/21180.jpg","фото на сайте")</f>
        <v>фото на сайте</v>
      </c>
    </row>
    <row r="3601" spans="1:19" ht="50.1" customHeight="1">
      <c r="A3601" s="31"/>
      <c r="B3601" s="32" t="s">
        <v>13475</v>
      </c>
      <c r="C3601" s="31" t="s">
        <v>390</v>
      </c>
      <c r="D3601" s="31" t="s">
        <v>1850</v>
      </c>
      <c r="E3601" s="31" t="s">
        <v>13476</v>
      </c>
      <c r="F3601" s="31">
        <v>778</v>
      </c>
      <c r="G3601" s="31">
        <v>86</v>
      </c>
      <c r="H3601" s="31">
        <v>10</v>
      </c>
      <c r="I3601" s="31">
        <v>30</v>
      </c>
      <c r="J3601" s="31" t="s">
        <v>13477</v>
      </c>
      <c r="K3601" s="31" t="s">
        <v>123</v>
      </c>
      <c r="L3601" s="31" t="s">
        <v>56</v>
      </c>
      <c r="M3601" s="31">
        <v>160</v>
      </c>
      <c r="N3601" s="31">
        <v>2017</v>
      </c>
      <c r="O3601" s="31">
        <v>76</v>
      </c>
      <c r="P3601" s="31"/>
      <c r="Q3601" s="31"/>
      <c r="R3601" s="33"/>
      <c r="S3601" s="34" t="str">
        <f>HYPERLINK("http://www.cnpol.ru/covers/17880.jpg","фото на сайте")</f>
        <v>фото на сайте</v>
      </c>
    </row>
    <row r="3602" spans="1:19" ht="50.1" customHeight="1">
      <c r="A3602" s="31"/>
      <c r="B3602" s="32" t="s">
        <v>13478</v>
      </c>
      <c r="C3602" s="31" t="s">
        <v>390</v>
      </c>
      <c r="D3602" s="31" t="s">
        <v>4657</v>
      </c>
      <c r="E3602" s="31" t="s">
        <v>13479</v>
      </c>
      <c r="F3602" s="31">
        <v>713</v>
      </c>
      <c r="G3602" s="31">
        <v>86</v>
      </c>
      <c r="H3602" s="31">
        <v>10</v>
      </c>
      <c r="I3602" s="31">
        <v>30</v>
      </c>
      <c r="J3602" s="31" t="s">
        <v>13480</v>
      </c>
      <c r="K3602" s="31" t="s">
        <v>123</v>
      </c>
      <c r="L3602" s="31" t="s">
        <v>56</v>
      </c>
      <c r="M3602" s="31">
        <v>160</v>
      </c>
      <c r="N3602" s="31">
        <v>2017</v>
      </c>
      <c r="O3602" s="31">
        <v>76</v>
      </c>
      <c r="P3602" s="31"/>
      <c r="Q3602" s="31"/>
      <c r="R3602" s="33"/>
      <c r="S3602" s="34" t="str">
        <f>HYPERLINK("http://www.cnpol.ru/covers/17457.jpg","фото на сайте")</f>
        <v>фото на сайте</v>
      </c>
    </row>
    <row r="3603" spans="1:19" ht="50.1" customHeight="1">
      <c r="A3603" s="31"/>
      <c r="B3603" s="32" t="s">
        <v>13481</v>
      </c>
      <c r="C3603" s="31" t="s">
        <v>546</v>
      </c>
      <c r="D3603" s="31" t="s">
        <v>547</v>
      </c>
      <c r="E3603" s="31" t="s">
        <v>13482</v>
      </c>
      <c r="F3603" s="31">
        <v>197</v>
      </c>
      <c r="G3603" s="31">
        <v>93</v>
      </c>
      <c r="H3603" s="31">
        <v>10</v>
      </c>
      <c r="I3603" s="31">
        <v>30</v>
      </c>
      <c r="J3603" s="31" t="s">
        <v>13483</v>
      </c>
      <c r="K3603" s="31" t="s">
        <v>123</v>
      </c>
      <c r="L3603" s="31" t="s">
        <v>56</v>
      </c>
      <c r="M3603" s="31">
        <v>160</v>
      </c>
      <c r="N3603" s="31">
        <v>2016</v>
      </c>
      <c r="O3603" s="31">
        <v>76</v>
      </c>
      <c r="P3603" s="31"/>
      <c r="Q3603" s="31"/>
      <c r="R3603" s="33"/>
      <c r="S3603" s="34" t="str">
        <f>HYPERLINK("http://www.cnpol.ru/covers/17164.jpg","фото на сайте")</f>
        <v>фото на сайте</v>
      </c>
    </row>
    <row r="3604" spans="1:19" ht="50.1" customHeight="1">
      <c r="A3604" s="31"/>
      <c r="B3604" s="32" t="s">
        <v>13484</v>
      </c>
      <c r="C3604" s="31" t="s">
        <v>2056</v>
      </c>
      <c r="D3604" s="31" t="s">
        <v>13485</v>
      </c>
      <c r="E3604" s="31" t="s">
        <v>13486</v>
      </c>
      <c r="F3604" s="31" t="s">
        <v>31</v>
      </c>
      <c r="G3604" s="31">
        <v>814</v>
      </c>
      <c r="H3604" s="31">
        <v>10</v>
      </c>
      <c r="I3604" s="31">
        <v>14</v>
      </c>
      <c r="J3604" s="31" t="s">
        <v>13487</v>
      </c>
      <c r="K3604" s="31" t="s">
        <v>33</v>
      </c>
      <c r="L3604" s="31" t="s">
        <v>34</v>
      </c>
      <c r="M3604" s="31">
        <v>287</v>
      </c>
      <c r="N3604" s="31">
        <v>2022</v>
      </c>
      <c r="O3604" s="31">
        <v>130</v>
      </c>
      <c r="P3604" s="31"/>
      <c r="Q3604" s="31"/>
      <c r="R3604" s="33"/>
      <c r="S3604" s="34" t="str">
        <f>HYPERLINK("http://www.cnpol.ru/covers/20240.jpg","фото на сайте")</f>
        <v>фото на сайте</v>
      </c>
    </row>
    <row r="3605" spans="1:19" ht="50.1" customHeight="1">
      <c r="A3605" s="31" t="s">
        <v>43</v>
      </c>
      <c r="B3605" s="32" t="s">
        <v>13488</v>
      </c>
      <c r="C3605" s="31" t="s">
        <v>1050</v>
      </c>
      <c r="D3605" s="31" t="s">
        <v>3357</v>
      </c>
      <c r="E3605" s="31" t="s">
        <v>13489</v>
      </c>
      <c r="F3605" s="31" t="s">
        <v>31</v>
      </c>
      <c r="G3605" s="31">
        <v>386</v>
      </c>
      <c r="H3605" s="31">
        <v>10</v>
      </c>
      <c r="I3605" s="31">
        <v>28</v>
      </c>
      <c r="J3605" s="31" t="s">
        <v>13490</v>
      </c>
      <c r="K3605" s="31" t="s">
        <v>33</v>
      </c>
      <c r="L3605" s="31" t="s">
        <v>210</v>
      </c>
      <c r="M3605" s="31">
        <v>189</v>
      </c>
      <c r="N3605" s="31">
        <v>2025</v>
      </c>
      <c r="O3605" s="31" t="s">
        <v>220</v>
      </c>
      <c r="P3605" s="31"/>
      <c r="Q3605" s="31"/>
      <c r="R3605" s="33" t="s">
        <v>13491</v>
      </c>
      <c r="S3605" s="34" t="str">
        <f>HYPERLINK("http://www.cnpol.ru/covers/21781.jpg","фото на сайте")</f>
        <v>фото на сайте</v>
      </c>
    </row>
    <row r="3606" spans="1:19" ht="50.1" customHeight="1">
      <c r="A3606" s="31"/>
      <c r="B3606" s="32" t="s">
        <v>13492</v>
      </c>
      <c r="C3606" s="31" t="s">
        <v>390</v>
      </c>
      <c r="D3606" s="31" t="s">
        <v>2511</v>
      </c>
      <c r="E3606" s="31" t="s">
        <v>13493</v>
      </c>
      <c r="F3606" s="31">
        <v>763</v>
      </c>
      <c r="G3606" s="31">
        <v>86</v>
      </c>
      <c r="H3606" s="31">
        <v>10</v>
      </c>
      <c r="I3606" s="31">
        <v>30</v>
      </c>
      <c r="J3606" s="31" t="s">
        <v>13494</v>
      </c>
      <c r="K3606" s="31" t="s">
        <v>123</v>
      </c>
      <c r="L3606" s="31" t="s">
        <v>56</v>
      </c>
      <c r="M3606" s="31">
        <v>160</v>
      </c>
      <c r="N3606" s="31">
        <v>2017</v>
      </c>
      <c r="O3606" s="31">
        <v>76</v>
      </c>
      <c r="P3606" s="31"/>
      <c r="Q3606" s="31"/>
      <c r="R3606" s="33"/>
      <c r="S3606" s="34" t="str">
        <f>HYPERLINK("http://www.cnpol.ru/covers/17765.jpg","фото на сайте")</f>
        <v>фото на сайте</v>
      </c>
    </row>
    <row r="3607" spans="1:19" ht="50.1" customHeight="1">
      <c r="A3607" s="31"/>
      <c r="B3607" s="32" t="s">
        <v>13495</v>
      </c>
      <c r="C3607" s="31" t="s">
        <v>390</v>
      </c>
      <c r="D3607" s="31" t="s">
        <v>13496</v>
      </c>
      <c r="E3607" s="31" t="s">
        <v>13497</v>
      </c>
      <c r="F3607" s="31">
        <v>337</v>
      </c>
      <c r="G3607" s="31">
        <v>86</v>
      </c>
      <c r="H3607" s="31">
        <v>10</v>
      </c>
      <c r="I3607" s="31">
        <v>30</v>
      </c>
      <c r="J3607" s="31" t="s">
        <v>13498</v>
      </c>
      <c r="K3607" s="31" t="s">
        <v>123</v>
      </c>
      <c r="L3607" s="31" t="s">
        <v>56</v>
      </c>
      <c r="M3607" s="31">
        <v>158</v>
      </c>
      <c r="N3607" s="31">
        <v>2013</v>
      </c>
      <c r="O3607" s="31">
        <v>78</v>
      </c>
      <c r="P3607" s="31"/>
      <c r="Q3607" s="31"/>
      <c r="R3607" s="33"/>
      <c r="S3607" s="34" t="str">
        <f>HYPERLINK("http://www.cnpol.ru/covers/14475.jpg","фото на сайте")</f>
        <v>фото на сайте</v>
      </c>
    </row>
    <row r="3608" spans="1:19" ht="50.1" customHeight="1">
      <c r="A3608" s="31"/>
      <c r="B3608" s="32" t="s">
        <v>13499</v>
      </c>
      <c r="C3608" s="31" t="s">
        <v>546</v>
      </c>
      <c r="D3608" s="31" t="s">
        <v>1292</v>
      </c>
      <c r="E3608" s="31" t="s">
        <v>13500</v>
      </c>
      <c r="F3608" s="31">
        <v>319</v>
      </c>
      <c r="G3608" s="31">
        <v>93</v>
      </c>
      <c r="H3608" s="31">
        <v>10</v>
      </c>
      <c r="I3608" s="31">
        <v>30</v>
      </c>
      <c r="J3608" s="31" t="s">
        <v>13501</v>
      </c>
      <c r="K3608" s="31" t="s">
        <v>123</v>
      </c>
      <c r="L3608" s="31" t="s">
        <v>56</v>
      </c>
      <c r="M3608" s="31">
        <v>160</v>
      </c>
      <c r="N3608" s="31">
        <v>2019</v>
      </c>
      <c r="O3608" s="31">
        <v>76</v>
      </c>
      <c r="P3608" s="31"/>
      <c r="Q3608" s="31"/>
      <c r="R3608" s="33"/>
      <c r="S3608" s="34" t="str">
        <f>HYPERLINK("http://www.cnpol.ru/covers/18820.jpg","фото на сайте")</f>
        <v>фото на сайте</v>
      </c>
    </row>
    <row r="3609" spans="1:19" ht="50.1" customHeight="1">
      <c r="A3609" s="31"/>
      <c r="B3609" s="32" t="s">
        <v>13502</v>
      </c>
      <c r="C3609" s="31" t="s">
        <v>390</v>
      </c>
      <c r="D3609" s="31" t="s">
        <v>1681</v>
      </c>
      <c r="E3609" s="31" t="s">
        <v>13503</v>
      </c>
      <c r="F3609" s="31">
        <v>1097</v>
      </c>
      <c r="G3609" s="31">
        <v>86</v>
      </c>
      <c r="H3609" s="31">
        <v>10</v>
      </c>
      <c r="I3609" s="31">
        <v>30</v>
      </c>
      <c r="J3609" s="31" t="s">
        <v>13504</v>
      </c>
      <c r="K3609" s="31" t="s">
        <v>123</v>
      </c>
      <c r="L3609" s="31" t="s">
        <v>56</v>
      </c>
      <c r="M3609" s="31">
        <v>159</v>
      </c>
      <c r="N3609" s="31">
        <v>2022</v>
      </c>
      <c r="O3609" s="31">
        <v>76</v>
      </c>
      <c r="P3609" s="31"/>
      <c r="Q3609" s="31"/>
      <c r="R3609" s="33"/>
      <c r="S3609" s="34" t="str">
        <f>HYPERLINK("http://www.cnpol.ru/covers/20296.jpg","фото на сайте")</f>
        <v>фото на сайте</v>
      </c>
    </row>
    <row r="3610" spans="1:19" ht="50.1" customHeight="1">
      <c r="A3610" s="31"/>
      <c r="B3610" s="32" t="s">
        <v>13505</v>
      </c>
      <c r="C3610" s="31" t="s">
        <v>546</v>
      </c>
      <c r="D3610" s="31" t="s">
        <v>6002</v>
      </c>
      <c r="E3610" s="31" t="s">
        <v>13506</v>
      </c>
      <c r="F3610" s="31">
        <v>146</v>
      </c>
      <c r="G3610" s="31">
        <v>93</v>
      </c>
      <c r="H3610" s="31">
        <v>10</v>
      </c>
      <c r="I3610" s="31">
        <v>30</v>
      </c>
      <c r="J3610" s="31" t="s">
        <v>13507</v>
      </c>
      <c r="K3610" s="31" t="s">
        <v>123</v>
      </c>
      <c r="L3610" s="31" t="s">
        <v>56</v>
      </c>
      <c r="M3610" s="31">
        <v>158</v>
      </c>
      <c r="N3610" s="31">
        <v>2015</v>
      </c>
      <c r="O3610" s="31">
        <v>76</v>
      </c>
      <c r="P3610" s="31"/>
      <c r="Q3610" s="31"/>
      <c r="R3610" s="33"/>
      <c r="S3610" s="34" t="str">
        <f>HYPERLINK("http://www.cnpol.ru/covers/16379.jpg","фото на сайте")</f>
        <v>фото на сайте</v>
      </c>
    </row>
    <row r="3611" spans="1:19" ht="50.1" customHeight="1">
      <c r="A3611" s="31"/>
      <c r="B3611" s="32" t="s">
        <v>13508</v>
      </c>
      <c r="C3611" s="31" t="s">
        <v>143</v>
      </c>
      <c r="D3611" s="31" t="s">
        <v>6443</v>
      </c>
      <c r="E3611" s="31" t="s">
        <v>13509</v>
      </c>
      <c r="F3611" s="31" t="s">
        <v>31</v>
      </c>
      <c r="G3611" s="35">
        <v>1381</v>
      </c>
      <c r="H3611" s="31">
        <v>10</v>
      </c>
      <c r="I3611" s="31">
        <v>8</v>
      </c>
      <c r="J3611" s="31" t="s">
        <v>13510</v>
      </c>
      <c r="K3611" s="31" t="s">
        <v>41</v>
      </c>
      <c r="L3611" s="31" t="s">
        <v>34</v>
      </c>
      <c r="M3611" s="31">
        <v>511</v>
      </c>
      <c r="N3611" s="31">
        <v>2022</v>
      </c>
      <c r="O3611" s="31">
        <v>562</v>
      </c>
      <c r="P3611" s="31"/>
      <c r="Q3611" s="31"/>
      <c r="R3611" s="33"/>
      <c r="S3611" s="34" t="str">
        <f>HYPERLINK("http://www.cnpol.ru/covers/20282.jpg","фото на сайте")</f>
        <v>фото на сайте</v>
      </c>
    </row>
    <row r="3612" spans="1:19" ht="50.1" customHeight="1">
      <c r="A3612" s="31"/>
      <c r="B3612" s="32" t="s">
        <v>13511</v>
      </c>
      <c r="C3612" s="31" t="s">
        <v>546</v>
      </c>
      <c r="D3612" s="31" t="s">
        <v>6002</v>
      </c>
      <c r="E3612" s="31" t="s">
        <v>13512</v>
      </c>
      <c r="F3612" s="31">
        <v>262</v>
      </c>
      <c r="G3612" s="31">
        <v>93</v>
      </c>
      <c r="H3612" s="31">
        <v>10</v>
      </c>
      <c r="I3612" s="31">
        <v>30</v>
      </c>
      <c r="J3612" s="31" t="s">
        <v>13513</v>
      </c>
      <c r="K3612" s="31" t="s">
        <v>123</v>
      </c>
      <c r="L3612" s="31" t="s">
        <v>56</v>
      </c>
      <c r="M3612" s="31">
        <v>160</v>
      </c>
      <c r="N3612" s="31">
        <v>2018</v>
      </c>
      <c r="O3612" s="31">
        <v>76</v>
      </c>
      <c r="P3612" s="31"/>
      <c r="Q3612" s="31"/>
      <c r="R3612" s="33"/>
      <c r="S3612" s="34" t="str">
        <f>HYPERLINK("http://www.cnpol.ru/covers/18064.jpg","фото на сайте")</f>
        <v>фото на сайте</v>
      </c>
    </row>
    <row r="3613" spans="1:19" ht="50.1" customHeight="1">
      <c r="A3613" s="31"/>
      <c r="B3613" s="32" t="s">
        <v>13514</v>
      </c>
      <c r="C3613" s="31" t="s">
        <v>4151</v>
      </c>
      <c r="D3613" s="31" t="s">
        <v>13515</v>
      </c>
      <c r="E3613" s="31" t="s">
        <v>13516</v>
      </c>
      <c r="F3613" s="31" t="s">
        <v>31</v>
      </c>
      <c r="G3613" s="31">
        <v>88</v>
      </c>
      <c r="H3613" s="31">
        <v>10</v>
      </c>
      <c r="I3613" s="31">
        <v>40</v>
      </c>
      <c r="J3613" s="31" t="s">
        <v>13517</v>
      </c>
      <c r="K3613" s="31" t="s">
        <v>55</v>
      </c>
      <c r="L3613" s="31" t="s">
        <v>56</v>
      </c>
      <c r="M3613" s="31">
        <v>188</v>
      </c>
      <c r="N3613" s="31">
        <v>2004</v>
      </c>
      <c r="O3613" s="31">
        <v>84</v>
      </c>
      <c r="P3613" s="31"/>
      <c r="Q3613" s="31"/>
      <c r="R3613" s="33"/>
      <c r="S3613" s="34" t="str">
        <f>HYPERLINK("http://www.cnpol.ru/covers/4648.jpg","фото на сайте")</f>
        <v>фото на сайте</v>
      </c>
    </row>
    <row r="3614" spans="1:19" ht="50.1" customHeight="1">
      <c r="A3614" s="31"/>
      <c r="B3614" s="32" t="s">
        <v>13518</v>
      </c>
      <c r="C3614" s="31" t="s">
        <v>546</v>
      </c>
      <c r="D3614" s="31" t="s">
        <v>3170</v>
      </c>
      <c r="E3614" s="31" t="s">
        <v>13519</v>
      </c>
      <c r="F3614" s="31">
        <v>307</v>
      </c>
      <c r="G3614" s="31">
        <v>93</v>
      </c>
      <c r="H3614" s="31">
        <v>10</v>
      </c>
      <c r="I3614" s="31">
        <v>30</v>
      </c>
      <c r="J3614" s="31" t="s">
        <v>13520</v>
      </c>
      <c r="K3614" s="31" t="s">
        <v>123</v>
      </c>
      <c r="L3614" s="31" t="s">
        <v>56</v>
      </c>
      <c r="M3614" s="31">
        <v>160</v>
      </c>
      <c r="N3614" s="31">
        <v>2019</v>
      </c>
      <c r="O3614" s="31">
        <v>78</v>
      </c>
      <c r="P3614" s="31"/>
      <c r="Q3614" s="31"/>
      <c r="R3614" s="33"/>
      <c r="S3614" s="34" t="str">
        <f>HYPERLINK("http://www.cnpol.ru/covers/18658.jpg","фото на сайте")</f>
        <v>фото на сайте</v>
      </c>
    </row>
    <row r="3615" spans="1:19" ht="50.1" customHeight="1">
      <c r="A3615" s="31" t="s">
        <v>35</v>
      </c>
      <c r="B3615" s="32" t="s">
        <v>13521</v>
      </c>
      <c r="C3615" s="31" t="s">
        <v>37</v>
      </c>
      <c r="D3615" s="31" t="s">
        <v>13522</v>
      </c>
      <c r="E3615" s="31" t="s">
        <v>13523</v>
      </c>
      <c r="F3615" s="31" t="s">
        <v>31</v>
      </c>
      <c r="G3615" s="35">
        <v>1168</v>
      </c>
      <c r="H3615" s="31">
        <v>10</v>
      </c>
      <c r="I3615" s="31">
        <v>8</v>
      </c>
      <c r="J3615" s="31" t="s">
        <v>13524</v>
      </c>
      <c r="K3615" s="31" t="s">
        <v>33</v>
      </c>
      <c r="L3615" s="31" t="s">
        <v>34</v>
      </c>
      <c r="M3615" s="31">
        <v>447</v>
      </c>
      <c r="N3615" s="31">
        <v>2024</v>
      </c>
      <c r="O3615" s="31">
        <v>510</v>
      </c>
      <c r="P3615" s="31"/>
      <c r="Q3615" s="31"/>
      <c r="R3615" s="33" t="s">
        <v>13525</v>
      </c>
      <c r="S3615" s="34" t="str">
        <f>HYPERLINK("http://www.cnpol.ru/covers/21150.jpg","фото на сайте")</f>
        <v>фото на сайте</v>
      </c>
    </row>
    <row r="3616" spans="1:19" ht="50.1" customHeight="1">
      <c r="A3616" s="31"/>
      <c r="B3616" s="32" t="s">
        <v>13526</v>
      </c>
      <c r="C3616" s="31" t="s">
        <v>380</v>
      </c>
      <c r="D3616" s="31" t="s">
        <v>13527</v>
      </c>
      <c r="E3616" s="31" t="s">
        <v>13528</v>
      </c>
      <c r="F3616" s="31" t="s">
        <v>31</v>
      </c>
      <c r="G3616" s="35">
        <v>1102</v>
      </c>
      <c r="H3616" s="31">
        <v>10</v>
      </c>
      <c r="I3616" s="31">
        <v>10</v>
      </c>
      <c r="J3616" s="31" t="s">
        <v>13529</v>
      </c>
      <c r="K3616" s="31" t="s">
        <v>41</v>
      </c>
      <c r="L3616" s="31" t="s">
        <v>304</v>
      </c>
      <c r="M3616" s="31">
        <v>544</v>
      </c>
      <c r="N3616" s="31">
        <v>2017</v>
      </c>
      <c r="O3616" s="31">
        <v>630</v>
      </c>
      <c r="P3616" s="31"/>
      <c r="Q3616" s="31"/>
      <c r="R3616" s="33"/>
      <c r="S3616" s="34" t="str">
        <f>HYPERLINK("http://www.cnpol.ru/covers/17683.jpg","фото на сайте")</f>
        <v>фото на сайте</v>
      </c>
    </row>
    <row r="3617" spans="1:19" ht="50.1" customHeight="1">
      <c r="A3617" s="31"/>
      <c r="B3617" s="32" t="s">
        <v>13530</v>
      </c>
      <c r="C3617" s="31" t="s">
        <v>1516</v>
      </c>
      <c r="D3617" s="31" t="s">
        <v>2645</v>
      </c>
      <c r="E3617" s="31" t="s">
        <v>13531</v>
      </c>
      <c r="F3617" s="31">
        <v>9</v>
      </c>
      <c r="G3617" s="31">
        <v>106</v>
      </c>
      <c r="H3617" s="31">
        <v>10</v>
      </c>
      <c r="I3617" s="31">
        <v>30</v>
      </c>
      <c r="J3617" s="31" t="s">
        <v>13532</v>
      </c>
      <c r="K3617" s="31" t="s">
        <v>123</v>
      </c>
      <c r="L3617" s="31" t="s">
        <v>56</v>
      </c>
      <c r="M3617" s="31">
        <v>160</v>
      </c>
      <c r="N3617" s="31">
        <v>2018</v>
      </c>
      <c r="O3617" s="31">
        <v>76</v>
      </c>
      <c r="P3617" s="31"/>
      <c r="Q3617" s="31"/>
      <c r="R3617" s="33"/>
      <c r="S3617" s="34" t="str">
        <f>HYPERLINK("http://www.cnpol.ru/covers/18182.jpg","фото на сайте")</f>
        <v>фото на сайте</v>
      </c>
    </row>
    <row r="3618" spans="1:19" ht="50.1" customHeight="1">
      <c r="A3618" s="31" t="s">
        <v>43</v>
      </c>
      <c r="B3618" s="32" t="s">
        <v>13533</v>
      </c>
      <c r="C3618" s="31" t="s">
        <v>520</v>
      </c>
      <c r="D3618" s="31" t="s">
        <v>13534</v>
      </c>
      <c r="E3618" s="31" t="s">
        <v>13535</v>
      </c>
      <c r="F3618" s="31">
        <v>94</v>
      </c>
      <c r="G3618" s="31">
        <v>117</v>
      </c>
      <c r="H3618" s="31">
        <v>10</v>
      </c>
      <c r="I3618" s="31">
        <v>30</v>
      </c>
      <c r="J3618" s="31" t="s">
        <v>13536</v>
      </c>
      <c r="K3618" s="31" t="s">
        <v>123</v>
      </c>
      <c r="L3618" s="31" t="s">
        <v>56</v>
      </c>
      <c r="M3618" s="31">
        <v>191</v>
      </c>
      <c r="N3618" s="31">
        <v>2024</v>
      </c>
      <c r="O3618" s="31">
        <v>76</v>
      </c>
      <c r="P3618" s="31"/>
      <c r="Q3618" s="31"/>
      <c r="R3618" s="33" t="s">
        <v>13537</v>
      </c>
      <c r="S3618" s="34" t="str">
        <f>HYPERLINK("http://www.cnpol.ru/covers/21033.jpg","фото на сайте")</f>
        <v>фото на сайте</v>
      </c>
    </row>
    <row r="3619" spans="1:19" ht="50.1" customHeight="1">
      <c r="A3619" s="31" t="s">
        <v>43</v>
      </c>
      <c r="B3619" s="32" t="s">
        <v>13538</v>
      </c>
      <c r="C3619" s="31" t="s">
        <v>390</v>
      </c>
      <c r="D3619" s="31" t="s">
        <v>13539</v>
      </c>
      <c r="E3619" s="31" t="s">
        <v>13540</v>
      </c>
      <c r="F3619" s="31">
        <v>1164</v>
      </c>
      <c r="G3619" s="31">
        <v>86</v>
      </c>
      <c r="H3619" s="31">
        <v>10</v>
      </c>
      <c r="I3619" s="31">
        <v>30</v>
      </c>
      <c r="J3619" s="31" t="s">
        <v>13541</v>
      </c>
      <c r="K3619" s="31" t="s">
        <v>123</v>
      </c>
      <c r="L3619" s="31" t="s">
        <v>56</v>
      </c>
      <c r="M3619" s="31">
        <v>159</v>
      </c>
      <c r="N3619" s="31">
        <v>2024</v>
      </c>
      <c r="O3619" s="31">
        <v>76</v>
      </c>
      <c r="P3619" s="31"/>
      <c r="Q3619" s="31"/>
      <c r="R3619" s="33" t="s">
        <v>13542</v>
      </c>
      <c r="S3619" s="34" t="str">
        <f>HYPERLINK("http://www.cnpol.ru/covers/20987.jpg","фото на сайте")</f>
        <v>фото на сайте</v>
      </c>
    </row>
    <row r="3620" spans="1:19" ht="50.1" customHeight="1">
      <c r="A3620" s="31"/>
      <c r="B3620" s="32" t="s">
        <v>13543</v>
      </c>
      <c r="C3620" s="31" t="s">
        <v>9525</v>
      </c>
      <c r="D3620" s="31" t="s">
        <v>13544</v>
      </c>
      <c r="E3620" s="31" t="s">
        <v>13545</v>
      </c>
      <c r="F3620" s="31" t="s">
        <v>31</v>
      </c>
      <c r="G3620" s="31">
        <v>325</v>
      </c>
      <c r="H3620" s="31">
        <v>10</v>
      </c>
      <c r="I3620" s="31">
        <v>16</v>
      </c>
      <c r="J3620" s="31" t="s">
        <v>13546</v>
      </c>
      <c r="K3620" s="31" t="s">
        <v>739</v>
      </c>
      <c r="L3620" s="31" t="s">
        <v>34</v>
      </c>
      <c r="M3620" s="31">
        <v>239</v>
      </c>
      <c r="N3620" s="31">
        <v>2002</v>
      </c>
      <c r="O3620" s="31">
        <v>170</v>
      </c>
      <c r="P3620" s="31"/>
      <c r="Q3620" s="31"/>
      <c r="R3620" s="33"/>
      <c r="S3620" s="34" t="str">
        <f>HYPERLINK("http://www.cnpol.ru/covers/3525.jpg","фото на сайте")</f>
        <v>фото на сайте</v>
      </c>
    </row>
    <row r="3621" spans="1:19" ht="50.1" customHeight="1">
      <c r="A3621" s="31"/>
      <c r="B3621" s="32" t="s">
        <v>13547</v>
      </c>
      <c r="C3621" s="31" t="s">
        <v>546</v>
      </c>
      <c r="D3621" s="31" t="s">
        <v>1427</v>
      </c>
      <c r="E3621" s="31" t="s">
        <v>13548</v>
      </c>
      <c r="F3621" s="31">
        <v>183</v>
      </c>
      <c r="G3621" s="31">
        <v>93</v>
      </c>
      <c r="H3621" s="31">
        <v>10</v>
      </c>
      <c r="I3621" s="31">
        <v>30</v>
      </c>
      <c r="J3621" s="31" t="s">
        <v>13549</v>
      </c>
      <c r="K3621" s="31" t="s">
        <v>123</v>
      </c>
      <c r="L3621" s="31" t="s">
        <v>56</v>
      </c>
      <c r="M3621" s="31">
        <v>160</v>
      </c>
      <c r="N3621" s="31">
        <v>2016</v>
      </c>
      <c r="O3621" s="31">
        <v>76</v>
      </c>
      <c r="P3621" s="31"/>
      <c r="Q3621" s="31"/>
      <c r="R3621" s="33"/>
      <c r="S3621" s="34" t="str">
        <f>HYPERLINK("http://www.cnpol.ru/covers/16965.jpg","фото на сайте")</f>
        <v>фото на сайте</v>
      </c>
    </row>
    <row r="3622" spans="1:19" ht="50.1" customHeight="1">
      <c r="A3622" s="31" t="s">
        <v>43</v>
      </c>
      <c r="B3622" s="32" t="s">
        <v>13550</v>
      </c>
      <c r="C3622" s="31" t="s">
        <v>390</v>
      </c>
      <c r="D3622" s="31" t="s">
        <v>1431</v>
      </c>
      <c r="E3622" s="31" t="s">
        <v>13551</v>
      </c>
      <c r="F3622" s="31">
        <v>1175</v>
      </c>
      <c r="G3622" s="31">
        <v>86</v>
      </c>
      <c r="H3622" s="31">
        <v>10</v>
      </c>
      <c r="I3622" s="31">
        <v>30</v>
      </c>
      <c r="J3622" s="31" t="s">
        <v>13552</v>
      </c>
      <c r="K3622" s="31" t="s">
        <v>123</v>
      </c>
      <c r="L3622" s="31" t="s">
        <v>56</v>
      </c>
      <c r="M3622" s="31">
        <v>159</v>
      </c>
      <c r="N3622" s="31">
        <v>2024</v>
      </c>
      <c r="O3622" s="31">
        <v>76</v>
      </c>
      <c r="P3622" s="31"/>
      <c r="Q3622" s="31"/>
      <c r="R3622" s="33" t="s">
        <v>13553</v>
      </c>
      <c r="S3622" s="34" t="str">
        <f>HYPERLINK("http://www.cnpol.ru/covers/21129.jpg","фото на сайте")</f>
        <v>фото на сайте</v>
      </c>
    </row>
    <row r="3623" spans="1:19" ht="50.1" customHeight="1">
      <c r="A3623" s="31"/>
      <c r="B3623" s="32" t="s">
        <v>13554</v>
      </c>
      <c r="C3623" s="31" t="s">
        <v>546</v>
      </c>
      <c r="D3623" s="31" t="s">
        <v>8716</v>
      </c>
      <c r="E3623" s="31" t="s">
        <v>13555</v>
      </c>
      <c r="F3623" s="31">
        <v>269</v>
      </c>
      <c r="G3623" s="31">
        <v>93</v>
      </c>
      <c r="H3623" s="31">
        <v>10</v>
      </c>
      <c r="I3623" s="31">
        <v>30</v>
      </c>
      <c r="J3623" s="31" t="s">
        <v>13556</v>
      </c>
      <c r="K3623" s="31" t="s">
        <v>123</v>
      </c>
      <c r="L3623" s="31" t="s">
        <v>56</v>
      </c>
      <c r="M3623" s="31">
        <v>160</v>
      </c>
      <c r="N3623" s="31">
        <v>2018</v>
      </c>
      <c r="O3623" s="31">
        <v>76</v>
      </c>
      <c r="P3623" s="31"/>
      <c r="Q3623" s="31"/>
      <c r="R3623" s="33"/>
      <c r="S3623" s="34" t="str">
        <f>HYPERLINK("http://www.cnpol.ru/covers/18196.jpg","фото на сайте")</f>
        <v>фото на сайте</v>
      </c>
    </row>
    <row r="3624" spans="1:19" ht="50.1" customHeight="1">
      <c r="A3624" s="31"/>
      <c r="B3624" s="32" t="s">
        <v>13557</v>
      </c>
      <c r="C3624" s="31" t="s">
        <v>418</v>
      </c>
      <c r="D3624" s="31" t="s">
        <v>2343</v>
      </c>
      <c r="E3624" s="31" t="s">
        <v>13558</v>
      </c>
      <c r="F3624" s="31">
        <v>99</v>
      </c>
      <c r="G3624" s="31">
        <v>153</v>
      </c>
      <c r="H3624" s="31">
        <v>10</v>
      </c>
      <c r="I3624" s="31">
        <v>24</v>
      </c>
      <c r="J3624" s="31" t="s">
        <v>13559</v>
      </c>
      <c r="K3624" s="31" t="s">
        <v>123</v>
      </c>
      <c r="L3624" s="31" t="s">
        <v>56</v>
      </c>
      <c r="M3624" s="31">
        <v>256</v>
      </c>
      <c r="N3624" s="31">
        <v>2019</v>
      </c>
      <c r="O3624" s="31">
        <v>116</v>
      </c>
      <c r="P3624" s="31"/>
      <c r="Q3624" s="31"/>
      <c r="R3624" s="33"/>
      <c r="S3624" s="34" t="str">
        <f>HYPERLINK("http://www.cnpol.ru/covers/18698.jpg","фото на сайте")</f>
        <v>фото на сайте</v>
      </c>
    </row>
    <row r="3625" spans="1:19" ht="50.1" customHeight="1">
      <c r="A3625" s="31"/>
      <c r="B3625" s="32" t="s">
        <v>13560</v>
      </c>
      <c r="C3625" s="31" t="s">
        <v>1323</v>
      </c>
      <c r="D3625" s="31" t="s">
        <v>2347</v>
      </c>
      <c r="E3625" s="31" t="s">
        <v>13561</v>
      </c>
      <c r="F3625" s="31" t="s">
        <v>31</v>
      </c>
      <c r="G3625" s="31">
        <v>169</v>
      </c>
      <c r="H3625" s="31">
        <v>10</v>
      </c>
      <c r="I3625" s="31">
        <v>40</v>
      </c>
      <c r="J3625" s="31" t="s">
        <v>13562</v>
      </c>
      <c r="K3625" s="31" t="s">
        <v>55</v>
      </c>
      <c r="L3625" s="31" t="s">
        <v>56</v>
      </c>
      <c r="M3625" s="31">
        <v>320</v>
      </c>
      <c r="N3625" s="31">
        <v>2019</v>
      </c>
      <c r="O3625" s="31">
        <v>134</v>
      </c>
      <c r="P3625" s="31"/>
      <c r="Q3625" s="31"/>
      <c r="R3625" s="33"/>
      <c r="S3625" s="34" t="str">
        <f>HYPERLINK("http://www.cnpol.ru/covers/18837.jpg","фото на сайте")</f>
        <v>фото на сайте</v>
      </c>
    </row>
    <row r="3626" spans="1:19" ht="50.1" customHeight="1">
      <c r="A3626" s="31"/>
      <c r="B3626" s="32" t="s">
        <v>13563</v>
      </c>
      <c r="C3626" s="31" t="s">
        <v>385</v>
      </c>
      <c r="D3626" s="31" t="s">
        <v>386</v>
      </c>
      <c r="E3626" s="31" t="s">
        <v>13564</v>
      </c>
      <c r="F3626" s="31" t="s">
        <v>31</v>
      </c>
      <c r="G3626" s="31">
        <v>162</v>
      </c>
      <c r="H3626" s="31">
        <v>10</v>
      </c>
      <c r="I3626" s="31">
        <v>32</v>
      </c>
      <c r="J3626" s="31" t="s">
        <v>13565</v>
      </c>
      <c r="K3626" s="31" t="s">
        <v>55</v>
      </c>
      <c r="L3626" s="31" t="s">
        <v>56</v>
      </c>
      <c r="M3626" s="31">
        <v>250</v>
      </c>
      <c r="N3626" s="31">
        <v>2016</v>
      </c>
      <c r="O3626" s="31">
        <v>108</v>
      </c>
      <c r="P3626" s="31"/>
      <c r="Q3626" s="31"/>
      <c r="R3626" s="33"/>
      <c r="S3626" s="34" t="str">
        <f>HYPERLINK("http://www.cnpol.ru/covers/0106.jpg","фото на сайте")</f>
        <v>фото на сайте</v>
      </c>
    </row>
    <row r="3627" spans="1:19" ht="50.1" customHeight="1">
      <c r="A3627" s="31"/>
      <c r="B3627" s="32" t="s">
        <v>13566</v>
      </c>
      <c r="C3627" s="31" t="s">
        <v>413</v>
      </c>
      <c r="D3627" s="31" t="s">
        <v>3099</v>
      </c>
      <c r="E3627" s="31" t="s">
        <v>13567</v>
      </c>
      <c r="F3627" s="31">
        <v>29</v>
      </c>
      <c r="G3627" s="31">
        <v>117</v>
      </c>
      <c r="H3627" s="31">
        <v>10</v>
      </c>
      <c r="I3627" s="31">
        <v>36</v>
      </c>
      <c r="J3627" s="31" t="s">
        <v>13568</v>
      </c>
      <c r="K3627" s="31" t="s">
        <v>123</v>
      </c>
      <c r="L3627" s="31" t="s">
        <v>56</v>
      </c>
      <c r="M3627" s="31">
        <v>190</v>
      </c>
      <c r="N3627" s="31">
        <v>2014</v>
      </c>
      <c r="O3627" s="31">
        <v>90</v>
      </c>
      <c r="P3627" s="31"/>
      <c r="Q3627" s="31"/>
      <c r="R3627" s="33"/>
      <c r="S3627" s="34" t="str">
        <f>HYPERLINK("http://www.cnpol.ru/covers/15565.jpg","фото на сайте")</f>
        <v>фото на сайте</v>
      </c>
    </row>
    <row r="3628" spans="1:19" ht="50.1" customHeight="1">
      <c r="A3628" s="31"/>
      <c r="B3628" s="32" t="s">
        <v>13569</v>
      </c>
      <c r="C3628" s="31" t="s">
        <v>390</v>
      </c>
      <c r="D3628" s="31" t="s">
        <v>4632</v>
      </c>
      <c r="E3628" s="31" t="s">
        <v>13570</v>
      </c>
      <c r="F3628" s="31">
        <v>869</v>
      </c>
      <c r="G3628" s="31">
        <v>86</v>
      </c>
      <c r="H3628" s="31">
        <v>10</v>
      </c>
      <c r="I3628" s="31">
        <v>30</v>
      </c>
      <c r="J3628" s="31" t="s">
        <v>13571</v>
      </c>
      <c r="K3628" s="31" t="s">
        <v>123</v>
      </c>
      <c r="L3628" s="31" t="s">
        <v>56</v>
      </c>
      <c r="M3628" s="31">
        <v>160</v>
      </c>
      <c r="N3628" s="31">
        <v>2019</v>
      </c>
      <c r="O3628" s="31">
        <v>76</v>
      </c>
      <c r="P3628" s="31"/>
      <c r="Q3628" s="31"/>
      <c r="R3628" s="33"/>
      <c r="S3628" s="34" t="str">
        <f>HYPERLINK("http://www.cnpol.ru/covers/18519.jpg","фото на сайте")</f>
        <v>фото на сайте</v>
      </c>
    </row>
    <row r="3629" spans="1:19" ht="50.1" customHeight="1">
      <c r="A3629" s="31"/>
      <c r="B3629" s="32" t="s">
        <v>13572</v>
      </c>
      <c r="C3629" s="31" t="s">
        <v>297</v>
      </c>
      <c r="D3629" s="31" t="s">
        <v>13573</v>
      </c>
      <c r="E3629" s="31" t="s">
        <v>13574</v>
      </c>
      <c r="F3629" s="31" t="s">
        <v>31</v>
      </c>
      <c r="G3629" s="31">
        <v>300</v>
      </c>
      <c r="H3629" s="31">
        <v>10</v>
      </c>
      <c r="I3629" s="31">
        <v>20</v>
      </c>
      <c r="J3629" s="31" t="s">
        <v>13575</v>
      </c>
      <c r="K3629" s="31" t="s">
        <v>300</v>
      </c>
      <c r="L3629" s="31" t="s">
        <v>56</v>
      </c>
      <c r="M3629" s="31">
        <v>448</v>
      </c>
      <c r="N3629" s="31">
        <v>2017</v>
      </c>
      <c r="O3629" s="31">
        <v>222</v>
      </c>
      <c r="P3629" s="31"/>
      <c r="Q3629" s="31"/>
      <c r="R3629" s="33"/>
      <c r="S3629" s="34" t="str">
        <f>HYPERLINK("http://www.cnpol.ru/covers/17662.jpg","фото на сайте")</f>
        <v>фото на сайте</v>
      </c>
    </row>
    <row r="3630" spans="1:19" ht="50.1" customHeight="1">
      <c r="A3630" s="31"/>
      <c r="B3630" s="32" t="s">
        <v>13576</v>
      </c>
      <c r="C3630" s="31" t="s">
        <v>302</v>
      </c>
      <c r="D3630" s="31" t="s">
        <v>13573</v>
      </c>
      <c r="E3630" s="31" t="s">
        <v>13574</v>
      </c>
      <c r="F3630" s="31" t="s">
        <v>31</v>
      </c>
      <c r="G3630" s="31">
        <v>917</v>
      </c>
      <c r="H3630" s="31">
        <v>10</v>
      </c>
      <c r="I3630" s="31">
        <v>10</v>
      </c>
      <c r="J3630" s="31" t="s">
        <v>13577</v>
      </c>
      <c r="K3630" s="31" t="s">
        <v>41</v>
      </c>
      <c r="L3630" s="31" t="s">
        <v>304</v>
      </c>
      <c r="M3630" s="31">
        <v>446</v>
      </c>
      <c r="N3630" s="31">
        <v>2015</v>
      </c>
      <c r="O3630" s="31">
        <v>582</v>
      </c>
      <c r="P3630" s="31"/>
      <c r="Q3630" s="31"/>
      <c r="R3630" s="33"/>
      <c r="S3630" s="34" t="str">
        <f>HYPERLINK("http://www.cnpol.ru/covers/15992.jpg","фото на сайте")</f>
        <v>фото на сайте</v>
      </c>
    </row>
    <row r="3631" spans="1:19" ht="50.1" customHeight="1">
      <c r="A3631" s="31"/>
      <c r="B3631" s="32" t="s">
        <v>13578</v>
      </c>
      <c r="C3631" s="31" t="s">
        <v>546</v>
      </c>
      <c r="D3631" s="31" t="s">
        <v>1628</v>
      </c>
      <c r="E3631" s="31" t="s">
        <v>13579</v>
      </c>
      <c r="F3631" s="31">
        <v>141</v>
      </c>
      <c r="G3631" s="31">
        <v>93</v>
      </c>
      <c r="H3631" s="31">
        <v>10</v>
      </c>
      <c r="I3631" s="31">
        <v>30</v>
      </c>
      <c r="J3631" s="31" t="s">
        <v>13580</v>
      </c>
      <c r="K3631" s="31" t="s">
        <v>123</v>
      </c>
      <c r="L3631" s="31" t="s">
        <v>56</v>
      </c>
      <c r="M3631" s="31">
        <v>158</v>
      </c>
      <c r="N3631" s="31">
        <v>2015</v>
      </c>
      <c r="O3631" s="31">
        <v>76</v>
      </c>
      <c r="P3631" s="31"/>
      <c r="Q3631" s="31"/>
      <c r="R3631" s="33"/>
      <c r="S3631" s="34" t="str">
        <f>HYPERLINK("http://www.cnpol.ru/covers/16329.jpg","фото на сайте")</f>
        <v>фото на сайте</v>
      </c>
    </row>
    <row r="3632" spans="1:19" ht="50.1" customHeight="1">
      <c r="A3632" s="31"/>
      <c r="B3632" s="32" t="s">
        <v>13581</v>
      </c>
      <c r="C3632" s="31" t="s">
        <v>390</v>
      </c>
      <c r="D3632" s="31" t="s">
        <v>961</v>
      </c>
      <c r="E3632" s="31" t="s">
        <v>13582</v>
      </c>
      <c r="F3632" s="31">
        <v>785</v>
      </c>
      <c r="G3632" s="31">
        <v>86</v>
      </c>
      <c r="H3632" s="31">
        <v>10</v>
      </c>
      <c r="I3632" s="31">
        <v>30</v>
      </c>
      <c r="J3632" s="31" t="s">
        <v>13583</v>
      </c>
      <c r="K3632" s="31" t="s">
        <v>123</v>
      </c>
      <c r="L3632" s="31" t="s">
        <v>56</v>
      </c>
      <c r="M3632" s="31">
        <v>160</v>
      </c>
      <c r="N3632" s="31">
        <v>2018</v>
      </c>
      <c r="O3632" s="31">
        <v>76</v>
      </c>
      <c r="P3632" s="31"/>
      <c r="Q3632" s="31"/>
      <c r="R3632" s="33"/>
      <c r="S3632" s="34" t="str">
        <f>HYPERLINK("http://www.cnpol.ru/covers/17915.jpg","фото на сайте")</f>
        <v>фото на сайте</v>
      </c>
    </row>
    <row r="3633" spans="1:19" ht="50.1" customHeight="1">
      <c r="A3633" s="31"/>
      <c r="B3633" s="32" t="s">
        <v>13584</v>
      </c>
      <c r="C3633" s="31" t="s">
        <v>390</v>
      </c>
      <c r="D3633" s="31" t="s">
        <v>2106</v>
      </c>
      <c r="E3633" s="31" t="s">
        <v>13585</v>
      </c>
      <c r="F3633" s="31">
        <v>615</v>
      </c>
      <c r="G3633" s="31">
        <v>86</v>
      </c>
      <c r="H3633" s="31">
        <v>10</v>
      </c>
      <c r="I3633" s="31">
        <v>30</v>
      </c>
      <c r="J3633" s="31" t="s">
        <v>13586</v>
      </c>
      <c r="K3633" s="31" t="s">
        <v>123</v>
      </c>
      <c r="L3633" s="31" t="s">
        <v>56</v>
      </c>
      <c r="M3633" s="31">
        <v>160</v>
      </c>
      <c r="N3633" s="31">
        <v>2016</v>
      </c>
      <c r="O3633" s="31">
        <v>76</v>
      </c>
      <c r="P3633" s="31"/>
      <c r="Q3633" s="31"/>
      <c r="R3633" s="33"/>
      <c r="S3633" s="34" t="str">
        <f>HYPERLINK("http://www.cnpol.ru/covers/16705.jpg","фото на сайте")</f>
        <v>фото на сайте</v>
      </c>
    </row>
    <row r="3634" spans="1:19" ht="50.1" customHeight="1">
      <c r="A3634" s="31"/>
      <c r="B3634" s="32" t="s">
        <v>13587</v>
      </c>
      <c r="C3634" s="31" t="s">
        <v>37</v>
      </c>
      <c r="D3634" s="31" t="s">
        <v>718</v>
      </c>
      <c r="E3634" s="31" t="s">
        <v>13588</v>
      </c>
      <c r="F3634" s="31" t="s">
        <v>31</v>
      </c>
      <c r="G3634" s="31">
        <v>522</v>
      </c>
      <c r="H3634" s="31">
        <v>10</v>
      </c>
      <c r="I3634" s="31">
        <v>10</v>
      </c>
      <c r="J3634" s="31" t="s">
        <v>13589</v>
      </c>
      <c r="K3634" s="31" t="s">
        <v>33</v>
      </c>
      <c r="L3634" s="31" t="s">
        <v>34</v>
      </c>
      <c r="M3634" s="31">
        <v>383</v>
      </c>
      <c r="N3634" s="31">
        <v>2012</v>
      </c>
      <c r="O3634" s="31">
        <v>318</v>
      </c>
      <c r="P3634" s="31"/>
      <c r="Q3634" s="31"/>
      <c r="R3634" s="33"/>
      <c r="S3634" s="34" t="str">
        <f>HYPERLINK("http://www.cnpol.ru/covers/13599.jpg","фото на сайте")</f>
        <v>фото на сайте</v>
      </c>
    </row>
    <row r="3635" spans="1:19" ht="50.1" customHeight="1">
      <c r="A3635" s="31" t="s">
        <v>43</v>
      </c>
      <c r="B3635" s="32" t="s">
        <v>13590</v>
      </c>
      <c r="C3635" s="31" t="s">
        <v>37</v>
      </c>
      <c r="D3635" s="31" t="s">
        <v>718</v>
      </c>
      <c r="E3635" s="31" t="s">
        <v>13591</v>
      </c>
      <c r="F3635" s="31" t="s">
        <v>31</v>
      </c>
      <c r="G3635" s="35">
        <v>1015</v>
      </c>
      <c r="H3635" s="31">
        <v>10</v>
      </c>
      <c r="I3635" s="31">
        <v>10</v>
      </c>
      <c r="J3635" s="31" t="s">
        <v>13592</v>
      </c>
      <c r="K3635" s="31" t="s">
        <v>33</v>
      </c>
      <c r="L3635" s="31" t="s">
        <v>34</v>
      </c>
      <c r="M3635" s="31">
        <v>383</v>
      </c>
      <c r="N3635" s="31">
        <v>2025</v>
      </c>
      <c r="O3635" s="31">
        <v>299</v>
      </c>
      <c r="P3635" s="31"/>
      <c r="Q3635" s="31"/>
      <c r="R3635" s="33" t="s">
        <v>13593</v>
      </c>
      <c r="S3635" s="34" t="str">
        <f>HYPERLINK("http://www.cnpol.ru/covers/21412.jpg","фото на сайте")</f>
        <v>фото на сайте</v>
      </c>
    </row>
    <row r="3636" spans="1:19" ht="50.1" customHeight="1">
      <c r="A3636" s="31"/>
      <c r="B3636" s="32" t="s">
        <v>13594</v>
      </c>
      <c r="C3636" s="31" t="s">
        <v>418</v>
      </c>
      <c r="D3636" s="31" t="s">
        <v>2501</v>
      </c>
      <c r="E3636" s="31" t="s">
        <v>13595</v>
      </c>
      <c r="F3636" s="31">
        <v>38</v>
      </c>
      <c r="G3636" s="31">
        <v>153</v>
      </c>
      <c r="H3636" s="31">
        <v>10</v>
      </c>
      <c r="I3636" s="31">
        <v>32</v>
      </c>
      <c r="J3636" s="31" t="s">
        <v>13596</v>
      </c>
      <c r="K3636" s="31" t="s">
        <v>123</v>
      </c>
      <c r="L3636" s="31" t="s">
        <v>56</v>
      </c>
      <c r="M3636" s="31">
        <v>286</v>
      </c>
      <c r="N3636" s="31">
        <v>2014</v>
      </c>
      <c r="O3636" s="31">
        <v>136</v>
      </c>
      <c r="P3636" s="31"/>
      <c r="Q3636" s="31"/>
      <c r="R3636" s="33"/>
      <c r="S3636" s="34" t="str">
        <f>HYPERLINK("http://www.cnpol.ru/covers/14839.jpg","фото на сайте")</f>
        <v>фото на сайте</v>
      </c>
    </row>
    <row r="3637" spans="1:19" ht="50.1" customHeight="1">
      <c r="A3637" s="31"/>
      <c r="B3637" s="32" t="s">
        <v>13597</v>
      </c>
      <c r="C3637" s="31" t="s">
        <v>37</v>
      </c>
      <c r="D3637" s="31" t="s">
        <v>13598</v>
      </c>
      <c r="E3637" s="31" t="s">
        <v>13599</v>
      </c>
      <c r="F3637" s="31" t="s">
        <v>31</v>
      </c>
      <c r="G3637" s="31">
        <v>790</v>
      </c>
      <c r="H3637" s="31">
        <v>10</v>
      </c>
      <c r="I3637" s="31">
        <v>14</v>
      </c>
      <c r="J3637" s="31" t="s">
        <v>13600</v>
      </c>
      <c r="K3637" s="31" t="s">
        <v>33</v>
      </c>
      <c r="L3637" s="31" t="s">
        <v>34</v>
      </c>
      <c r="M3637" s="31">
        <v>255</v>
      </c>
      <c r="N3637" s="31">
        <v>2022</v>
      </c>
      <c r="O3637" s="31">
        <v>267</v>
      </c>
      <c r="P3637" s="31"/>
      <c r="Q3637" s="31"/>
      <c r="R3637" s="33"/>
      <c r="S3637" s="34" t="str">
        <f>HYPERLINK("http://www.cnpol.ru/covers/20236.jpg","фото на сайте")</f>
        <v>фото на сайте</v>
      </c>
    </row>
    <row r="3638" spans="1:19" ht="50.1" customHeight="1">
      <c r="A3638" s="31"/>
      <c r="B3638" s="32" t="s">
        <v>13601</v>
      </c>
      <c r="C3638" s="31" t="s">
        <v>380</v>
      </c>
      <c r="D3638" s="31" t="s">
        <v>13602</v>
      </c>
      <c r="E3638" s="31" t="s">
        <v>13603</v>
      </c>
      <c r="F3638" s="31" t="s">
        <v>31</v>
      </c>
      <c r="G3638" s="31">
        <v>988</v>
      </c>
      <c r="H3638" s="31">
        <v>10</v>
      </c>
      <c r="I3638" s="31">
        <v>12</v>
      </c>
      <c r="J3638" s="31" t="s">
        <v>13604</v>
      </c>
      <c r="K3638" s="31" t="s">
        <v>41</v>
      </c>
      <c r="L3638" s="31" t="s">
        <v>304</v>
      </c>
      <c r="M3638" s="31">
        <v>416</v>
      </c>
      <c r="N3638" s="31">
        <v>2018</v>
      </c>
      <c r="O3638" s="31">
        <v>562</v>
      </c>
      <c r="P3638" s="31"/>
      <c r="Q3638" s="31"/>
      <c r="R3638" s="33"/>
      <c r="S3638" s="34" t="str">
        <f>HYPERLINK("http://www.cnpol.ru/covers/18042.jpg","фото на сайте")</f>
        <v>фото на сайте</v>
      </c>
    </row>
    <row r="3639" spans="1:19" ht="50.1" customHeight="1">
      <c r="A3639" s="31"/>
      <c r="B3639" s="32" t="s">
        <v>13605</v>
      </c>
      <c r="C3639" s="31" t="s">
        <v>423</v>
      </c>
      <c r="D3639" s="31" t="s">
        <v>7430</v>
      </c>
      <c r="E3639" s="31" t="s">
        <v>13606</v>
      </c>
      <c r="F3639" s="31" t="s">
        <v>31</v>
      </c>
      <c r="G3639" s="31">
        <v>122</v>
      </c>
      <c r="H3639" s="31">
        <v>10</v>
      </c>
      <c r="I3639" s="31">
        <v>20</v>
      </c>
      <c r="J3639" s="31" t="s">
        <v>13607</v>
      </c>
      <c r="K3639" s="31" t="s">
        <v>55</v>
      </c>
      <c r="L3639" s="31" t="s">
        <v>56</v>
      </c>
      <c r="M3639" s="31">
        <v>431</v>
      </c>
      <c r="N3639" s="31">
        <v>2005</v>
      </c>
      <c r="O3639" s="31">
        <v>172</v>
      </c>
      <c r="P3639" s="31"/>
      <c r="Q3639" s="31"/>
      <c r="R3639" s="33"/>
      <c r="S3639" s="34" t="str">
        <f>HYPERLINK("http://www.cnpol.ru/covers/5494.jpg","фото на сайте")</f>
        <v>фото на сайте</v>
      </c>
    </row>
    <row r="3640" spans="1:19" ht="50.1" customHeight="1">
      <c r="A3640" s="31"/>
      <c r="B3640" s="32" t="s">
        <v>13608</v>
      </c>
      <c r="C3640" s="31" t="s">
        <v>423</v>
      </c>
      <c r="D3640" s="31" t="s">
        <v>7430</v>
      </c>
      <c r="E3640" s="31" t="s">
        <v>13606</v>
      </c>
      <c r="F3640" s="31" t="s">
        <v>31</v>
      </c>
      <c r="G3640" s="31">
        <v>154</v>
      </c>
      <c r="H3640" s="31">
        <v>10</v>
      </c>
      <c r="I3640" s="31">
        <v>16</v>
      </c>
      <c r="J3640" s="31" t="s">
        <v>13607</v>
      </c>
      <c r="K3640" s="31" t="s">
        <v>55</v>
      </c>
      <c r="L3640" s="31" t="s">
        <v>56</v>
      </c>
      <c r="M3640" s="31">
        <v>431</v>
      </c>
      <c r="N3640" s="31">
        <v>2008</v>
      </c>
      <c r="O3640" s="31">
        <v>180</v>
      </c>
      <c r="P3640" s="31"/>
      <c r="Q3640" s="31"/>
      <c r="R3640" s="33"/>
      <c r="S3640" s="34" t="str">
        <f>HYPERLINK("http://www.cnpol.ru/covers/6112.jpg","фото на сайте")</f>
        <v>фото на сайте</v>
      </c>
    </row>
    <row r="3641" spans="1:19" ht="50.1" customHeight="1">
      <c r="A3641" s="31"/>
      <c r="B3641" s="32" t="s">
        <v>13609</v>
      </c>
      <c r="C3641" s="31" t="s">
        <v>13610</v>
      </c>
      <c r="D3641" s="31" t="s">
        <v>13611</v>
      </c>
      <c r="E3641" s="31" t="s">
        <v>13612</v>
      </c>
      <c r="F3641" s="31" t="s">
        <v>31</v>
      </c>
      <c r="G3641" s="31">
        <v>290</v>
      </c>
      <c r="H3641" s="31">
        <v>10</v>
      </c>
      <c r="I3641" s="31">
        <v>16</v>
      </c>
      <c r="J3641" s="31" t="s">
        <v>13613</v>
      </c>
      <c r="K3641" s="31" t="s">
        <v>33</v>
      </c>
      <c r="L3641" s="31" t="s">
        <v>34</v>
      </c>
      <c r="M3641" s="31">
        <v>283</v>
      </c>
      <c r="N3641" s="31">
        <v>2008</v>
      </c>
      <c r="O3641" s="31">
        <v>286</v>
      </c>
      <c r="P3641" s="31"/>
      <c r="Q3641" s="31"/>
      <c r="R3641" s="33"/>
      <c r="S3641" s="34" t="str">
        <f>HYPERLINK("http://www.cnpol.ru/covers/10391.jpg","фото на сайте")</f>
        <v>фото на сайте</v>
      </c>
    </row>
    <row r="3642" spans="1:19" ht="50.1" customHeight="1">
      <c r="A3642" s="31"/>
      <c r="B3642" s="32" t="s">
        <v>13614</v>
      </c>
      <c r="C3642" s="31" t="s">
        <v>2233</v>
      </c>
      <c r="D3642" s="31" t="s">
        <v>4957</v>
      </c>
      <c r="E3642" s="31" t="s">
        <v>13615</v>
      </c>
      <c r="F3642" s="31" t="s">
        <v>31</v>
      </c>
      <c r="G3642" s="31">
        <v>137</v>
      </c>
      <c r="H3642" s="31">
        <v>10</v>
      </c>
      <c r="I3642" s="31">
        <v>28</v>
      </c>
      <c r="J3642" s="31" t="s">
        <v>13616</v>
      </c>
      <c r="K3642" s="31" t="s">
        <v>3388</v>
      </c>
      <c r="L3642" s="31" t="s">
        <v>56</v>
      </c>
      <c r="M3642" s="31">
        <v>288</v>
      </c>
      <c r="N3642" s="31">
        <v>2008</v>
      </c>
      <c r="O3642" s="31">
        <v>122</v>
      </c>
      <c r="P3642" s="31"/>
      <c r="Q3642" s="31"/>
      <c r="R3642" s="33"/>
      <c r="S3642" s="34" t="str">
        <f>HYPERLINK("http://www.cnpol.ru/covers/10631.jpg","фото на сайте")</f>
        <v>фото на сайте</v>
      </c>
    </row>
    <row r="3643" spans="1:19" ht="50.1" customHeight="1">
      <c r="A3643" s="31"/>
      <c r="B3643" s="32" t="s">
        <v>13617</v>
      </c>
      <c r="C3643" s="31" t="s">
        <v>400</v>
      </c>
      <c r="D3643" s="31" t="s">
        <v>2412</v>
      </c>
      <c r="E3643" s="31" t="s">
        <v>13618</v>
      </c>
      <c r="F3643" s="31" t="s">
        <v>31</v>
      </c>
      <c r="G3643" s="31">
        <v>503</v>
      </c>
      <c r="H3643" s="31">
        <v>10</v>
      </c>
      <c r="I3643" s="31">
        <v>14</v>
      </c>
      <c r="J3643" s="31" t="s">
        <v>13619</v>
      </c>
      <c r="K3643" s="31" t="s">
        <v>33</v>
      </c>
      <c r="L3643" s="31" t="s">
        <v>34</v>
      </c>
      <c r="M3643" s="31">
        <v>288</v>
      </c>
      <c r="N3643" s="31">
        <v>2020</v>
      </c>
      <c r="O3643" s="31">
        <v>258</v>
      </c>
      <c r="P3643" s="31"/>
      <c r="Q3643" s="31"/>
      <c r="R3643" s="33"/>
      <c r="S3643" s="34" t="str">
        <f>HYPERLINK("http://www.cnpol.ru/covers/19097.jpg","фото на сайте")</f>
        <v>фото на сайте</v>
      </c>
    </row>
    <row r="3644" spans="1:19" ht="50.1" customHeight="1">
      <c r="A3644" s="31"/>
      <c r="B3644" s="32" t="s">
        <v>13620</v>
      </c>
      <c r="C3644" s="31" t="s">
        <v>37</v>
      </c>
      <c r="D3644" s="31" t="s">
        <v>13621</v>
      </c>
      <c r="E3644" s="31" t="s">
        <v>13622</v>
      </c>
      <c r="F3644" s="31" t="s">
        <v>31</v>
      </c>
      <c r="G3644" s="31">
        <v>912</v>
      </c>
      <c r="H3644" s="31">
        <v>10</v>
      </c>
      <c r="I3644" s="31">
        <v>10</v>
      </c>
      <c r="J3644" s="31" t="s">
        <v>13623</v>
      </c>
      <c r="K3644" s="31" t="s">
        <v>33</v>
      </c>
      <c r="L3644" s="31" t="s">
        <v>34</v>
      </c>
      <c r="M3644" s="31">
        <v>287</v>
      </c>
      <c r="N3644" s="31">
        <v>2023</v>
      </c>
      <c r="O3644" s="31">
        <v>285</v>
      </c>
      <c r="P3644" s="31"/>
      <c r="Q3644" s="31"/>
      <c r="R3644" s="33" t="s">
        <v>13624</v>
      </c>
      <c r="S3644" s="34" t="str">
        <f>HYPERLINK("http://www.cnpol.ru/covers/20567.jpg","фото на сайте")</f>
        <v>фото на сайте</v>
      </c>
    </row>
    <row r="3645" spans="1:19" ht="50.1" customHeight="1">
      <c r="A3645" s="31"/>
      <c r="B3645" s="32" t="s">
        <v>13625</v>
      </c>
      <c r="C3645" s="31" t="s">
        <v>479</v>
      </c>
      <c r="D3645" s="31" t="s">
        <v>13626</v>
      </c>
      <c r="E3645" s="31" t="s">
        <v>13627</v>
      </c>
      <c r="F3645" s="31" t="s">
        <v>31</v>
      </c>
      <c r="G3645" s="31">
        <v>539</v>
      </c>
      <c r="H3645" s="31">
        <v>10</v>
      </c>
      <c r="I3645" s="31">
        <v>12</v>
      </c>
      <c r="J3645" s="31" t="s">
        <v>13628</v>
      </c>
      <c r="K3645" s="31" t="s">
        <v>33</v>
      </c>
      <c r="L3645" s="31" t="s">
        <v>34</v>
      </c>
      <c r="M3645" s="31">
        <v>352</v>
      </c>
      <c r="N3645" s="31">
        <v>2017</v>
      </c>
      <c r="O3645" s="31">
        <v>292</v>
      </c>
      <c r="P3645" s="31"/>
      <c r="Q3645" s="31"/>
      <c r="R3645" s="33"/>
      <c r="S3645" s="34" t="str">
        <f>HYPERLINK("http://www.cnpol.ru/covers/17552.jpg","фото на сайте")</f>
        <v>фото на сайте</v>
      </c>
    </row>
    <row r="3646" spans="1:19" ht="50.1" customHeight="1">
      <c r="A3646" s="31"/>
      <c r="B3646" s="32" t="s">
        <v>13629</v>
      </c>
      <c r="C3646" s="31" t="s">
        <v>479</v>
      </c>
      <c r="D3646" s="31" t="s">
        <v>13630</v>
      </c>
      <c r="E3646" s="31" t="s">
        <v>13631</v>
      </c>
      <c r="F3646" s="31" t="s">
        <v>31</v>
      </c>
      <c r="G3646" s="31">
        <v>640</v>
      </c>
      <c r="H3646" s="31">
        <v>10</v>
      </c>
      <c r="I3646" s="31">
        <v>8</v>
      </c>
      <c r="J3646" s="31" t="s">
        <v>13632</v>
      </c>
      <c r="K3646" s="31" t="s">
        <v>33</v>
      </c>
      <c r="L3646" s="31" t="s">
        <v>34</v>
      </c>
      <c r="M3646" s="31">
        <v>576</v>
      </c>
      <c r="N3646" s="31">
        <v>2017</v>
      </c>
      <c r="O3646" s="31">
        <v>420</v>
      </c>
      <c r="P3646" s="31"/>
      <c r="Q3646" s="31"/>
      <c r="R3646" s="33"/>
      <c r="S3646" s="34" t="str">
        <f>HYPERLINK("http://www.cnpol.ru/covers/17752.jpg","фото на сайте")</f>
        <v>фото на сайте</v>
      </c>
    </row>
    <row r="3647" spans="1:19" ht="50.1" customHeight="1">
      <c r="A3647" s="31"/>
      <c r="B3647" s="32" t="s">
        <v>13633</v>
      </c>
      <c r="C3647" s="31" t="s">
        <v>1395</v>
      </c>
      <c r="D3647" s="31" t="s">
        <v>13634</v>
      </c>
      <c r="E3647" s="31" t="s">
        <v>13635</v>
      </c>
      <c r="F3647" s="31" t="s">
        <v>31</v>
      </c>
      <c r="G3647" s="31">
        <v>611</v>
      </c>
      <c r="H3647" s="31">
        <v>10</v>
      </c>
      <c r="I3647" s="31">
        <v>8</v>
      </c>
      <c r="J3647" s="31" t="s">
        <v>13636</v>
      </c>
      <c r="K3647" s="31" t="s">
        <v>33</v>
      </c>
      <c r="L3647" s="31" t="s">
        <v>34</v>
      </c>
      <c r="M3647" s="31">
        <v>573</v>
      </c>
      <c r="N3647" s="31">
        <v>2014</v>
      </c>
      <c r="O3647" s="31">
        <v>410</v>
      </c>
      <c r="P3647" s="31"/>
      <c r="Q3647" s="31"/>
      <c r="R3647" s="33"/>
      <c r="S3647" s="34" t="str">
        <f>HYPERLINK("http://www.cnpol.ru/covers/15079.jpg","фото на сайте")</f>
        <v>фото на сайте</v>
      </c>
    </row>
    <row r="3648" spans="1:19" ht="50.1" customHeight="1">
      <c r="A3648" s="31"/>
      <c r="B3648" s="32" t="s">
        <v>13637</v>
      </c>
      <c r="C3648" s="31" t="s">
        <v>3990</v>
      </c>
      <c r="D3648" s="31" t="s">
        <v>7615</v>
      </c>
      <c r="E3648" s="31" t="s">
        <v>13638</v>
      </c>
      <c r="F3648" s="31" t="s">
        <v>31</v>
      </c>
      <c r="G3648" s="35">
        <v>1384</v>
      </c>
      <c r="H3648" s="31">
        <v>10</v>
      </c>
      <c r="I3648" s="31">
        <v>10</v>
      </c>
      <c r="J3648" s="31" t="s">
        <v>13639</v>
      </c>
      <c r="K3648" s="31" t="s">
        <v>33</v>
      </c>
      <c r="L3648" s="31" t="s">
        <v>34</v>
      </c>
      <c r="M3648" s="31">
        <v>511</v>
      </c>
      <c r="N3648" s="31">
        <v>2021</v>
      </c>
      <c r="O3648" s="31">
        <v>544</v>
      </c>
      <c r="P3648" s="31"/>
      <c r="Q3648" s="31"/>
      <c r="R3648" s="33"/>
      <c r="S3648" s="34" t="str">
        <f>HYPERLINK("http://www.cnpol.ru/covers/20030.jpg","фото на сайте")</f>
        <v>фото на сайте</v>
      </c>
    </row>
    <row r="3649" spans="1:19" ht="50.1" customHeight="1">
      <c r="A3649" s="31"/>
      <c r="B3649" s="32" t="s">
        <v>13640</v>
      </c>
      <c r="C3649" s="31" t="s">
        <v>400</v>
      </c>
      <c r="D3649" s="31" t="s">
        <v>785</v>
      </c>
      <c r="E3649" s="31" t="s">
        <v>13641</v>
      </c>
      <c r="F3649" s="31" t="s">
        <v>31</v>
      </c>
      <c r="G3649" s="31">
        <v>503</v>
      </c>
      <c r="H3649" s="31">
        <v>10</v>
      </c>
      <c r="I3649" s="31">
        <v>14</v>
      </c>
      <c r="J3649" s="31" t="s">
        <v>13642</v>
      </c>
      <c r="K3649" s="31" t="s">
        <v>33</v>
      </c>
      <c r="L3649" s="31" t="s">
        <v>34</v>
      </c>
      <c r="M3649" s="31">
        <v>288</v>
      </c>
      <c r="N3649" s="31">
        <v>2018</v>
      </c>
      <c r="O3649" s="31">
        <v>252</v>
      </c>
      <c r="P3649" s="31"/>
      <c r="Q3649" s="31"/>
      <c r="R3649" s="33"/>
      <c r="S3649" s="34" t="str">
        <f>HYPERLINK("http://www.cnpol.ru/covers/18074.jpg","фото на сайте")</f>
        <v>фото на сайте</v>
      </c>
    </row>
    <row r="3650" spans="1:19" ht="50.1" customHeight="1">
      <c r="A3650" s="31"/>
      <c r="B3650" s="32" t="s">
        <v>13643</v>
      </c>
      <c r="C3650" s="31" t="s">
        <v>385</v>
      </c>
      <c r="D3650" s="31" t="s">
        <v>386</v>
      </c>
      <c r="E3650" s="31" t="s">
        <v>13644</v>
      </c>
      <c r="F3650" s="31" t="s">
        <v>31</v>
      </c>
      <c r="G3650" s="31">
        <v>162</v>
      </c>
      <c r="H3650" s="31">
        <v>10</v>
      </c>
      <c r="I3650" s="31">
        <v>32</v>
      </c>
      <c r="J3650" s="31" t="s">
        <v>13645</v>
      </c>
      <c r="K3650" s="31" t="s">
        <v>55</v>
      </c>
      <c r="L3650" s="31" t="s">
        <v>56</v>
      </c>
      <c r="M3650" s="31">
        <v>252</v>
      </c>
      <c r="N3650" s="31">
        <v>2016</v>
      </c>
      <c r="O3650" s="31">
        <v>108</v>
      </c>
      <c r="P3650" s="31"/>
      <c r="Q3650" s="31"/>
      <c r="R3650" s="33"/>
      <c r="S3650" s="34" t="str">
        <f>HYPERLINK("http://www.cnpol.ru/covers/0101.jpg","фото на сайте")</f>
        <v>фото на сайте</v>
      </c>
    </row>
    <row r="3651" spans="1:19" ht="50.1" customHeight="1">
      <c r="A3651" s="31"/>
      <c r="B3651" s="32" t="s">
        <v>13646</v>
      </c>
      <c r="C3651" s="31" t="s">
        <v>854</v>
      </c>
      <c r="D3651" s="31" t="s">
        <v>13647</v>
      </c>
      <c r="E3651" s="31" t="s">
        <v>13648</v>
      </c>
      <c r="F3651" s="31" t="s">
        <v>31</v>
      </c>
      <c r="G3651" s="31">
        <v>154</v>
      </c>
      <c r="H3651" s="31">
        <v>10</v>
      </c>
      <c r="I3651" s="31">
        <v>24</v>
      </c>
      <c r="J3651" s="31" t="s">
        <v>13649</v>
      </c>
      <c r="K3651" s="31" t="s">
        <v>55</v>
      </c>
      <c r="L3651" s="31" t="s">
        <v>56</v>
      </c>
      <c r="M3651" s="31">
        <v>319</v>
      </c>
      <c r="N3651" s="31">
        <v>2005</v>
      </c>
      <c r="O3651" s="31">
        <v>136</v>
      </c>
      <c r="P3651" s="31"/>
      <c r="Q3651" s="31"/>
      <c r="R3651" s="33"/>
      <c r="S3651" s="34" t="str">
        <f>HYPERLINK("http://www.cnpol.ru/covers/5762.jpg","фото на сайте")</f>
        <v>фото на сайте</v>
      </c>
    </row>
    <row r="3652" spans="1:19" ht="50.1" customHeight="1">
      <c r="A3652" s="31"/>
      <c r="B3652" s="32" t="s">
        <v>13650</v>
      </c>
      <c r="C3652" s="31" t="s">
        <v>1623</v>
      </c>
      <c r="D3652" s="31" t="s">
        <v>1624</v>
      </c>
      <c r="E3652" s="31" t="s">
        <v>13651</v>
      </c>
      <c r="F3652" s="31" t="s">
        <v>31</v>
      </c>
      <c r="G3652" s="31">
        <v>169</v>
      </c>
      <c r="H3652" s="31">
        <v>10</v>
      </c>
      <c r="I3652" s="31">
        <v>12</v>
      </c>
      <c r="J3652" s="31" t="s">
        <v>13652</v>
      </c>
      <c r="K3652" s="31" t="s">
        <v>55</v>
      </c>
      <c r="L3652" s="31" t="s">
        <v>56</v>
      </c>
      <c r="M3652" s="31">
        <v>288</v>
      </c>
      <c r="N3652" s="31">
        <v>2021</v>
      </c>
      <c r="O3652" s="31">
        <v>122</v>
      </c>
      <c r="P3652" s="31"/>
      <c r="Q3652" s="31"/>
      <c r="R3652" s="33"/>
      <c r="S3652" s="34" t="str">
        <f>HYPERLINK("http://www.cnpol.ru/covers/19553.jpg","фото на сайте")</f>
        <v>фото на сайте</v>
      </c>
    </row>
    <row r="3653" spans="1:19" ht="50.1" customHeight="1">
      <c r="A3653" s="31"/>
      <c r="B3653" s="32" t="s">
        <v>13653</v>
      </c>
      <c r="C3653" s="31" t="s">
        <v>28</v>
      </c>
      <c r="D3653" s="31" t="s">
        <v>13654</v>
      </c>
      <c r="E3653" s="31" t="s">
        <v>13655</v>
      </c>
      <c r="F3653" s="31" t="s">
        <v>31</v>
      </c>
      <c r="G3653" s="31">
        <v>575</v>
      </c>
      <c r="H3653" s="31">
        <v>10</v>
      </c>
      <c r="I3653" s="31">
        <v>8</v>
      </c>
      <c r="J3653" s="31" t="s">
        <v>13656</v>
      </c>
      <c r="K3653" s="31" t="s">
        <v>33</v>
      </c>
      <c r="L3653" s="31" t="s">
        <v>34</v>
      </c>
      <c r="M3653" s="31">
        <v>512</v>
      </c>
      <c r="N3653" s="31">
        <v>2018</v>
      </c>
      <c r="O3653" s="31">
        <v>392</v>
      </c>
      <c r="P3653" s="31"/>
      <c r="Q3653" s="31"/>
      <c r="R3653" s="33"/>
      <c r="S3653" s="34" t="str">
        <f>HYPERLINK("http://www.cnpol.ru/covers/18243.jpg","фото на сайте")</f>
        <v>фото на сайте</v>
      </c>
    </row>
    <row r="3654" spans="1:19" ht="50.1" customHeight="1">
      <c r="A3654" s="31"/>
      <c r="B3654" s="32" t="s">
        <v>13657</v>
      </c>
      <c r="C3654" s="31" t="s">
        <v>37</v>
      </c>
      <c r="D3654" s="31" t="s">
        <v>13658</v>
      </c>
      <c r="E3654" s="31" t="s">
        <v>13659</v>
      </c>
      <c r="F3654" s="31" t="s">
        <v>31</v>
      </c>
      <c r="G3654" s="31">
        <v>807</v>
      </c>
      <c r="H3654" s="31">
        <v>10</v>
      </c>
      <c r="I3654" s="31">
        <v>16</v>
      </c>
      <c r="J3654" s="31" t="s">
        <v>13660</v>
      </c>
      <c r="K3654" s="31" t="s">
        <v>33</v>
      </c>
      <c r="L3654" s="31" t="s">
        <v>34</v>
      </c>
      <c r="M3654" s="31">
        <v>255</v>
      </c>
      <c r="N3654" s="31">
        <v>2022</v>
      </c>
      <c r="O3654" s="31">
        <v>270</v>
      </c>
      <c r="P3654" s="31"/>
      <c r="Q3654" s="31"/>
      <c r="R3654" s="33" t="s">
        <v>13661</v>
      </c>
      <c r="S3654" s="34" t="str">
        <f>HYPERLINK("http://www.cnpol.ru/covers/20410.jpg","фото на сайте")</f>
        <v>фото на сайте</v>
      </c>
    </row>
    <row r="3655" spans="1:19" ht="50.1" customHeight="1">
      <c r="A3655" s="31" t="s">
        <v>43</v>
      </c>
      <c r="B3655" s="32" t="s">
        <v>13662</v>
      </c>
      <c r="C3655" s="31" t="s">
        <v>37</v>
      </c>
      <c r="D3655" s="31" t="s">
        <v>13663</v>
      </c>
      <c r="E3655" s="31" t="s">
        <v>13664</v>
      </c>
      <c r="F3655" s="31" t="s">
        <v>31</v>
      </c>
      <c r="G3655" s="31">
        <v>936</v>
      </c>
      <c r="H3655" s="31">
        <v>10</v>
      </c>
      <c r="I3655" s="31">
        <v>12</v>
      </c>
      <c r="J3655" s="31" t="s">
        <v>13665</v>
      </c>
      <c r="K3655" s="31" t="s">
        <v>33</v>
      </c>
      <c r="L3655" s="31" t="s">
        <v>34</v>
      </c>
      <c r="M3655" s="31">
        <v>334</v>
      </c>
      <c r="N3655" s="31">
        <v>2024</v>
      </c>
      <c r="O3655" s="31">
        <v>383</v>
      </c>
      <c r="P3655" s="31"/>
      <c r="Q3655" s="31"/>
      <c r="R3655" s="33" t="s">
        <v>13666</v>
      </c>
      <c r="S3655" s="34" t="str">
        <f>HYPERLINK("http://www.cnpol.ru/covers/21113.jpg","фото на сайте")</f>
        <v>фото на сайте</v>
      </c>
    </row>
    <row r="3656" spans="1:19" ht="50.1" customHeight="1">
      <c r="A3656" s="31"/>
      <c r="B3656" s="32" t="s">
        <v>13667</v>
      </c>
      <c r="C3656" s="31" t="s">
        <v>5849</v>
      </c>
      <c r="D3656" s="31" t="s">
        <v>386</v>
      </c>
      <c r="E3656" s="31" t="s">
        <v>13668</v>
      </c>
      <c r="F3656" s="31" t="s">
        <v>31</v>
      </c>
      <c r="G3656" s="31">
        <v>96</v>
      </c>
      <c r="H3656" s="31">
        <v>10</v>
      </c>
      <c r="I3656" s="31">
        <v>40</v>
      </c>
      <c r="J3656" s="31" t="s">
        <v>13669</v>
      </c>
      <c r="K3656" s="31" t="s">
        <v>55</v>
      </c>
      <c r="L3656" s="31" t="s">
        <v>56</v>
      </c>
      <c r="M3656" s="31" t="s">
        <v>431</v>
      </c>
      <c r="N3656" s="31" t="s">
        <v>431</v>
      </c>
      <c r="O3656" s="31" t="s">
        <v>220</v>
      </c>
      <c r="P3656" s="31"/>
      <c r="Q3656" s="31"/>
      <c r="R3656" s="33"/>
      <c r="S3656" s="34" t="str">
        <f>HYPERLINK("http://www.cnpol.ru/covers/2622.jpg","фото на сайте")</f>
        <v>фото на сайте</v>
      </c>
    </row>
    <row r="3657" spans="1:19" ht="50.1" customHeight="1">
      <c r="A3657" s="31"/>
      <c r="B3657" s="32" t="s">
        <v>13670</v>
      </c>
      <c r="C3657" s="31" t="s">
        <v>385</v>
      </c>
      <c r="D3657" s="31" t="s">
        <v>386</v>
      </c>
      <c r="E3657" s="31" t="s">
        <v>13668</v>
      </c>
      <c r="F3657" s="31" t="s">
        <v>31</v>
      </c>
      <c r="G3657" s="31">
        <v>162</v>
      </c>
      <c r="H3657" s="31">
        <v>10</v>
      </c>
      <c r="I3657" s="31">
        <v>32</v>
      </c>
      <c r="J3657" s="31" t="s">
        <v>13671</v>
      </c>
      <c r="K3657" s="31" t="s">
        <v>55</v>
      </c>
      <c r="L3657" s="31" t="s">
        <v>56</v>
      </c>
      <c r="M3657" s="31">
        <v>254</v>
      </c>
      <c r="N3657" s="31">
        <v>2014</v>
      </c>
      <c r="O3657" s="31">
        <v>104</v>
      </c>
      <c r="P3657" s="31"/>
      <c r="Q3657" s="31"/>
      <c r="R3657" s="33"/>
      <c r="S3657" s="34" t="str">
        <f>HYPERLINK("http://www.cnpol.ru/covers/14805.jpg","фото на сайте")</f>
        <v>фото на сайте</v>
      </c>
    </row>
    <row r="3658" spans="1:19" ht="50.1" customHeight="1">
      <c r="A3658" s="31"/>
      <c r="B3658" s="32" t="s">
        <v>13672</v>
      </c>
      <c r="C3658" s="31" t="s">
        <v>385</v>
      </c>
      <c r="D3658" s="31" t="s">
        <v>386</v>
      </c>
      <c r="E3658" s="31" t="s">
        <v>13668</v>
      </c>
      <c r="F3658" s="31" t="s">
        <v>31</v>
      </c>
      <c r="G3658" s="31">
        <v>162</v>
      </c>
      <c r="H3658" s="31">
        <v>10</v>
      </c>
      <c r="I3658" s="31">
        <v>32</v>
      </c>
      <c r="J3658" s="31" t="s">
        <v>13673</v>
      </c>
      <c r="K3658" s="31" t="s">
        <v>55</v>
      </c>
      <c r="L3658" s="31" t="s">
        <v>56</v>
      </c>
      <c r="M3658" s="31">
        <v>254</v>
      </c>
      <c r="N3658" s="31">
        <v>2016</v>
      </c>
      <c r="O3658" s="31">
        <v>104</v>
      </c>
      <c r="P3658" s="31"/>
      <c r="Q3658" s="31"/>
      <c r="R3658" s="33"/>
      <c r="S3658" s="34" t="str">
        <f>HYPERLINK("http://www.cnpol.ru/covers/0100.jpg","фото на сайте")</f>
        <v>фото на сайте</v>
      </c>
    </row>
    <row r="3659" spans="1:19" ht="50.1" customHeight="1">
      <c r="A3659" s="31"/>
      <c r="B3659" s="32" t="s">
        <v>13674</v>
      </c>
      <c r="C3659" s="31" t="s">
        <v>390</v>
      </c>
      <c r="D3659" s="31" t="s">
        <v>2868</v>
      </c>
      <c r="E3659" s="31" t="s">
        <v>13675</v>
      </c>
      <c r="F3659" s="31">
        <v>748</v>
      </c>
      <c r="G3659" s="31">
        <v>86</v>
      </c>
      <c r="H3659" s="31">
        <v>10</v>
      </c>
      <c r="I3659" s="31">
        <v>30</v>
      </c>
      <c r="J3659" s="31" t="s">
        <v>13676</v>
      </c>
      <c r="K3659" s="31" t="s">
        <v>123</v>
      </c>
      <c r="L3659" s="31" t="s">
        <v>56</v>
      </c>
      <c r="M3659" s="31">
        <v>160</v>
      </c>
      <c r="N3659" s="31">
        <v>2017</v>
      </c>
      <c r="O3659" s="31">
        <v>76</v>
      </c>
      <c r="P3659" s="31"/>
      <c r="Q3659" s="31"/>
      <c r="R3659" s="33"/>
      <c r="S3659" s="34" t="str">
        <f>HYPERLINK("http://www.cnpol.ru/covers/17668.jpg","фото на сайте")</f>
        <v>фото на сайте</v>
      </c>
    </row>
    <row r="3660" spans="1:19" ht="50.1" customHeight="1">
      <c r="A3660" s="31"/>
      <c r="B3660" s="32" t="s">
        <v>13677</v>
      </c>
      <c r="C3660" s="31" t="s">
        <v>413</v>
      </c>
      <c r="D3660" s="31" t="s">
        <v>8877</v>
      </c>
      <c r="E3660" s="31" t="s">
        <v>13678</v>
      </c>
      <c r="F3660" s="31">
        <v>83</v>
      </c>
      <c r="G3660" s="31">
        <v>117</v>
      </c>
      <c r="H3660" s="31">
        <v>10</v>
      </c>
      <c r="I3660" s="31">
        <v>36</v>
      </c>
      <c r="J3660" s="31" t="s">
        <v>13679</v>
      </c>
      <c r="K3660" s="31" t="s">
        <v>123</v>
      </c>
      <c r="L3660" s="31" t="s">
        <v>56</v>
      </c>
      <c r="M3660" s="31">
        <v>190</v>
      </c>
      <c r="N3660" s="31">
        <v>2016</v>
      </c>
      <c r="O3660" s="31">
        <v>90</v>
      </c>
      <c r="P3660" s="31"/>
      <c r="Q3660" s="31"/>
      <c r="R3660" s="33"/>
      <c r="S3660" s="34" t="str">
        <f>HYPERLINK("http://www.cnpol.ru/covers/16401.jpg","фото на сайте")</f>
        <v>фото на сайте</v>
      </c>
    </row>
    <row r="3661" spans="1:19" ht="50.1" customHeight="1">
      <c r="A3661" s="31"/>
      <c r="B3661" s="32" t="s">
        <v>13680</v>
      </c>
      <c r="C3661" s="31" t="s">
        <v>1822</v>
      </c>
      <c r="D3661" s="31" t="s">
        <v>1814</v>
      </c>
      <c r="E3661" s="31" t="s">
        <v>13681</v>
      </c>
      <c r="F3661" s="31" t="s">
        <v>31</v>
      </c>
      <c r="G3661" s="31">
        <v>675</v>
      </c>
      <c r="H3661" s="31">
        <v>10</v>
      </c>
      <c r="I3661" s="31">
        <v>16</v>
      </c>
      <c r="J3661" s="31" t="s">
        <v>13682</v>
      </c>
      <c r="K3661" s="31" t="s">
        <v>33</v>
      </c>
      <c r="L3661" s="31" t="s">
        <v>34</v>
      </c>
      <c r="M3661" s="31">
        <v>192</v>
      </c>
      <c r="N3661" s="31">
        <v>2020</v>
      </c>
      <c r="O3661" s="31">
        <v>280</v>
      </c>
      <c r="P3661" s="31"/>
      <c r="Q3661" s="31"/>
      <c r="R3661" s="33"/>
      <c r="S3661" s="34" t="str">
        <f>HYPERLINK("http://www.cnpol.ru/covers/19105.jpg","фото на сайте")</f>
        <v>фото на сайте</v>
      </c>
    </row>
    <row r="3662" spans="1:19" ht="50.1" customHeight="1">
      <c r="A3662" s="31"/>
      <c r="B3662" s="32" t="s">
        <v>13683</v>
      </c>
      <c r="C3662" s="31" t="s">
        <v>1813</v>
      </c>
      <c r="D3662" s="31" t="s">
        <v>1814</v>
      </c>
      <c r="E3662" s="31" t="s">
        <v>13681</v>
      </c>
      <c r="F3662" s="31" t="s">
        <v>31</v>
      </c>
      <c r="G3662" s="31">
        <v>349</v>
      </c>
      <c r="H3662" s="31">
        <v>10</v>
      </c>
      <c r="I3662" s="31">
        <v>30</v>
      </c>
      <c r="J3662" s="31" t="s">
        <v>13684</v>
      </c>
      <c r="K3662" s="31" t="s">
        <v>33</v>
      </c>
      <c r="L3662" s="31" t="s">
        <v>210</v>
      </c>
      <c r="M3662" s="31">
        <v>190</v>
      </c>
      <c r="N3662" s="31">
        <v>2021</v>
      </c>
      <c r="O3662" s="31">
        <v>124</v>
      </c>
      <c r="P3662" s="31"/>
      <c r="Q3662" s="31"/>
      <c r="R3662" s="33"/>
      <c r="S3662" s="34" t="str">
        <f>HYPERLINK("http://www.cnpol.ru/covers/19838.jpg","фото на сайте")</f>
        <v>фото на сайте</v>
      </c>
    </row>
    <row r="3663" spans="1:19" ht="50.1" customHeight="1">
      <c r="A3663" s="31"/>
      <c r="B3663" s="32" t="s">
        <v>13685</v>
      </c>
      <c r="C3663" s="31" t="s">
        <v>1247</v>
      </c>
      <c r="D3663" s="31" t="s">
        <v>1248</v>
      </c>
      <c r="E3663" s="31" t="s">
        <v>13686</v>
      </c>
      <c r="F3663" s="31" t="s">
        <v>31</v>
      </c>
      <c r="G3663" s="31">
        <v>112</v>
      </c>
      <c r="H3663" s="31">
        <v>10</v>
      </c>
      <c r="I3663" s="31">
        <v>40</v>
      </c>
      <c r="J3663" s="31" t="s">
        <v>13687</v>
      </c>
      <c r="K3663" s="31" t="s">
        <v>123</v>
      </c>
      <c r="L3663" s="31" t="s">
        <v>56</v>
      </c>
      <c r="M3663" s="31">
        <v>128</v>
      </c>
      <c r="N3663" s="31">
        <v>2008</v>
      </c>
      <c r="O3663" s="31">
        <v>70</v>
      </c>
      <c r="P3663" s="31"/>
      <c r="Q3663" s="31"/>
      <c r="R3663" s="33"/>
      <c r="S3663" s="34" t="str">
        <f>HYPERLINK("http://www.cnpol.ru/covers/10413.jpg","фото на сайте")</f>
        <v>фото на сайте</v>
      </c>
    </row>
    <row r="3664" spans="1:19" ht="50.1" customHeight="1">
      <c r="A3664" s="31"/>
      <c r="B3664" s="32" t="s">
        <v>13688</v>
      </c>
      <c r="C3664" s="31" t="s">
        <v>1623</v>
      </c>
      <c r="D3664" s="31" t="s">
        <v>7007</v>
      </c>
      <c r="E3664" s="31" t="s">
        <v>13689</v>
      </c>
      <c r="F3664" s="31" t="s">
        <v>31</v>
      </c>
      <c r="G3664" s="31">
        <v>169</v>
      </c>
      <c r="H3664" s="31">
        <v>10</v>
      </c>
      <c r="I3664" s="31">
        <v>16</v>
      </c>
      <c r="J3664" s="31" t="s">
        <v>13690</v>
      </c>
      <c r="K3664" s="31" t="s">
        <v>55</v>
      </c>
      <c r="L3664" s="31" t="s">
        <v>56</v>
      </c>
      <c r="M3664" s="31">
        <v>287</v>
      </c>
      <c r="N3664" s="31">
        <v>2022</v>
      </c>
      <c r="O3664" s="31">
        <v>122</v>
      </c>
      <c r="P3664" s="31"/>
      <c r="Q3664" s="31"/>
      <c r="R3664" s="33"/>
      <c r="S3664" s="34" t="str">
        <f>HYPERLINK("http://www.cnpol.ru/covers/20167.jpg","фото на сайте")</f>
        <v>фото на сайте</v>
      </c>
    </row>
    <row r="3665" spans="1:19" ht="50.1" customHeight="1">
      <c r="A3665" s="31"/>
      <c r="B3665" s="32" t="s">
        <v>13691</v>
      </c>
      <c r="C3665" s="31" t="s">
        <v>1813</v>
      </c>
      <c r="D3665" s="31" t="s">
        <v>1814</v>
      </c>
      <c r="E3665" s="31" t="s">
        <v>13692</v>
      </c>
      <c r="F3665" s="31" t="s">
        <v>31</v>
      </c>
      <c r="G3665" s="31">
        <v>349</v>
      </c>
      <c r="H3665" s="31">
        <v>10</v>
      </c>
      <c r="I3665" s="31">
        <v>12</v>
      </c>
      <c r="J3665" s="31" t="s">
        <v>13693</v>
      </c>
      <c r="K3665" s="31" t="s">
        <v>33</v>
      </c>
      <c r="L3665" s="31" t="s">
        <v>210</v>
      </c>
      <c r="M3665" s="31">
        <v>240</v>
      </c>
      <c r="N3665" s="31">
        <v>2020</v>
      </c>
      <c r="O3665" s="31">
        <v>150</v>
      </c>
      <c r="P3665" s="31"/>
      <c r="Q3665" s="31"/>
      <c r="R3665" s="33"/>
      <c r="S3665" s="34" t="str">
        <f>HYPERLINK("http://www.cnpol.ru/covers/19249.jpg","фото на сайте")</f>
        <v>фото на сайте</v>
      </c>
    </row>
    <row r="3666" spans="1:19" ht="50.1" customHeight="1">
      <c r="A3666" s="31"/>
      <c r="B3666" s="32" t="s">
        <v>13694</v>
      </c>
      <c r="C3666" s="31" t="s">
        <v>2497</v>
      </c>
      <c r="D3666" s="31" t="s">
        <v>1814</v>
      </c>
      <c r="E3666" s="31" t="s">
        <v>13695</v>
      </c>
      <c r="F3666" s="31" t="s">
        <v>31</v>
      </c>
      <c r="G3666" s="31">
        <v>251</v>
      </c>
      <c r="H3666" s="31">
        <v>10</v>
      </c>
      <c r="I3666" s="31">
        <v>18</v>
      </c>
      <c r="J3666" s="31" t="s">
        <v>13696</v>
      </c>
      <c r="K3666" s="31" t="s">
        <v>123</v>
      </c>
      <c r="L3666" s="31" t="s">
        <v>56</v>
      </c>
      <c r="M3666" s="31">
        <v>240</v>
      </c>
      <c r="N3666" s="31">
        <v>2022</v>
      </c>
      <c r="O3666" s="31">
        <v>108</v>
      </c>
      <c r="P3666" s="31"/>
      <c r="Q3666" s="31"/>
      <c r="R3666" s="33" t="s">
        <v>13697</v>
      </c>
      <c r="S3666" s="34" t="str">
        <f>HYPERLINK("http://www.cnpol.ru/covers/20375.jpg","фото на сайте")</f>
        <v>фото на сайте</v>
      </c>
    </row>
    <row r="3667" spans="1:19" ht="50.1" customHeight="1">
      <c r="A3667" s="31"/>
      <c r="B3667" s="32" t="s">
        <v>13698</v>
      </c>
      <c r="C3667" s="31" t="s">
        <v>1818</v>
      </c>
      <c r="D3667" s="31" t="s">
        <v>1814</v>
      </c>
      <c r="E3667" s="31" t="s">
        <v>13695</v>
      </c>
      <c r="F3667" s="31" t="s">
        <v>31</v>
      </c>
      <c r="G3667" s="31">
        <v>258</v>
      </c>
      <c r="H3667" s="31">
        <v>10</v>
      </c>
      <c r="I3667" s="31">
        <v>20</v>
      </c>
      <c r="J3667" s="31" t="s">
        <v>13699</v>
      </c>
      <c r="K3667" s="31" t="s">
        <v>130</v>
      </c>
      <c r="L3667" s="31" t="s">
        <v>56</v>
      </c>
      <c r="M3667" s="31">
        <v>240</v>
      </c>
      <c r="N3667" s="31">
        <v>2021</v>
      </c>
      <c r="O3667" s="31">
        <v>142</v>
      </c>
      <c r="P3667" s="31"/>
      <c r="Q3667" s="31"/>
      <c r="R3667" s="33"/>
      <c r="S3667" s="34" t="str">
        <f>HYPERLINK("http://www.cnpol.ru/covers/19759.jpg","фото на сайте")</f>
        <v>фото на сайте</v>
      </c>
    </row>
    <row r="3668" spans="1:19" ht="50.1" customHeight="1">
      <c r="A3668" s="31" t="s">
        <v>35</v>
      </c>
      <c r="B3668" s="32" t="s">
        <v>13700</v>
      </c>
      <c r="C3668" s="31" t="s">
        <v>37</v>
      </c>
      <c r="D3668" s="31" t="s">
        <v>13701</v>
      </c>
      <c r="E3668" s="31" t="s">
        <v>13702</v>
      </c>
      <c r="F3668" s="31" t="s">
        <v>31</v>
      </c>
      <c r="G3668" s="31">
        <v>851</v>
      </c>
      <c r="H3668" s="31">
        <v>10</v>
      </c>
      <c r="I3668" s="31">
        <v>14</v>
      </c>
      <c r="J3668" s="31" t="s">
        <v>13703</v>
      </c>
      <c r="K3668" s="31" t="s">
        <v>33</v>
      </c>
      <c r="L3668" s="31" t="s">
        <v>34</v>
      </c>
      <c r="M3668" s="31">
        <v>287</v>
      </c>
      <c r="N3668" s="31">
        <v>2024</v>
      </c>
      <c r="O3668" s="31">
        <v>270</v>
      </c>
      <c r="P3668" s="31"/>
      <c r="Q3668" s="31"/>
      <c r="R3668" s="33" t="s">
        <v>13704</v>
      </c>
      <c r="S3668" s="34" t="str">
        <f>HYPERLINK("http://www.cnpol.ru/covers/21255.jpg","фото на сайте")</f>
        <v>фото на сайте</v>
      </c>
    </row>
    <row r="3669" spans="1:19" ht="50.1" customHeight="1">
      <c r="A3669" s="31"/>
      <c r="B3669" s="32" t="s">
        <v>13705</v>
      </c>
      <c r="C3669" s="31" t="s">
        <v>400</v>
      </c>
      <c r="D3669" s="31" t="s">
        <v>460</v>
      </c>
      <c r="E3669" s="31" t="s">
        <v>13706</v>
      </c>
      <c r="F3669" s="31" t="s">
        <v>31</v>
      </c>
      <c r="G3669" s="31">
        <v>503</v>
      </c>
      <c r="H3669" s="31">
        <v>10</v>
      </c>
      <c r="I3669" s="31">
        <v>12</v>
      </c>
      <c r="J3669" s="31" t="s">
        <v>13707</v>
      </c>
      <c r="K3669" s="31" t="s">
        <v>33</v>
      </c>
      <c r="L3669" s="31" t="s">
        <v>34</v>
      </c>
      <c r="M3669" s="31">
        <v>285</v>
      </c>
      <c r="N3669" s="31">
        <v>2014</v>
      </c>
      <c r="O3669" s="31">
        <v>280</v>
      </c>
      <c r="P3669" s="31"/>
      <c r="Q3669" s="31"/>
      <c r="R3669" s="33"/>
      <c r="S3669" s="34" t="str">
        <f>HYPERLINK("http://www.cnpol.ru/covers/15423.jpg","фото на сайте")</f>
        <v>фото на сайте</v>
      </c>
    </row>
    <row r="3670" spans="1:19" ht="50.1" customHeight="1">
      <c r="A3670" s="31" t="s">
        <v>43</v>
      </c>
      <c r="B3670" s="32" t="s">
        <v>13708</v>
      </c>
      <c r="C3670" s="31" t="s">
        <v>37</v>
      </c>
      <c r="D3670" s="31" t="s">
        <v>2712</v>
      </c>
      <c r="E3670" s="31" t="s">
        <v>13709</v>
      </c>
      <c r="F3670" s="31" t="s">
        <v>31</v>
      </c>
      <c r="G3670" s="31">
        <v>588</v>
      </c>
      <c r="H3670" s="31">
        <v>10</v>
      </c>
      <c r="I3670" s="31">
        <v>8</v>
      </c>
      <c r="J3670" s="31" t="s">
        <v>13710</v>
      </c>
      <c r="K3670" s="31" t="s">
        <v>33</v>
      </c>
      <c r="L3670" s="31" t="s">
        <v>34</v>
      </c>
      <c r="M3670" s="31">
        <v>511</v>
      </c>
      <c r="N3670" s="31">
        <v>2024</v>
      </c>
      <c r="O3670" s="31">
        <v>396</v>
      </c>
      <c r="P3670" s="31"/>
      <c r="Q3670" s="31"/>
      <c r="R3670" s="33" t="s">
        <v>13711</v>
      </c>
      <c r="S3670" s="34" t="str">
        <f>HYPERLINK("http://www.cnpol.ru/covers/21179.jpg","фото на сайте")</f>
        <v>фото на сайте</v>
      </c>
    </row>
    <row r="3671" spans="1:19" ht="50.1" customHeight="1">
      <c r="A3671" s="31"/>
      <c r="B3671" s="32" t="s">
        <v>13712</v>
      </c>
      <c r="C3671" s="31" t="s">
        <v>390</v>
      </c>
      <c r="D3671" s="31" t="s">
        <v>1801</v>
      </c>
      <c r="E3671" s="31" t="s">
        <v>13713</v>
      </c>
      <c r="F3671" s="31">
        <v>727</v>
      </c>
      <c r="G3671" s="31">
        <v>86</v>
      </c>
      <c r="H3671" s="31">
        <v>10</v>
      </c>
      <c r="I3671" s="31">
        <v>30</v>
      </c>
      <c r="J3671" s="31" t="s">
        <v>13714</v>
      </c>
      <c r="K3671" s="31" t="s">
        <v>123</v>
      </c>
      <c r="L3671" s="31" t="s">
        <v>56</v>
      </c>
      <c r="M3671" s="31">
        <v>160</v>
      </c>
      <c r="N3671" s="31">
        <v>2017</v>
      </c>
      <c r="O3671" s="31">
        <v>76</v>
      </c>
      <c r="P3671" s="31"/>
      <c r="Q3671" s="31"/>
      <c r="R3671" s="33"/>
      <c r="S3671" s="34" t="str">
        <f>HYPERLINK("http://www.cnpol.ru/covers/17543.jpg","фото на сайте")</f>
        <v>фото на сайте</v>
      </c>
    </row>
    <row r="3672" spans="1:19" ht="50.1" customHeight="1">
      <c r="A3672" s="31" t="s">
        <v>43</v>
      </c>
      <c r="B3672" s="32" t="s">
        <v>13715</v>
      </c>
      <c r="C3672" s="31" t="s">
        <v>37</v>
      </c>
      <c r="D3672" s="31" t="s">
        <v>13716</v>
      </c>
      <c r="E3672" s="31" t="s">
        <v>13717</v>
      </c>
      <c r="F3672" s="31" t="s">
        <v>31</v>
      </c>
      <c r="G3672" s="31">
        <v>985</v>
      </c>
      <c r="H3672" s="31">
        <v>10</v>
      </c>
      <c r="I3672" s="31">
        <v>5</v>
      </c>
      <c r="J3672" s="31" t="s">
        <v>13718</v>
      </c>
      <c r="K3672" s="31" t="s">
        <v>33</v>
      </c>
      <c r="L3672" s="31" t="s">
        <v>34</v>
      </c>
      <c r="M3672" s="31">
        <v>351</v>
      </c>
      <c r="N3672" s="31">
        <v>2025</v>
      </c>
      <c r="O3672" s="31">
        <v>401</v>
      </c>
      <c r="P3672" s="31"/>
      <c r="Q3672" s="31"/>
      <c r="R3672" s="33" t="s">
        <v>13719</v>
      </c>
      <c r="S3672" s="34" t="str">
        <f>HYPERLINK("http://www.cnpol.ru/covers/21746.jpg","фото на сайте")</f>
        <v>фото на сайте</v>
      </c>
    </row>
    <row r="3673" spans="1:19" ht="50.1" customHeight="1">
      <c r="A3673" s="31"/>
      <c r="B3673" s="32" t="s">
        <v>13720</v>
      </c>
      <c r="C3673" s="31" t="s">
        <v>546</v>
      </c>
      <c r="D3673" s="31" t="s">
        <v>653</v>
      </c>
      <c r="E3673" s="31" t="s">
        <v>13721</v>
      </c>
      <c r="F3673" s="31">
        <v>369</v>
      </c>
      <c r="G3673" s="31">
        <v>93</v>
      </c>
      <c r="H3673" s="31">
        <v>10</v>
      </c>
      <c r="I3673" s="31">
        <v>30</v>
      </c>
      <c r="J3673" s="31" t="s">
        <v>13722</v>
      </c>
      <c r="K3673" s="31" t="s">
        <v>123</v>
      </c>
      <c r="L3673" s="31" t="s">
        <v>56</v>
      </c>
      <c r="M3673" s="31">
        <v>160</v>
      </c>
      <c r="N3673" s="31">
        <v>2021</v>
      </c>
      <c r="O3673" s="31">
        <v>76</v>
      </c>
      <c r="P3673" s="31"/>
      <c r="Q3673" s="31"/>
      <c r="R3673" s="33"/>
      <c r="S3673" s="34" t="str">
        <f>HYPERLINK("http://www.cnpol.ru/covers/19559.jpg","фото на сайте")</f>
        <v>фото на сайте</v>
      </c>
    </row>
    <row r="3674" spans="1:19" ht="50.1" customHeight="1">
      <c r="A3674" s="31"/>
      <c r="B3674" s="32" t="s">
        <v>13723</v>
      </c>
      <c r="C3674" s="31" t="s">
        <v>390</v>
      </c>
      <c r="D3674" s="31" t="s">
        <v>1427</v>
      </c>
      <c r="E3674" s="31" t="s">
        <v>13724</v>
      </c>
      <c r="F3674" s="31">
        <v>628</v>
      </c>
      <c r="G3674" s="31">
        <v>86</v>
      </c>
      <c r="H3674" s="31">
        <v>10</v>
      </c>
      <c r="I3674" s="31">
        <v>30</v>
      </c>
      <c r="J3674" s="31" t="s">
        <v>13725</v>
      </c>
      <c r="K3674" s="31" t="s">
        <v>123</v>
      </c>
      <c r="L3674" s="31" t="s">
        <v>56</v>
      </c>
      <c r="M3674" s="31">
        <v>160</v>
      </c>
      <c r="N3674" s="31">
        <v>2016</v>
      </c>
      <c r="O3674" s="31">
        <v>76</v>
      </c>
      <c r="P3674" s="31"/>
      <c r="Q3674" s="31"/>
      <c r="R3674" s="33"/>
      <c r="S3674" s="34" t="str">
        <f>HYPERLINK("http://www.cnpol.ru/covers/16845.jpg","фото на сайте")</f>
        <v>фото на сайте</v>
      </c>
    </row>
    <row r="3675" spans="1:19" ht="50.1" customHeight="1">
      <c r="A3675" s="31"/>
      <c r="B3675" s="32" t="s">
        <v>13726</v>
      </c>
      <c r="C3675" s="31" t="s">
        <v>390</v>
      </c>
      <c r="D3675" s="31" t="s">
        <v>1750</v>
      </c>
      <c r="E3675" s="31" t="s">
        <v>13727</v>
      </c>
      <c r="F3675" s="31">
        <v>1077</v>
      </c>
      <c r="G3675" s="31">
        <v>86</v>
      </c>
      <c r="H3675" s="31">
        <v>10</v>
      </c>
      <c r="I3675" s="31">
        <v>30</v>
      </c>
      <c r="J3675" s="31" t="s">
        <v>13728</v>
      </c>
      <c r="K3675" s="31" t="s">
        <v>123</v>
      </c>
      <c r="L3675" s="31" t="s">
        <v>56</v>
      </c>
      <c r="M3675" s="31">
        <v>159</v>
      </c>
      <c r="N3675" s="31">
        <v>2022</v>
      </c>
      <c r="O3675" s="31">
        <v>76</v>
      </c>
      <c r="P3675" s="31"/>
      <c r="Q3675" s="31"/>
      <c r="R3675" s="33"/>
      <c r="S3675" s="34" t="str">
        <f>HYPERLINK("http://www.cnpol.ru/covers/20049.jpg","фото на сайте")</f>
        <v>фото на сайте</v>
      </c>
    </row>
    <row r="3676" spans="1:19" ht="50.1" customHeight="1">
      <c r="A3676" s="31"/>
      <c r="B3676" s="32" t="s">
        <v>13729</v>
      </c>
      <c r="C3676" s="31" t="s">
        <v>520</v>
      </c>
      <c r="D3676" s="31" t="s">
        <v>521</v>
      </c>
      <c r="E3676" s="31" t="s">
        <v>13730</v>
      </c>
      <c r="F3676" s="31">
        <v>69</v>
      </c>
      <c r="G3676" s="31">
        <v>117</v>
      </c>
      <c r="H3676" s="31">
        <v>10</v>
      </c>
      <c r="I3676" s="31">
        <v>30</v>
      </c>
      <c r="J3676" s="31" t="s">
        <v>13731</v>
      </c>
      <c r="K3676" s="31" t="s">
        <v>123</v>
      </c>
      <c r="L3676" s="31" t="s">
        <v>56</v>
      </c>
      <c r="M3676" s="31">
        <v>192</v>
      </c>
      <c r="N3676" s="31">
        <v>2019</v>
      </c>
      <c r="O3676" s="31">
        <v>90</v>
      </c>
      <c r="P3676" s="31"/>
      <c r="Q3676" s="31"/>
      <c r="R3676" s="33"/>
      <c r="S3676" s="34" t="str">
        <f>HYPERLINK("http://www.cnpol.ru/covers/18792.jpg","фото на сайте")</f>
        <v>фото на сайте</v>
      </c>
    </row>
    <row r="3677" spans="1:19" ht="50.1" customHeight="1">
      <c r="A3677" s="31"/>
      <c r="B3677" s="32" t="s">
        <v>13732</v>
      </c>
      <c r="C3677" s="31" t="s">
        <v>390</v>
      </c>
      <c r="D3677" s="31" t="s">
        <v>2638</v>
      </c>
      <c r="E3677" s="31" t="s">
        <v>13733</v>
      </c>
      <c r="F3677" s="31">
        <v>1063</v>
      </c>
      <c r="G3677" s="31">
        <v>86</v>
      </c>
      <c r="H3677" s="31">
        <v>10</v>
      </c>
      <c r="I3677" s="31">
        <v>30</v>
      </c>
      <c r="J3677" s="31" t="s">
        <v>13734</v>
      </c>
      <c r="K3677" s="31" t="s">
        <v>123</v>
      </c>
      <c r="L3677" s="31" t="s">
        <v>56</v>
      </c>
      <c r="M3677" s="31">
        <v>159</v>
      </c>
      <c r="N3677" s="31">
        <v>2021</v>
      </c>
      <c r="O3677" s="31">
        <v>76</v>
      </c>
      <c r="P3677" s="31"/>
      <c r="Q3677" s="31"/>
      <c r="R3677" s="33"/>
      <c r="S3677" s="34" t="str">
        <f>HYPERLINK("http://www.cnpol.ru/covers/19905.jpg","фото на сайте")</f>
        <v>фото на сайте</v>
      </c>
    </row>
    <row r="3678" spans="1:19" ht="50.1" customHeight="1">
      <c r="A3678" s="31"/>
      <c r="B3678" s="32" t="s">
        <v>13735</v>
      </c>
      <c r="C3678" s="31" t="s">
        <v>390</v>
      </c>
      <c r="D3678" s="31" t="s">
        <v>3214</v>
      </c>
      <c r="E3678" s="31" t="s">
        <v>13736</v>
      </c>
      <c r="F3678" s="31">
        <v>1055</v>
      </c>
      <c r="G3678" s="31">
        <v>86</v>
      </c>
      <c r="H3678" s="31">
        <v>10</v>
      </c>
      <c r="I3678" s="31">
        <v>30</v>
      </c>
      <c r="J3678" s="31" t="s">
        <v>13737</v>
      </c>
      <c r="K3678" s="31" t="s">
        <v>123</v>
      </c>
      <c r="L3678" s="31" t="s">
        <v>56</v>
      </c>
      <c r="M3678" s="31">
        <v>159</v>
      </c>
      <c r="N3678" s="31">
        <v>2021</v>
      </c>
      <c r="O3678" s="31">
        <v>76</v>
      </c>
      <c r="P3678" s="31"/>
      <c r="Q3678" s="31"/>
      <c r="R3678" s="33"/>
      <c r="S3678" s="34" t="str">
        <f>HYPERLINK("http://www.cnpol.ru/covers/19864.jpg","фото на сайте")</f>
        <v>фото на сайте</v>
      </c>
    </row>
    <row r="3679" spans="1:19" ht="50.1" customHeight="1">
      <c r="A3679" s="31"/>
      <c r="B3679" s="32" t="s">
        <v>13738</v>
      </c>
      <c r="C3679" s="31" t="s">
        <v>390</v>
      </c>
      <c r="D3679" s="31" t="s">
        <v>2285</v>
      </c>
      <c r="E3679" s="31" t="s">
        <v>13739</v>
      </c>
      <c r="F3679" s="31">
        <v>1069</v>
      </c>
      <c r="G3679" s="31">
        <v>86</v>
      </c>
      <c r="H3679" s="31">
        <v>10</v>
      </c>
      <c r="I3679" s="31">
        <v>30</v>
      </c>
      <c r="J3679" s="31" t="s">
        <v>13740</v>
      </c>
      <c r="K3679" s="31" t="s">
        <v>123</v>
      </c>
      <c r="L3679" s="31" t="s">
        <v>56</v>
      </c>
      <c r="M3679" s="31">
        <v>159</v>
      </c>
      <c r="N3679" s="31">
        <v>2021</v>
      </c>
      <c r="O3679" s="31">
        <v>76</v>
      </c>
      <c r="P3679" s="31"/>
      <c r="Q3679" s="31"/>
      <c r="R3679" s="33"/>
      <c r="S3679" s="34" t="str">
        <f>HYPERLINK("http://www.cnpol.ru/covers/19949.jpg","фото на сайте")</f>
        <v>фото на сайте</v>
      </c>
    </row>
    <row r="3680" spans="1:19" ht="50.1" customHeight="1">
      <c r="A3680" s="31"/>
      <c r="B3680" s="32" t="s">
        <v>13741</v>
      </c>
      <c r="C3680" s="31" t="s">
        <v>400</v>
      </c>
      <c r="D3680" s="31" t="s">
        <v>13742</v>
      </c>
      <c r="E3680" s="31" t="s">
        <v>13743</v>
      </c>
      <c r="F3680" s="31" t="s">
        <v>31</v>
      </c>
      <c r="G3680" s="31">
        <v>503</v>
      </c>
      <c r="H3680" s="31">
        <v>10</v>
      </c>
      <c r="I3680" s="31">
        <v>14</v>
      </c>
      <c r="J3680" s="31" t="s">
        <v>13744</v>
      </c>
      <c r="K3680" s="31" t="s">
        <v>33</v>
      </c>
      <c r="L3680" s="31" t="s">
        <v>34</v>
      </c>
      <c r="M3680" s="31">
        <v>320</v>
      </c>
      <c r="N3680" s="31">
        <v>2021</v>
      </c>
      <c r="O3680" s="31">
        <v>270</v>
      </c>
      <c r="P3680" s="31"/>
      <c r="Q3680" s="31"/>
      <c r="R3680" s="33"/>
      <c r="S3680" s="34" t="str">
        <f>HYPERLINK("http://www.cnpol.ru/covers/19594.jpg","фото на сайте")</f>
        <v>фото на сайте</v>
      </c>
    </row>
    <row r="3681" spans="1:19" ht="50.1" customHeight="1">
      <c r="A3681" s="31"/>
      <c r="B3681" s="32" t="s">
        <v>13745</v>
      </c>
      <c r="C3681" s="31" t="s">
        <v>1830</v>
      </c>
      <c r="D3681" s="31" t="s">
        <v>7142</v>
      </c>
      <c r="E3681" s="31" t="s">
        <v>13746</v>
      </c>
      <c r="F3681" s="31" t="s">
        <v>31</v>
      </c>
      <c r="G3681" s="31">
        <v>307</v>
      </c>
      <c r="H3681" s="31">
        <v>10</v>
      </c>
      <c r="I3681" s="31">
        <v>12</v>
      </c>
      <c r="J3681" s="31" t="s">
        <v>13747</v>
      </c>
      <c r="K3681" s="31" t="s">
        <v>33</v>
      </c>
      <c r="L3681" s="31" t="s">
        <v>34</v>
      </c>
      <c r="M3681" s="31">
        <v>365</v>
      </c>
      <c r="N3681" s="31">
        <v>2004</v>
      </c>
      <c r="O3681" s="31">
        <v>300</v>
      </c>
      <c r="P3681" s="31"/>
      <c r="Q3681" s="31"/>
      <c r="R3681" s="33"/>
      <c r="S3681" s="34" t="str">
        <f>HYPERLINK("http://www.cnpol.ru/covers/4884.jpg","фото на сайте")</f>
        <v>фото на сайте</v>
      </c>
    </row>
    <row r="3682" spans="1:19" ht="50.1" customHeight="1">
      <c r="A3682" s="31" t="s">
        <v>35</v>
      </c>
      <c r="B3682" s="32" t="s">
        <v>13748</v>
      </c>
      <c r="C3682" s="31" t="s">
        <v>5168</v>
      </c>
      <c r="D3682" s="31" t="s">
        <v>5169</v>
      </c>
      <c r="E3682" s="31" t="s">
        <v>13749</v>
      </c>
      <c r="F3682" s="31" t="s">
        <v>31</v>
      </c>
      <c r="G3682" s="31">
        <v>258</v>
      </c>
      <c r="H3682" s="31">
        <v>10</v>
      </c>
      <c r="I3682" s="31">
        <v>15</v>
      </c>
      <c r="J3682" s="31" t="s">
        <v>13750</v>
      </c>
      <c r="K3682" s="31" t="s">
        <v>130</v>
      </c>
      <c r="L3682" s="31" t="s">
        <v>56</v>
      </c>
      <c r="M3682" s="31">
        <v>192</v>
      </c>
      <c r="N3682" s="31">
        <v>2025</v>
      </c>
      <c r="O3682" s="31" t="s">
        <v>220</v>
      </c>
      <c r="P3682" s="31"/>
      <c r="Q3682" s="31"/>
      <c r="R3682" s="33" t="s">
        <v>13751</v>
      </c>
      <c r="S3682" s="34" t="str">
        <f>HYPERLINK("http://www.cnpol.ru/covers/21481.jpg","фото на сайте")</f>
        <v>фото на сайте</v>
      </c>
    </row>
    <row r="3683" spans="1:19" ht="50.1" customHeight="1">
      <c r="A3683" s="31"/>
      <c r="B3683" s="32" t="s">
        <v>13752</v>
      </c>
      <c r="C3683" s="31" t="s">
        <v>528</v>
      </c>
      <c r="D3683" s="31" t="s">
        <v>529</v>
      </c>
      <c r="E3683" s="31" t="s">
        <v>13753</v>
      </c>
      <c r="F3683" s="31" t="s">
        <v>31</v>
      </c>
      <c r="G3683" s="31">
        <v>137</v>
      </c>
      <c r="H3683" s="31">
        <v>10</v>
      </c>
      <c r="I3683" s="31">
        <v>20</v>
      </c>
      <c r="J3683" s="31" t="s">
        <v>13754</v>
      </c>
      <c r="K3683" s="31" t="s">
        <v>55</v>
      </c>
      <c r="L3683" s="31" t="s">
        <v>56</v>
      </c>
      <c r="M3683" s="31">
        <v>160</v>
      </c>
      <c r="N3683" s="31">
        <v>2016</v>
      </c>
      <c r="O3683" s="31">
        <v>68</v>
      </c>
      <c r="P3683" s="31"/>
      <c r="Q3683" s="31"/>
      <c r="R3683" s="33"/>
      <c r="S3683" s="34" t="str">
        <f>HYPERLINK("http://www.cnpol.ru/covers/17019.jpg","фото на сайте")</f>
        <v>фото на сайте</v>
      </c>
    </row>
    <row r="3684" spans="1:19" ht="50.1" customHeight="1">
      <c r="A3684" s="31"/>
      <c r="B3684" s="32" t="s">
        <v>13755</v>
      </c>
      <c r="C3684" s="31" t="s">
        <v>589</v>
      </c>
      <c r="D3684" s="31" t="s">
        <v>590</v>
      </c>
      <c r="E3684" s="31" t="s">
        <v>13756</v>
      </c>
      <c r="F3684" s="31" t="s">
        <v>31</v>
      </c>
      <c r="G3684" s="31">
        <v>258</v>
      </c>
      <c r="H3684" s="31">
        <v>10</v>
      </c>
      <c r="I3684" s="31">
        <v>26</v>
      </c>
      <c r="J3684" s="31" t="s">
        <v>13757</v>
      </c>
      <c r="K3684" s="31" t="s">
        <v>130</v>
      </c>
      <c r="L3684" s="31" t="s">
        <v>56</v>
      </c>
      <c r="M3684" s="31">
        <v>191</v>
      </c>
      <c r="N3684" s="31">
        <v>2023</v>
      </c>
      <c r="O3684" s="31">
        <v>122</v>
      </c>
      <c r="P3684" s="31"/>
      <c r="Q3684" s="31"/>
      <c r="R3684" s="33" t="s">
        <v>13758</v>
      </c>
      <c r="S3684" s="34" t="str">
        <f>HYPERLINK("http://www.cnpol.ru/covers/20759.jpg","фото на сайте")</f>
        <v>фото на сайте</v>
      </c>
    </row>
    <row r="3685" spans="1:19" ht="50.1" customHeight="1">
      <c r="A3685" s="31"/>
      <c r="B3685" s="32" t="s">
        <v>13759</v>
      </c>
      <c r="C3685" s="31" t="s">
        <v>3108</v>
      </c>
      <c r="D3685" s="31" t="s">
        <v>1364</v>
      </c>
      <c r="E3685" s="31" t="s">
        <v>13760</v>
      </c>
      <c r="F3685" s="31">
        <v>1</v>
      </c>
      <c r="G3685" s="31">
        <v>771</v>
      </c>
      <c r="H3685" s="31">
        <v>10</v>
      </c>
      <c r="I3685" s="31">
        <v>18</v>
      </c>
      <c r="J3685" s="31" t="s">
        <v>13761</v>
      </c>
      <c r="K3685" s="31" t="s">
        <v>33</v>
      </c>
      <c r="L3685" s="31" t="s">
        <v>304</v>
      </c>
      <c r="M3685" s="31">
        <v>287</v>
      </c>
      <c r="N3685" s="31">
        <v>2024</v>
      </c>
      <c r="O3685" s="31">
        <v>280</v>
      </c>
      <c r="P3685" s="31"/>
      <c r="Q3685" s="31"/>
      <c r="R3685" s="33" t="s">
        <v>13762</v>
      </c>
      <c r="S3685" s="34" t="str">
        <f>HYPERLINK("http://www.cnpol.ru/covers/20936.jpg","фото на сайте")</f>
        <v>фото на сайте</v>
      </c>
    </row>
    <row r="3686" spans="1:19" ht="50.1" customHeight="1">
      <c r="A3686" s="31"/>
      <c r="B3686" s="32" t="s">
        <v>13763</v>
      </c>
      <c r="C3686" s="31" t="s">
        <v>413</v>
      </c>
      <c r="D3686" s="31" t="s">
        <v>6129</v>
      </c>
      <c r="E3686" s="31" t="s">
        <v>13764</v>
      </c>
      <c r="F3686" s="31">
        <v>67</v>
      </c>
      <c r="G3686" s="31">
        <v>117</v>
      </c>
      <c r="H3686" s="31">
        <v>10</v>
      </c>
      <c r="I3686" s="31">
        <v>36</v>
      </c>
      <c r="J3686" s="31" t="s">
        <v>13765</v>
      </c>
      <c r="K3686" s="31" t="s">
        <v>123</v>
      </c>
      <c r="L3686" s="31" t="s">
        <v>56</v>
      </c>
      <c r="M3686" s="31">
        <v>190</v>
      </c>
      <c r="N3686" s="31">
        <v>2015</v>
      </c>
      <c r="O3686" s="31">
        <v>90</v>
      </c>
      <c r="P3686" s="31"/>
      <c r="Q3686" s="31"/>
      <c r="R3686" s="33"/>
      <c r="S3686" s="34" t="str">
        <f>HYPERLINK("http://www.cnpol.ru/covers/16162.jpg","фото на сайте")</f>
        <v>фото на сайте</v>
      </c>
    </row>
    <row r="3687" spans="1:19" ht="50.1" customHeight="1">
      <c r="A3687" s="31"/>
      <c r="B3687" s="32" t="s">
        <v>13766</v>
      </c>
      <c r="C3687" s="31" t="s">
        <v>1016</v>
      </c>
      <c r="D3687" s="31" t="s">
        <v>1156</v>
      </c>
      <c r="E3687" s="31" t="s">
        <v>13767</v>
      </c>
      <c r="F3687" s="31" t="s">
        <v>31</v>
      </c>
      <c r="G3687" s="35">
        <v>1015</v>
      </c>
      <c r="H3687" s="31">
        <v>10</v>
      </c>
      <c r="I3687" s="31">
        <v>12</v>
      </c>
      <c r="J3687" s="31" t="s">
        <v>13768</v>
      </c>
      <c r="K3687" s="31" t="s">
        <v>33</v>
      </c>
      <c r="L3687" s="31" t="s">
        <v>34</v>
      </c>
      <c r="M3687" s="31">
        <v>350</v>
      </c>
      <c r="N3687" s="31">
        <v>2022</v>
      </c>
      <c r="O3687" s="31">
        <v>306</v>
      </c>
      <c r="P3687" s="31"/>
      <c r="Q3687" s="31"/>
      <c r="R3687" s="33"/>
      <c r="S3687" s="34" t="str">
        <f>HYPERLINK("http://www.cnpol.ru/covers/19975.jpg","фото на сайте")</f>
        <v>фото на сайте</v>
      </c>
    </row>
    <row r="3688" spans="1:19" ht="50.1" customHeight="1">
      <c r="A3688" s="31"/>
      <c r="B3688" s="32" t="s">
        <v>13769</v>
      </c>
      <c r="C3688" s="31" t="s">
        <v>400</v>
      </c>
      <c r="D3688" s="31" t="s">
        <v>13770</v>
      </c>
      <c r="E3688" s="31" t="s">
        <v>13771</v>
      </c>
      <c r="F3688" s="31" t="s">
        <v>31</v>
      </c>
      <c r="G3688" s="31">
        <v>503</v>
      </c>
      <c r="H3688" s="31">
        <v>10</v>
      </c>
      <c r="I3688" s="31">
        <v>12</v>
      </c>
      <c r="J3688" s="31" t="s">
        <v>13772</v>
      </c>
      <c r="K3688" s="31" t="s">
        <v>33</v>
      </c>
      <c r="L3688" s="31" t="s">
        <v>34</v>
      </c>
      <c r="M3688" s="31">
        <v>288</v>
      </c>
      <c r="N3688" s="31">
        <v>2020</v>
      </c>
      <c r="O3688" s="31">
        <v>254</v>
      </c>
      <c r="P3688" s="31"/>
      <c r="Q3688" s="31"/>
      <c r="R3688" s="33"/>
      <c r="S3688" s="34" t="str">
        <f>HYPERLINK("http://www.cnpol.ru/covers/19266.jpg","фото на сайте")</f>
        <v>фото на сайте</v>
      </c>
    </row>
    <row r="3689" spans="1:19" ht="50.1" customHeight="1">
      <c r="A3689" s="31"/>
      <c r="B3689" s="32" t="s">
        <v>13773</v>
      </c>
      <c r="C3689" s="31" t="s">
        <v>683</v>
      </c>
      <c r="D3689" s="31" t="s">
        <v>684</v>
      </c>
      <c r="E3689" s="31" t="s">
        <v>13774</v>
      </c>
      <c r="F3689" s="31" t="s">
        <v>31</v>
      </c>
      <c r="G3689" s="31">
        <v>325</v>
      </c>
      <c r="H3689" s="31">
        <v>10</v>
      </c>
      <c r="I3689" s="31">
        <v>10</v>
      </c>
      <c r="J3689" s="31" t="s">
        <v>13775</v>
      </c>
      <c r="K3689" s="31" t="s">
        <v>158</v>
      </c>
      <c r="L3689" s="31" t="s">
        <v>34</v>
      </c>
      <c r="M3689" s="31">
        <v>430</v>
      </c>
      <c r="N3689" s="31">
        <v>2005</v>
      </c>
      <c r="O3689" s="31">
        <v>364</v>
      </c>
      <c r="P3689" s="31"/>
      <c r="Q3689" s="31"/>
      <c r="R3689" s="33"/>
      <c r="S3689" s="34" t="str">
        <f>HYPERLINK("http://www.cnpol.ru/covers/5609.jpg","фото на сайте")</f>
        <v>фото на сайте</v>
      </c>
    </row>
    <row r="3690" spans="1:19" ht="50.1" customHeight="1">
      <c r="A3690" s="31"/>
      <c r="B3690" s="32" t="s">
        <v>13776</v>
      </c>
      <c r="C3690" s="31" t="s">
        <v>13777</v>
      </c>
      <c r="D3690" s="31" t="s">
        <v>2435</v>
      </c>
      <c r="E3690" s="31" t="s">
        <v>13778</v>
      </c>
      <c r="F3690" s="31" t="s">
        <v>31</v>
      </c>
      <c r="G3690" s="31">
        <v>260</v>
      </c>
      <c r="H3690" s="31">
        <v>10</v>
      </c>
      <c r="I3690" s="31">
        <v>20</v>
      </c>
      <c r="J3690" s="31" t="s">
        <v>13779</v>
      </c>
      <c r="K3690" s="31" t="s">
        <v>13780</v>
      </c>
      <c r="L3690" s="31" t="s">
        <v>210</v>
      </c>
      <c r="M3690" s="31">
        <v>218</v>
      </c>
      <c r="N3690" s="31">
        <v>2012</v>
      </c>
      <c r="O3690" s="31">
        <v>140</v>
      </c>
      <c r="P3690" s="31"/>
      <c r="Q3690" s="31"/>
      <c r="R3690" s="33"/>
      <c r="S3690" s="34" t="str">
        <f>HYPERLINK("http://www.cnpol.ru/covers/13291.jpg","фото на сайте")</f>
        <v>фото на сайте</v>
      </c>
    </row>
    <row r="3691" spans="1:19" ht="50.1" customHeight="1">
      <c r="A3691" s="31" t="s">
        <v>35</v>
      </c>
      <c r="B3691" s="32" t="s">
        <v>13781</v>
      </c>
      <c r="C3691" s="31" t="s">
        <v>2434</v>
      </c>
      <c r="D3691" s="31" t="s">
        <v>2435</v>
      </c>
      <c r="E3691" s="31" t="s">
        <v>13778</v>
      </c>
      <c r="F3691" s="31" t="s">
        <v>31</v>
      </c>
      <c r="G3691" s="31">
        <v>741</v>
      </c>
      <c r="H3691" s="31">
        <v>10</v>
      </c>
      <c r="I3691" s="31">
        <v>16</v>
      </c>
      <c r="J3691" s="31" t="s">
        <v>13782</v>
      </c>
      <c r="K3691" s="31" t="s">
        <v>33</v>
      </c>
      <c r="L3691" s="31" t="s">
        <v>34</v>
      </c>
      <c r="M3691" s="31">
        <v>218</v>
      </c>
      <c r="N3691" s="31">
        <v>2024</v>
      </c>
      <c r="O3691" s="31">
        <v>278</v>
      </c>
      <c r="P3691" s="31"/>
      <c r="Q3691" s="31"/>
      <c r="R3691" s="33" t="s">
        <v>13783</v>
      </c>
      <c r="S3691" s="34" t="str">
        <f>HYPERLINK("http://www.cnpol.ru/covers/21624.jpg","фото на сайте")</f>
        <v>фото на сайте</v>
      </c>
    </row>
    <row r="3692" spans="1:19" ht="50.1" customHeight="1">
      <c r="A3692" s="31" t="s">
        <v>43</v>
      </c>
      <c r="B3692" s="32" t="s">
        <v>13784</v>
      </c>
      <c r="C3692" s="31" t="s">
        <v>45</v>
      </c>
      <c r="D3692" s="31" t="s">
        <v>182</v>
      </c>
      <c r="E3692" s="31" t="s">
        <v>13785</v>
      </c>
      <c r="F3692" s="31" t="s">
        <v>31</v>
      </c>
      <c r="G3692" s="35">
        <v>1235</v>
      </c>
      <c r="H3692" s="31">
        <v>10</v>
      </c>
      <c r="I3692" s="31">
        <v>7</v>
      </c>
      <c r="J3692" s="31" t="s">
        <v>13786</v>
      </c>
      <c r="K3692" s="31" t="s">
        <v>33</v>
      </c>
      <c r="L3692" s="31" t="s">
        <v>34</v>
      </c>
      <c r="M3692" s="31">
        <v>511</v>
      </c>
      <c r="N3692" s="31">
        <v>2025</v>
      </c>
      <c r="O3692" s="31" t="s">
        <v>220</v>
      </c>
      <c r="P3692" s="31"/>
      <c r="Q3692" s="31"/>
      <c r="R3692" s="33" t="s">
        <v>13787</v>
      </c>
      <c r="S3692" s="34" t="str">
        <f>HYPERLINK("http://www.cnpol.ru/covers/21871.jpg","фото на сайте")</f>
        <v>фото на сайте</v>
      </c>
    </row>
    <row r="3693" spans="1:19" ht="50.1" customHeight="1">
      <c r="A3693" s="31"/>
      <c r="B3693" s="32" t="s">
        <v>13788</v>
      </c>
      <c r="C3693" s="31" t="s">
        <v>8389</v>
      </c>
      <c r="D3693" s="31" t="s">
        <v>8390</v>
      </c>
      <c r="E3693" s="31" t="s">
        <v>13789</v>
      </c>
      <c r="F3693" s="31" t="s">
        <v>31</v>
      </c>
      <c r="G3693" s="31">
        <v>137</v>
      </c>
      <c r="H3693" s="31">
        <v>10</v>
      </c>
      <c r="I3693" s="31">
        <v>40</v>
      </c>
      <c r="J3693" s="31" t="s">
        <v>13790</v>
      </c>
      <c r="K3693" s="31" t="s">
        <v>123</v>
      </c>
      <c r="L3693" s="31" t="s">
        <v>56</v>
      </c>
      <c r="M3693" s="31">
        <v>160</v>
      </c>
      <c r="N3693" s="31">
        <v>2020</v>
      </c>
      <c r="O3693" s="31">
        <v>76</v>
      </c>
      <c r="P3693" s="31"/>
      <c r="Q3693" s="31"/>
      <c r="R3693" s="33"/>
      <c r="S3693" s="34" t="str">
        <f>HYPERLINK("http://www.cnpol.ru/covers/19019.jpg","фото на сайте")</f>
        <v>фото на сайте</v>
      </c>
    </row>
    <row r="3694" spans="1:19" ht="50.1" customHeight="1">
      <c r="A3694" s="31"/>
      <c r="B3694" s="32" t="s">
        <v>13791</v>
      </c>
      <c r="C3694" s="31" t="s">
        <v>3429</v>
      </c>
      <c r="D3694" s="31" t="s">
        <v>3430</v>
      </c>
      <c r="E3694" s="31" t="s">
        <v>13792</v>
      </c>
      <c r="F3694" s="31" t="s">
        <v>31</v>
      </c>
      <c r="G3694" s="31">
        <v>105</v>
      </c>
      <c r="H3694" s="31">
        <v>10</v>
      </c>
      <c r="I3694" s="31">
        <v>28</v>
      </c>
      <c r="J3694" s="31" t="s">
        <v>13793</v>
      </c>
      <c r="K3694" s="31" t="s">
        <v>130</v>
      </c>
      <c r="L3694" s="31" t="s">
        <v>56</v>
      </c>
      <c r="M3694" s="31">
        <v>253</v>
      </c>
      <c r="N3694" s="31">
        <v>2001</v>
      </c>
      <c r="O3694" s="31">
        <v>148</v>
      </c>
      <c r="P3694" s="31"/>
      <c r="Q3694" s="31"/>
      <c r="R3694" s="33"/>
      <c r="S3694" s="34" t="str">
        <f>HYPERLINK("http://www.cnpol.ru/covers/2901.jpg","фото на сайте")</f>
        <v>фото на сайте</v>
      </c>
    </row>
    <row r="3695" spans="1:19" ht="50.1" customHeight="1">
      <c r="A3695" s="31"/>
      <c r="B3695" s="32" t="s">
        <v>13794</v>
      </c>
      <c r="C3695" s="31" t="s">
        <v>7044</v>
      </c>
      <c r="D3695" s="31" t="s">
        <v>7045</v>
      </c>
      <c r="E3695" s="31" t="s">
        <v>13795</v>
      </c>
      <c r="F3695" s="31">
        <v>2</v>
      </c>
      <c r="G3695" s="31">
        <v>486</v>
      </c>
      <c r="H3695" s="31">
        <v>10</v>
      </c>
      <c r="I3695" s="31">
        <v>20</v>
      </c>
      <c r="J3695" s="31" t="s">
        <v>13796</v>
      </c>
      <c r="K3695" s="31" t="s">
        <v>41</v>
      </c>
      <c r="L3695" s="31" t="s">
        <v>34</v>
      </c>
      <c r="M3695" s="31">
        <v>143</v>
      </c>
      <c r="N3695" s="31">
        <v>2021</v>
      </c>
      <c r="O3695" s="31">
        <v>180</v>
      </c>
      <c r="P3695" s="31"/>
      <c r="Q3695" s="31"/>
      <c r="R3695" s="33"/>
      <c r="S3695" s="34" t="str">
        <f>HYPERLINK("http://www.cnpol.ru/covers/19606.jpg","фото на сайте")</f>
        <v>фото на сайте</v>
      </c>
    </row>
    <row r="3696" spans="1:19" ht="50.1" customHeight="1">
      <c r="A3696" s="31"/>
      <c r="B3696" s="32" t="s">
        <v>13797</v>
      </c>
      <c r="C3696" s="31" t="s">
        <v>390</v>
      </c>
      <c r="D3696" s="31" t="s">
        <v>2511</v>
      </c>
      <c r="E3696" s="31" t="s">
        <v>13798</v>
      </c>
      <c r="F3696" s="31">
        <v>385</v>
      </c>
      <c r="G3696" s="31">
        <v>86</v>
      </c>
      <c r="H3696" s="31">
        <v>10</v>
      </c>
      <c r="I3696" s="31">
        <v>30</v>
      </c>
      <c r="J3696" s="31" t="s">
        <v>13799</v>
      </c>
      <c r="K3696" s="31" t="s">
        <v>123</v>
      </c>
      <c r="L3696" s="31" t="s">
        <v>56</v>
      </c>
      <c r="M3696" s="31">
        <v>158</v>
      </c>
      <c r="N3696" s="31">
        <v>2014</v>
      </c>
      <c r="O3696" s="31">
        <v>76</v>
      </c>
      <c r="P3696" s="31"/>
      <c r="Q3696" s="31"/>
      <c r="R3696" s="33"/>
      <c r="S3696" s="34" t="str">
        <f>HYPERLINK("http://www.cnpol.ru/covers/14887.jpg","фото на сайте")</f>
        <v>фото на сайте</v>
      </c>
    </row>
    <row r="3697" spans="1:19" ht="50.1" customHeight="1">
      <c r="A3697" s="31"/>
      <c r="B3697" s="32" t="s">
        <v>13800</v>
      </c>
      <c r="C3697" s="31" t="s">
        <v>400</v>
      </c>
      <c r="D3697" s="31" t="s">
        <v>13801</v>
      </c>
      <c r="E3697" s="31" t="s">
        <v>13802</v>
      </c>
      <c r="F3697" s="31" t="s">
        <v>31</v>
      </c>
      <c r="G3697" s="31">
        <v>503</v>
      </c>
      <c r="H3697" s="31">
        <v>10</v>
      </c>
      <c r="I3697" s="31">
        <v>14</v>
      </c>
      <c r="J3697" s="31" t="s">
        <v>13803</v>
      </c>
      <c r="K3697" s="31" t="s">
        <v>33</v>
      </c>
      <c r="L3697" s="31" t="s">
        <v>34</v>
      </c>
      <c r="M3697" s="31">
        <v>320</v>
      </c>
      <c r="N3697" s="31">
        <v>2019</v>
      </c>
      <c r="O3697" s="31">
        <v>272</v>
      </c>
      <c r="P3697" s="31"/>
      <c r="Q3697" s="31"/>
      <c r="R3697" s="33"/>
      <c r="S3697" s="34" t="str">
        <f>HYPERLINK("http://www.cnpol.ru/covers/18828.jpg","фото на сайте")</f>
        <v>фото на сайте</v>
      </c>
    </row>
    <row r="3698" spans="1:19" ht="50.1" customHeight="1">
      <c r="A3698" s="31"/>
      <c r="B3698" s="32" t="s">
        <v>13804</v>
      </c>
      <c r="C3698" s="31" t="s">
        <v>390</v>
      </c>
      <c r="D3698" s="31" t="s">
        <v>391</v>
      </c>
      <c r="E3698" s="31" t="s">
        <v>13805</v>
      </c>
      <c r="F3698" s="31">
        <v>1109</v>
      </c>
      <c r="G3698" s="31">
        <v>86</v>
      </c>
      <c r="H3698" s="31">
        <v>10</v>
      </c>
      <c r="I3698" s="31">
        <v>30</v>
      </c>
      <c r="J3698" s="31" t="s">
        <v>13806</v>
      </c>
      <c r="K3698" s="31" t="s">
        <v>123</v>
      </c>
      <c r="L3698" s="31" t="s">
        <v>56</v>
      </c>
      <c r="M3698" s="31">
        <v>159</v>
      </c>
      <c r="N3698" s="31">
        <v>2022</v>
      </c>
      <c r="O3698" s="31">
        <v>76</v>
      </c>
      <c r="P3698" s="31"/>
      <c r="Q3698" s="31"/>
      <c r="R3698" s="33" t="s">
        <v>13807</v>
      </c>
      <c r="S3698" s="34" t="str">
        <f>HYPERLINK("http://www.cnpol.ru/covers/20393.jpg","фото на сайте")</f>
        <v>фото на сайте</v>
      </c>
    </row>
    <row r="3699" spans="1:19" ht="50.1" customHeight="1">
      <c r="A3699" s="31"/>
      <c r="B3699" s="32" t="s">
        <v>13808</v>
      </c>
      <c r="C3699" s="31" t="s">
        <v>1527</v>
      </c>
      <c r="D3699" s="31" t="s">
        <v>1528</v>
      </c>
      <c r="E3699" s="31" t="s">
        <v>13809</v>
      </c>
      <c r="F3699" s="31">
        <v>3</v>
      </c>
      <c r="G3699" s="31">
        <v>559</v>
      </c>
      <c r="H3699" s="31">
        <v>10</v>
      </c>
      <c r="I3699" s="31">
        <v>10</v>
      </c>
      <c r="J3699" s="31" t="s">
        <v>13810</v>
      </c>
      <c r="K3699" s="31" t="s">
        <v>158</v>
      </c>
      <c r="L3699" s="31" t="s">
        <v>34</v>
      </c>
      <c r="M3699" s="31">
        <v>448</v>
      </c>
      <c r="N3699" s="31">
        <v>2016</v>
      </c>
      <c r="O3699" s="31">
        <v>388</v>
      </c>
      <c r="P3699" s="31"/>
      <c r="Q3699" s="31"/>
      <c r="R3699" s="33"/>
      <c r="S3699" s="34" t="str">
        <f>HYPERLINK("http://www.cnpol.ru/covers/16698.jpg","фото на сайте")</f>
        <v>фото на сайте</v>
      </c>
    </row>
    <row r="3700" spans="1:19" ht="50.1" customHeight="1">
      <c r="A3700" s="31"/>
      <c r="B3700" s="32" t="s">
        <v>13811</v>
      </c>
      <c r="C3700" s="31" t="s">
        <v>385</v>
      </c>
      <c r="D3700" s="31" t="s">
        <v>386</v>
      </c>
      <c r="E3700" s="31" t="s">
        <v>13812</v>
      </c>
      <c r="F3700" s="31" t="s">
        <v>31</v>
      </c>
      <c r="G3700" s="31">
        <v>162</v>
      </c>
      <c r="H3700" s="31">
        <v>10</v>
      </c>
      <c r="I3700" s="31">
        <v>32</v>
      </c>
      <c r="J3700" s="31" t="s">
        <v>13813</v>
      </c>
      <c r="K3700" s="31" t="s">
        <v>55</v>
      </c>
      <c r="L3700" s="31" t="s">
        <v>56</v>
      </c>
      <c r="M3700" s="31">
        <v>256</v>
      </c>
      <c r="N3700" s="31">
        <v>2016</v>
      </c>
      <c r="O3700" s="31">
        <v>106</v>
      </c>
      <c r="P3700" s="31"/>
      <c r="Q3700" s="31"/>
      <c r="R3700" s="33"/>
      <c r="S3700" s="34" t="str">
        <f>HYPERLINK("http://www.cnpol.ru/covers/16611.jpg","фото на сайте")</f>
        <v>фото на сайте</v>
      </c>
    </row>
    <row r="3701" spans="1:19" ht="50.1" customHeight="1">
      <c r="A3701" s="31"/>
      <c r="B3701" s="32" t="s">
        <v>13814</v>
      </c>
      <c r="C3701" s="31" t="s">
        <v>385</v>
      </c>
      <c r="D3701" s="31" t="s">
        <v>386</v>
      </c>
      <c r="E3701" s="31" t="s">
        <v>13812</v>
      </c>
      <c r="F3701" s="31" t="s">
        <v>31</v>
      </c>
      <c r="G3701" s="31">
        <v>162</v>
      </c>
      <c r="H3701" s="31">
        <v>10</v>
      </c>
      <c r="I3701" s="31">
        <v>32</v>
      </c>
      <c r="J3701" s="31" t="s">
        <v>13815</v>
      </c>
      <c r="K3701" s="31" t="s">
        <v>55</v>
      </c>
      <c r="L3701" s="31" t="s">
        <v>56</v>
      </c>
      <c r="M3701" s="31">
        <v>256</v>
      </c>
      <c r="N3701" s="31">
        <v>2016</v>
      </c>
      <c r="O3701" s="31">
        <v>106</v>
      </c>
      <c r="P3701" s="31"/>
      <c r="Q3701" s="31"/>
      <c r="R3701" s="33"/>
      <c r="S3701" s="34" t="str">
        <f>HYPERLINK("http://www.cnpol.ru/covers/0182.jpg","фото на сайте")</f>
        <v>фото на сайте</v>
      </c>
    </row>
    <row r="3702" spans="1:19" ht="50.1" customHeight="1">
      <c r="A3702" s="31"/>
      <c r="B3702" s="32" t="s">
        <v>13816</v>
      </c>
      <c r="C3702" s="31" t="s">
        <v>390</v>
      </c>
      <c r="D3702" s="31" t="s">
        <v>3214</v>
      </c>
      <c r="E3702" s="31" t="s">
        <v>13817</v>
      </c>
      <c r="F3702" s="31">
        <v>796</v>
      </c>
      <c r="G3702" s="31">
        <v>86</v>
      </c>
      <c r="H3702" s="31">
        <v>10</v>
      </c>
      <c r="I3702" s="31">
        <v>30</v>
      </c>
      <c r="J3702" s="31" t="s">
        <v>13818</v>
      </c>
      <c r="K3702" s="31" t="s">
        <v>123</v>
      </c>
      <c r="L3702" s="31" t="s">
        <v>56</v>
      </c>
      <c r="M3702" s="31">
        <v>160</v>
      </c>
      <c r="N3702" s="31">
        <v>2018</v>
      </c>
      <c r="O3702" s="31">
        <v>76</v>
      </c>
      <c r="P3702" s="31"/>
      <c r="Q3702" s="31"/>
      <c r="R3702" s="33"/>
      <c r="S3702" s="34" t="str">
        <f>HYPERLINK("http://www.cnpol.ru/covers/18014.jpg","фото на сайте")</f>
        <v>фото на сайте</v>
      </c>
    </row>
    <row r="3703" spans="1:19" ht="50.1" customHeight="1">
      <c r="A3703" s="31"/>
      <c r="B3703" s="32" t="s">
        <v>13819</v>
      </c>
      <c r="C3703" s="31" t="s">
        <v>390</v>
      </c>
      <c r="D3703" s="31" t="s">
        <v>10815</v>
      </c>
      <c r="E3703" s="31" t="s">
        <v>13820</v>
      </c>
      <c r="F3703" s="31">
        <v>978</v>
      </c>
      <c r="G3703" s="31">
        <v>86</v>
      </c>
      <c r="H3703" s="31">
        <v>10</v>
      </c>
      <c r="I3703" s="31">
        <v>30</v>
      </c>
      <c r="J3703" s="31" t="s">
        <v>13821</v>
      </c>
      <c r="K3703" s="31" t="s">
        <v>123</v>
      </c>
      <c r="L3703" s="31" t="s">
        <v>56</v>
      </c>
      <c r="M3703" s="31">
        <v>160</v>
      </c>
      <c r="N3703" s="31">
        <v>2020</v>
      </c>
      <c r="O3703" s="31">
        <v>76</v>
      </c>
      <c r="P3703" s="31"/>
      <c r="Q3703" s="31"/>
      <c r="R3703" s="33"/>
      <c r="S3703" s="34" t="str">
        <f>HYPERLINK("http://www.cnpol.ru/covers/19179.jpg","фото на сайте")</f>
        <v>фото на сайте</v>
      </c>
    </row>
    <row r="3704" spans="1:19" ht="50.1" customHeight="1">
      <c r="A3704" s="31"/>
      <c r="B3704" s="32" t="s">
        <v>13822</v>
      </c>
      <c r="C3704" s="31" t="s">
        <v>546</v>
      </c>
      <c r="D3704" s="31" t="s">
        <v>7377</v>
      </c>
      <c r="E3704" s="31" t="s">
        <v>13823</v>
      </c>
      <c r="F3704" s="31">
        <v>243</v>
      </c>
      <c r="G3704" s="31">
        <v>93</v>
      </c>
      <c r="H3704" s="31">
        <v>10</v>
      </c>
      <c r="I3704" s="31">
        <v>30</v>
      </c>
      <c r="J3704" s="31" t="s">
        <v>13824</v>
      </c>
      <c r="K3704" s="31" t="s">
        <v>123</v>
      </c>
      <c r="L3704" s="31" t="s">
        <v>56</v>
      </c>
      <c r="M3704" s="31">
        <v>160</v>
      </c>
      <c r="N3704" s="31">
        <v>2017</v>
      </c>
      <c r="O3704" s="31">
        <v>76</v>
      </c>
      <c r="P3704" s="31"/>
      <c r="Q3704" s="31"/>
      <c r="R3704" s="33"/>
      <c r="S3704" s="34" t="str">
        <f>HYPERLINK("http://www.cnpol.ru/covers/17786.jpg","фото на сайте")</f>
        <v>фото на сайте</v>
      </c>
    </row>
    <row r="3705" spans="1:19" ht="50.1" customHeight="1">
      <c r="A3705" s="31"/>
      <c r="B3705" s="32" t="s">
        <v>13825</v>
      </c>
      <c r="C3705" s="31" t="s">
        <v>390</v>
      </c>
      <c r="D3705" s="31" t="s">
        <v>547</v>
      </c>
      <c r="E3705" s="31" t="s">
        <v>13826</v>
      </c>
      <c r="F3705" s="31">
        <v>497</v>
      </c>
      <c r="G3705" s="31">
        <v>86</v>
      </c>
      <c r="H3705" s="31">
        <v>10</v>
      </c>
      <c r="I3705" s="31">
        <v>30</v>
      </c>
      <c r="J3705" s="31" t="s">
        <v>13827</v>
      </c>
      <c r="K3705" s="31" t="s">
        <v>123</v>
      </c>
      <c r="L3705" s="31" t="s">
        <v>56</v>
      </c>
      <c r="M3705" s="31">
        <v>158</v>
      </c>
      <c r="N3705" s="31">
        <v>2015</v>
      </c>
      <c r="O3705" s="31">
        <v>76</v>
      </c>
      <c r="P3705" s="31"/>
      <c r="Q3705" s="31"/>
      <c r="R3705" s="33"/>
      <c r="S3705" s="34" t="str">
        <f>HYPERLINK("http://www.cnpol.ru/covers/15840.jpg","фото на сайте")</f>
        <v>фото на сайте</v>
      </c>
    </row>
    <row r="3706" spans="1:19" ht="50.1" customHeight="1">
      <c r="A3706" s="31"/>
      <c r="B3706" s="32" t="s">
        <v>13828</v>
      </c>
      <c r="C3706" s="31" t="s">
        <v>390</v>
      </c>
      <c r="D3706" s="31" t="s">
        <v>13829</v>
      </c>
      <c r="E3706" s="31" t="s">
        <v>13830</v>
      </c>
      <c r="F3706" s="31">
        <v>1071</v>
      </c>
      <c r="G3706" s="31">
        <v>86</v>
      </c>
      <c r="H3706" s="31">
        <v>10</v>
      </c>
      <c r="I3706" s="31">
        <v>30</v>
      </c>
      <c r="J3706" s="31" t="s">
        <v>13831</v>
      </c>
      <c r="K3706" s="31" t="s">
        <v>123</v>
      </c>
      <c r="L3706" s="31" t="s">
        <v>56</v>
      </c>
      <c r="M3706" s="31">
        <v>159</v>
      </c>
      <c r="N3706" s="31">
        <v>2021</v>
      </c>
      <c r="O3706" s="31">
        <v>76</v>
      </c>
      <c r="P3706" s="31"/>
      <c r="Q3706" s="31"/>
      <c r="R3706" s="33"/>
      <c r="S3706" s="34" t="str">
        <f>HYPERLINK("http://www.cnpol.ru/covers/19968.jpg","фото на сайте")</f>
        <v>фото на сайте</v>
      </c>
    </row>
    <row r="3707" spans="1:19" ht="50.1" customHeight="1">
      <c r="A3707" s="31"/>
      <c r="B3707" s="32" t="s">
        <v>13832</v>
      </c>
      <c r="C3707" s="31" t="s">
        <v>390</v>
      </c>
      <c r="D3707" s="31" t="s">
        <v>10788</v>
      </c>
      <c r="E3707" s="31" t="s">
        <v>13833</v>
      </c>
      <c r="F3707" s="31">
        <v>825</v>
      </c>
      <c r="G3707" s="31">
        <v>86</v>
      </c>
      <c r="H3707" s="31">
        <v>10</v>
      </c>
      <c r="I3707" s="31">
        <v>30</v>
      </c>
      <c r="J3707" s="31" t="s">
        <v>13834</v>
      </c>
      <c r="K3707" s="31" t="s">
        <v>123</v>
      </c>
      <c r="L3707" s="31" t="s">
        <v>56</v>
      </c>
      <c r="M3707" s="31">
        <v>160</v>
      </c>
      <c r="N3707" s="31">
        <v>2018</v>
      </c>
      <c r="O3707" s="31">
        <v>76</v>
      </c>
      <c r="P3707" s="31"/>
      <c r="Q3707" s="31"/>
      <c r="R3707" s="33"/>
      <c r="S3707" s="34" t="str">
        <f>HYPERLINK("http://www.cnpol.ru/covers/18238.jpg","фото на сайте")</f>
        <v>фото на сайте</v>
      </c>
    </row>
    <row r="3708" spans="1:19" ht="50.1" customHeight="1">
      <c r="A3708" s="31"/>
      <c r="B3708" s="32" t="s">
        <v>13835</v>
      </c>
      <c r="C3708" s="31" t="s">
        <v>546</v>
      </c>
      <c r="D3708" s="31" t="s">
        <v>594</v>
      </c>
      <c r="E3708" s="31" t="s">
        <v>13836</v>
      </c>
      <c r="F3708" s="31">
        <v>182</v>
      </c>
      <c r="G3708" s="31">
        <v>93</v>
      </c>
      <c r="H3708" s="31">
        <v>10</v>
      </c>
      <c r="I3708" s="31">
        <v>30</v>
      </c>
      <c r="J3708" s="31" t="s">
        <v>13837</v>
      </c>
      <c r="K3708" s="31" t="s">
        <v>123</v>
      </c>
      <c r="L3708" s="31" t="s">
        <v>56</v>
      </c>
      <c r="M3708" s="31">
        <v>160</v>
      </c>
      <c r="N3708" s="31">
        <v>2016</v>
      </c>
      <c r="O3708" s="31">
        <v>76</v>
      </c>
      <c r="P3708" s="31"/>
      <c r="Q3708" s="31"/>
      <c r="R3708" s="33"/>
      <c r="S3708" s="34" t="str">
        <f>HYPERLINK("http://www.cnpol.ru/covers/16951.jpg","фото на сайте")</f>
        <v>фото на сайте</v>
      </c>
    </row>
    <row r="3709" spans="1:19" ht="50.1" customHeight="1">
      <c r="A3709" s="31"/>
      <c r="B3709" s="32" t="s">
        <v>13838</v>
      </c>
      <c r="C3709" s="31" t="s">
        <v>418</v>
      </c>
      <c r="D3709" s="31" t="s">
        <v>12565</v>
      </c>
      <c r="E3709" s="31" t="s">
        <v>13839</v>
      </c>
      <c r="F3709" s="31">
        <v>109</v>
      </c>
      <c r="G3709" s="31">
        <v>153</v>
      </c>
      <c r="H3709" s="31">
        <v>10</v>
      </c>
      <c r="I3709" s="31">
        <v>30</v>
      </c>
      <c r="J3709" s="31" t="s">
        <v>13840</v>
      </c>
      <c r="K3709" s="31" t="s">
        <v>123</v>
      </c>
      <c r="L3709" s="31" t="s">
        <v>56</v>
      </c>
      <c r="M3709" s="31">
        <v>256</v>
      </c>
      <c r="N3709" s="31">
        <v>2020</v>
      </c>
      <c r="O3709" s="31">
        <v>120</v>
      </c>
      <c r="P3709" s="31"/>
      <c r="Q3709" s="31"/>
      <c r="R3709" s="33"/>
      <c r="S3709" s="34" t="str">
        <f>HYPERLINK("http://www.cnpol.ru/covers/19245.jpg","фото на сайте")</f>
        <v>фото на сайте</v>
      </c>
    </row>
    <row r="3710" spans="1:19" ht="50.1" customHeight="1">
      <c r="A3710" s="31"/>
      <c r="B3710" s="32" t="s">
        <v>13841</v>
      </c>
      <c r="C3710" s="31" t="s">
        <v>390</v>
      </c>
      <c r="D3710" s="31" t="s">
        <v>2106</v>
      </c>
      <c r="E3710" s="31" t="s">
        <v>13842</v>
      </c>
      <c r="F3710" s="31">
        <v>859</v>
      </c>
      <c r="G3710" s="31">
        <v>86</v>
      </c>
      <c r="H3710" s="31">
        <v>10</v>
      </c>
      <c r="I3710" s="31">
        <v>30</v>
      </c>
      <c r="J3710" s="31" t="s">
        <v>13843</v>
      </c>
      <c r="K3710" s="31" t="s">
        <v>123</v>
      </c>
      <c r="L3710" s="31" t="s">
        <v>56</v>
      </c>
      <c r="M3710" s="31">
        <v>160</v>
      </c>
      <c r="N3710" s="31">
        <v>2018</v>
      </c>
      <c r="O3710" s="31">
        <v>76</v>
      </c>
      <c r="P3710" s="31"/>
      <c r="Q3710" s="31"/>
      <c r="R3710" s="33"/>
      <c r="S3710" s="34" t="str">
        <f>HYPERLINK("http://www.cnpol.ru/covers/18439.jpg","фото на сайте")</f>
        <v>фото на сайте</v>
      </c>
    </row>
    <row r="3711" spans="1:19" ht="50.1" customHeight="1">
      <c r="A3711" s="31"/>
      <c r="B3711" s="32" t="s">
        <v>13844</v>
      </c>
      <c r="C3711" s="31" t="s">
        <v>390</v>
      </c>
      <c r="D3711" s="31" t="s">
        <v>10036</v>
      </c>
      <c r="E3711" s="31" t="s">
        <v>13845</v>
      </c>
      <c r="F3711" s="31">
        <v>354</v>
      </c>
      <c r="G3711" s="31">
        <v>86</v>
      </c>
      <c r="H3711" s="31">
        <v>10</v>
      </c>
      <c r="I3711" s="31">
        <v>40</v>
      </c>
      <c r="J3711" s="31" t="s">
        <v>13846</v>
      </c>
      <c r="K3711" s="31" t="s">
        <v>123</v>
      </c>
      <c r="L3711" s="31" t="s">
        <v>56</v>
      </c>
      <c r="M3711" s="31">
        <v>158</v>
      </c>
      <c r="N3711" s="31">
        <v>2013</v>
      </c>
      <c r="O3711" s="31">
        <v>76</v>
      </c>
      <c r="P3711" s="31"/>
      <c r="Q3711" s="31"/>
      <c r="R3711" s="33"/>
      <c r="S3711" s="34" t="str">
        <f>HYPERLINK("http://www.cnpol.ru/covers/14600.jpg","фото на сайте")</f>
        <v>фото на сайте</v>
      </c>
    </row>
    <row r="3712" spans="1:19" ht="50.1" customHeight="1">
      <c r="A3712" s="31" t="s">
        <v>43</v>
      </c>
      <c r="B3712" s="32" t="s">
        <v>13847</v>
      </c>
      <c r="C3712" s="31" t="s">
        <v>37</v>
      </c>
      <c r="D3712" s="31" t="s">
        <v>13848</v>
      </c>
      <c r="E3712" s="31" t="s">
        <v>13849</v>
      </c>
      <c r="F3712" s="31" t="s">
        <v>31</v>
      </c>
      <c r="G3712" s="35">
        <v>1394</v>
      </c>
      <c r="H3712" s="31">
        <v>10</v>
      </c>
      <c r="I3712" s="31">
        <v>6</v>
      </c>
      <c r="J3712" s="31" t="s">
        <v>13850</v>
      </c>
      <c r="K3712" s="31" t="s">
        <v>33</v>
      </c>
      <c r="L3712" s="31" t="s">
        <v>34</v>
      </c>
      <c r="M3712" s="31">
        <v>606</v>
      </c>
      <c r="N3712" s="31">
        <v>2024</v>
      </c>
      <c r="O3712" s="31">
        <v>401</v>
      </c>
      <c r="P3712" s="31"/>
      <c r="Q3712" s="31"/>
      <c r="R3712" s="33" t="s">
        <v>13851</v>
      </c>
      <c r="S3712" s="34" t="str">
        <f>HYPERLINK("http://www.cnpol.ru/covers/21264.jpg","фото на сайте")</f>
        <v>фото на сайте</v>
      </c>
    </row>
    <row r="3713" spans="1:19" ht="50.1" customHeight="1">
      <c r="A3713" s="31"/>
      <c r="B3713" s="32" t="s">
        <v>13852</v>
      </c>
      <c r="C3713" s="31" t="s">
        <v>390</v>
      </c>
      <c r="D3713" s="31" t="s">
        <v>13853</v>
      </c>
      <c r="E3713" s="31" t="s">
        <v>13854</v>
      </c>
      <c r="F3713" s="31">
        <v>987</v>
      </c>
      <c r="G3713" s="31">
        <v>86</v>
      </c>
      <c r="H3713" s="31">
        <v>10</v>
      </c>
      <c r="I3713" s="31">
        <v>30</v>
      </c>
      <c r="J3713" s="31" t="s">
        <v>13855</v>
      </c>
      <c r="K3713" s="31" t="s">
        <v>123</v>
      </c>
      <c r="L3713" s="31" t="s">
        <v>56</v>
      </c>
      <c r="M3713" s="31">
        <v>160</v>
      </c>
      <c r="N3713" s="31">
        <v>2020</v>
      </c>
      <c r="O3713" s="31">
        <v>76</v>
      </c>
      <c r="P3713" s="31"/>
      <c r="Q3713" s="31"/>
      <c r="R3713" s="33"/>
      <c r="S3713" s="34" t="str">
        <f>HYPERLINK("http://www.cnpol.ru/covers/19268.jpg","фото на сайте")</f>
        <v>фото на сайте</v>
      </c>
    </row>
    <row r="3714" spans="1:19" ht="50.1" customHeight="1">
      <c r="A3714" s="31"/>
      <c r="B3714" s="32" t="s">
        <v>13856</v>
      </c>
      <c r="C3714" s="31" t="s">
        <v>390</v>
      </c>
      <c r="D3714" s="31" t="s">
        <v>10815</v>
      </c>
      <c r="E3714" s="31" t="s">
        <v>13857</v>
      </c>
      <c r="F3714" s="31">
        <v>1053</v>
      </c>
      <c r="G3714" s="31">
        <v>86</v>
      </c>
      <c r="H3714" s="31">
        <v>10</v>
      </c>
      <c r="I3714" s="31">
        <v>30</v>
      </c>
      <c r="J3714" s="31" t="s">
        <v>13858</v>
      </c>
      <c r="K3714" s="31" t="s">
        <v>123</v>
      </c>
      <c r="L3714" s="31" t="s">
        <v>56</v>
      </c>
      <c r="M3714" s="31">
        <v>159</v>
      </c>
      <c r="N3714" s="31">
        <v>2021</v>
      </c>
      <c r="O3714" s="31">
        <v>76</v>
      </c>
      <c r="P3714" s="31"/>
      <c r="Q3714" s="31"/>
      <c r="R3714" s="33"/>
      <c r="S3714" s="34" t="str">
        <f>HYPERLINK("http://www.cnpol.ru/covers/19859.jpg","фото на сайте")</f>
        <v>фото на сайте</v>
      </c>
    </row>
    <row r="3715" spans="1:19" ht="50.1" customHeight="1">
      <c r="A3715" s="31"/>
      <c r="B3715" s="32" t="s">
        <v>13859</v>
      </c>
      <c r="C3715" s="31" t="s">
        <v>390</v>
      </c>
      <c r="D3715" s="31" t="s">
        <v>3641</v>
      </c>
      <c r="E3715" s="31" t="s">
        <v>13860</v>
      </c>
      <c r="F3715" s="31">
        <v>1040</v>
      </c>
      <c r="G3715" s="31">
        <v>86</v>
      </c>
      <c r="H3715" s="31">
        <v>10</v>
      </c>
      <c r="I3715" s="31">
        <v>30</v>
      </c>
      <c r="J3715" s="31" t="s">
        <v>13861</v>
      </c>
      <c r="K3715" s="31" t="s">
        <v>123</v>
      </c>
      <c r="L3715" s="31" t="s">
        <v>56</v>
      </c>
      <c r="M3715" s="31">
        <v>160</v>
      </c>
      <c r="N3715" s="31">
        <v>2021</v>
      </c>
      <c r="O3715" s="31">
        <v>76</v>
      </c>
      <c r="P3715" s="31"/>
      <c r="Q3715" s="31"/>
      <c r="R3715" s="33"/>
      <c r="S3715" s="34" t="str">
        <f>HYPERLINK("http://www.cnpol.ru/covers/19709.jpg","фото на сайте")</f>
        <v>фото на сайте</v>
      </c>
    </row>
    <row r="3716" spans="1:19" ht="50.1" customHeight="1">
      <c r="A3716" s="31"/>
      <c r="B3716" s="32" t="s">
        <v>13862</v>
      </c>
      <c r="C3716" s="31" t="s">
        <v>495</v>
      </c>
      <c r="D3716" s="31" t="s">
        <v>13863</v>
      </c>
      <c r="E3716" s="31" t="s">
        <v>13864</v>
      </c>
      <c r="F3716" s="31" t="s">
        <v>31</v>
      </c>
      <c r="G3716" s="35">
        <v>3732</v>
      </c>
      <c r="H3716" s="31">
        <v>10</v>
      </c>
      <c r="I3716" s="31">
        <v>5</v>
      </c>
      <c r="J3716" s="31" t="s">
        <v>13865</v>
      </c>
      <c r="K3716" s="31" t="s">
        <v>319</v>
      </c>
      <c r="L3716" s="31" t="s">
        <v>34</v>
      </c>
      <c r="M3716" s="31">
        <v>335</v>
      </c>
      <c r="N3716" s="31">
        <v>2016</v>
      </c>
      <c r="O3716" s="31">
        <v>1364</v>
      </c>
      <c r="P3716" s="31"/>
      <c r="Q3716" s="31"/>
      <c r="R3716" s="33"/>
      <c r="S3716" s="34" t="str">
        <f>HYPERLINK("http://www.cnpol.ru/covers/16672.jpg","фото на сайте")</f>
        <v>фото на сайте</v>
      </c>
    </row>
    <row r="3717" spans="1:19" ht="50.1" customHeight="1">
      <c r="A3717" s="31"/>
      <c r="B3717" s="32" t="s">
        <v>13866</v>
      </c>
      <c r="C3717" s="31" t="s">
        <v>495</v>
      </c>
      <c r="D3717" s="31" t="s">
        <v>13863</v>
      </c>
      <c r="E3717" s="31" t="s">
        <v>13867</v>
      </c>
      <c r="F3717" s="31" t="s">
        <v>31</v>
      </c>
      <c r="G3717" s="35">
        <v>3732</v>
      </c>
      <c r="H3717" s="31">
        <v>10</v>
      </c>
      <c r="I3717" s="31">
        <v>5</v>
      </c>
      <c r="J3717" s="31" t="s">
        <v>13868</v>
      </c>
      <c r="K3717" s="31" t="s">
        <v>319</v>
      </c>
      <c r="L3717" s="31" t="s">
        <v>34</v>
      </c>
      <c r="M3717" s="31">
        <v>335</v>
      </c>
      <c r="N3717" s="31">
        <v>2016</v>
      </c>
      <c r="O3717" s="31">
        <v>1364</v>
      </c>
      <c r="P3717" s="31"/>
      <c r="Q3717" s="31"/>
      <c r="R3717" s="33"/>
      <c r="S3717" s="34" t="str">
        <f>HYPERLINK("http://www.cnpol.ru/covers/16673.jpg","фото на сайте")</f>
        <v>фото на сайте</v>
      </c>
    </row>
    <row r="3718" spans="1:19" ht="50.1" customHeight="1">
      <c r="A3718" s="31" t="s">
        <v>43</v>
      </c>
      <c r="B3718" s="32" t="s">
        <v>13869</v>
      </c>
      <c r="C3718" s="31" t="s">
        <v>143</v>
      </c>
      <c r="D3718" s="31" t="s">
        <v>13870</v>
      </c>
      <c r="E3718" s="31" t="s">
        <v>13871</v>
      </c>
      <c r="F3718" s="31" t="s">
        <v>31</v>
      </c>
      <c r="G3718" s="31">
        <v>917</v>
      </c>
      <c r="H3718" s="31">
        <v>10</v>
      </c>
      <c r="I3718" s="31">
        <v>12</v>
      </c>
      <c r="J3718" s="31" t="s">
        <v>13872</v>
      </c>
      <c r="K3718" s="31" t="s">
        <v>33</v>
      </c>
      <c r="L3718" s="31" t="s">
        <v>34</v>
      </c>
      <c r="M3718" s="31">
        <v>287</v>
      </c>
      <c r="N3718" s="31">
        <v>2024</v>
      </c>
      <c r="O3718" s="31">
        <v>357</v>
      </c>
      <c r="P3718" s="31"/>
      <c r="Q3718" s="31"/>
      <c r="R3718" s="33" t="s">
        <v>13873</v>
      </c>
      <c r="S3718" s="34" t="str">
        <f>HYPERLINK("http://www.cnpol.ru/covers/21137.jpg","фото на сайте")</f>
        <v>фото на сайте</v>
      </c>
    </row>
    <row r="3719" spans="1:19" ht="50.1" customHeight="1">
      <c r="A3719" s="31"/>
      <c r="B3719" s="32" t="s">
        <v>13874</v>
      </c>
      <c r="C3719" s="31" t="s">
        <v>8326</v>
      </c>
      <c r="D3719" s="31" t="s">
        <v>13875</v>
      </c>
      <c r="E3719" s="31" t="s">
        <v>13876</v>
      </c>
      <c r="F3719" s="31" t="s">
        <v>31</v>
      </c>
      <c r="G3719" s="31">
        <v>461</v>
      </c>
      <c r="H3719" s="31">
        <v>10</v>
      </c>
      <c r="I3719" s="31">
        <v>22</v>
      </c>
      <c r="J3719" s="31" t="s">
        <v>13877</v>
      </c>
      <c r="K3719" s="31" t="s">
        <v>33</v>
      </c>
      <c r="L3719" s="31" t="s">
        <v>34</v>
      </c>
      <c r="M3719" s="31">
        <v>191</v>
      </c>
      <c r="N3719" s="31">
        <v>2013</v>
      </c>
      <c r="O3719" s="31">
        <v>260</v>
      </c>
      <c r="P3719" s="31"/>
      <c r="Q3719" s="31"/>
      <c r="R3719" s="33"/>
      <c r="S3719" s="34" t="str">
        <f>HYPERLINK("http://www.cnpol.ru/covers/14357.jpg","фото на сайте")</f>
        <v>фото на сайте</v>
      </c>
    </row>
    <row r="3720" spans="1:19" ht="50.1" customHeight="1">
      <c r="A3720" s="31"/>
      <c r="B3720" s="32" t="s">
        <v>13878</v>
      </c>
      <c r="C3720" s="31" t="s">
        <v>390</v>
      </c>
      <c r="D3720" s="31" t="s">
        <v>2511</v>
      </c>
      <c r="E3720" s="31" t="s">
        <v>13879</v>
      </c>
      <c r="F3720" s="31">
        <v>908</v>
      </c>
      <c r="G3720" s="31">
        <v>86</v>
      </c>
      <c r="H3720" s="31">
        <v>10</v>
      </c>
      <c r="I3720" s="31">
        <v>30</v>
      </c>
      <c r="J3720" s="31" t="s">
        <v>13880</v>
      </c>
      <c r="K3720" s="31" t="s">
        <v>123</v>
      </c>
      <c r="L3720" s="31" t="s">
        <v>56</v>
      </c>
      <c r="M3720" s="31">
        <v>160</v>
      </c>
      <c r="N3720" s="31">
        <v>2019</v>
      </c>
      <c r="O3720" s="31">
        <v>76</v>
      </c>
      <c r="P3720" s="31"/>
      <c r="Q3720" s="31"/>
      <c r="R3720" s="33"/>
      <c r="S3720" s="34" t="str">
        <f>HYPERLINK("http://www.cnpol.ru/covers/18758.jpg","фото на сайте")</f>
        <v>фото на сайте</v>
      </c>
    </row>
    <row r="3721" spans="1:19" ht="50.1" customHeight="1">
      <c r="A3721" s="31"/>
      <c r="B3721" s="32" t="s">
        <v>13881</v>
      </c>
      <c r="C3721" s="31" t="s">
        <v>413</v>
      </c>
      <c r="D3721" s="31" t="s">
        <v>13829</v>
      </c>
      <c r="E3721" s="31" t="s">
        <v>13882</v>
      </c>
      <c r="F3721" s="31">
        <v>43</v>
      </c>
      <c r="G3721" s="31">
        <v>117</v>
      </c>
      <c r="H3721" s="31">
        <v>10</v>
      </c>
      <c r="I3721" s="31">
        <v>36</v>
      </c>
      <c r="J3721" s="31" t="s">
        <v>13883</v>
      </c>
      <c r="K3721" s="31" t="s">
        <v>123</v>
      </c>
      <c r="L3721" s="31" t="s">
        <v>56</v>
      </c>
      <c r="M3721" s="31">
        <v>190</v>
      </c>
      <c r="N3721" s="31">
        <v>2015</v>
      </c>
      <c r="O3721" s="31">
        <v>90</v>
      </c>
      <c r="P3721" s="31"/>
      <c r="Q3721" s="31"/>
      <c r="R3721" s="33"/>
      <c r="S3721" s="34" t="str">
        <f>HYPERLINK("http://www.cnpol.ru/covers/15807.jpg","фото на сайте")</f>
        <v>фото на сайте</v>
      </c>
    </row>
    <row r="3722" spans="1:19" ht="50.1" customHeight="1">
      <c r="A3722" s="31"/>
      <c r="B3722" s="32" t="s">
        <v>13884</v>
      </c>
      <c r="C3722" s="31" t="s">
        <v>390</v>
      </c>
      <c r="D3722" s="31" t="s">
        <v>414</v>
      </c>
      <c r="E3722" s="31" t="s">
        <v>13885</v>
      </c>
      <c r="F3722" s="31">
        <v>1056</v>
      </c>
      <c r="G3722" s="31">
        <v>86</v>
      </c>
      <c r="H3722" s="31">
        <v>10</v>
      </c>
      <c r="I3722" s="31">
        <v>30</v>
      </c>
      <c r="J3722" s="31" t="s">
        <v>13886</v>
      </c>
      <c r="K3722" s="31" t="s">
        <v>123</v>
      </c>
      <c r="L3722" s="31" t="s">
        <v>56</v>
      </c>
      <c r="M3722" s="31">
        <v>159</v>
      </c>
      <c r="N3722" s="31">
        <v>2021</v>
      </c>
      <c r="O3722" s="31">
        <v>76</v>
      </c>
      <c r="P3722" s="31"/>
      <c r="Q3722" s="31"/>
      <c r="R3722" s="33"/>
      <c r="S3722" s="34" t="str">
        <f>HYPERLINK("http://www.cnpol.ru/covers/19880.jpg","фото на сайте")</f>
        <v>фото на сайте</v>
      </c>
    </row>
    <row r="3723" spans="1:19" ht="50.1" customHeight="1">
      <c r="A3723" s="31"/>
      <c r="B3723" s="32" t="s">
        <v>13887</v>
      </c>
      <c r="C3723" s="31" t="s">
        <v>390</v>
      </c>
      <c r="D3723" s="31" t="s">
        <v>3507</v>
      </c>
      <c r="E3723" s="31" t="s">
        <v>13888</v>
      </c>
      <c r="F3723" s="31">
        <v>1080</v>
      </c>
      <c r="G3723" s="31">
        <v>86</v>
      </c>
      <c r="H3723" s="31">
        <v>10</v>
      </c>
      <c r="I3723" s="31">
        <v>30</v>
      </c>
      <c r="J3723" s="31" t="s">
        <v>13889</v>
      </c>
      <c r="K3723" s="31" t="s">
        <v>123</v>
      </c>
      <c r="L3723" s="31" t="s">
        <v>56</v>
      </c>
      <c r="M3723" s="31">
        <v>159</v>
      </c>
      <c r="N3723" s="31">
        <v>2022</v>
      </c>
      <c r="O3723" s="31">
        <v>76</v>
      </c>
      <c r="P3723" s="31"/>
      <c r="Q3723" s="31"/>
      <c r="R3723" s="33"/>
      <c r="S3723" s="34" t="str">
        <f>HYPERLINK("http://www.cnpol.ru/covers/20108.jpg","фото на сайте")</f>
        <v>фото на сайте</v>
      </c>
    </row>
    <row r="3724" spans="1:19" ht="50.1" customHeight="1">
      <c r="A3724" s="31"/>
      <c r="B3724" s="32" t="s">
        <v>13890</v>
      </c>
      <c r="C3724" s="31" t="s">
        <v>520</v>
      </c>
      <c r="D3724" s="31" t="s">
        <v>3091</v>
      </c>
      <c r="E3724" s="31" t="s">
        <v>13891</v>
      </c>
      <c r="F3724" s="31">
        <v>36</v>
      </c>
      <c r="G3724" s="31">
        <v>117</v>
      </c>
      <c r="H3724" s="31">
        <v>10</v>
      </c>
      <c r="I3724" s="31">
        <v>30</v>
      </c>
      <c r="J3724" s="31" t="s">
        <v>13892</v>
      </c>
      <c r="K3724" s="31" t="s">
        <v>123</v>
      </c>
      <c r="L3724" s="31" t="s">
        <v>56</v>
      </c>
      <c r="M3724" s="31">
        <v>192</v>
      </c>
      <c r="N3724" s="31">
        <v>2016</v>
      </c>
      <c r="O3724" s="31">
        <v>90</v>
      </c>
      <c r="P3724" s="31"/>
      <c r="Q3724" s="31"/>
      <c r="R3724" s="33"/>
      <c r="S3724" s="34" t="str">
        <f>HYPERLINK("http://www.cnpol.ru/covers/17044.jpg","фото на сайте")</f>
        <v>фото на сайте</v>
      </c>
    </row>
    <row r="3725" spans="1:19" ht="50.1" customHeight="1">
      <c r="A3725" s="31"/>
      <c r="B3725" s="32" t="s">
        <v>13893</v>
      </c>
      <c r="C3725" s="31" t="s">
        <v>390</v>
      </c>
      <c r="D3725" s="31" t="s">
        <v>1638</v>
      </c>
      <c r="E3725" s="31" t="s">
        <v>13894</v>
      </c>
      <c r="F3725" s="31">
        <v>938</v>
      </c>
      <c r="G3725" s="31">
        <v>86</v>
      </c>
      <c r="H3725" s="31">
        <v>10</v>
      </c>
      <c r="I3725" s="31">
        <v>30</v>
      </c>
      <c r="J3725" s="31" t="s">
        <v>13895</v>
      </c>
      <c r="K3725" s="31" t="s">
        <v>123</v>
      </c>
      <c r="L3725" s="31" t="s">
        <v>56</v>
      </c>
      <c r="M3725" s="31">
        <v>160</v>
      </c>
      <c r="N3725" s="31">
        <v>2019</v>
      </c>
      <c r="O3725" s="31">
        <v>76</v>
      </c>
      <c r="P3725" s="31"/>
      <c r="Q3725" s="31"/>
      <c r="R3725" s="33"/>
      <c r="S3725" s="34" t="str">
        <f>HYPERLINK("http://www.cnpol.ru/covers/18928.jpg","фото на сайте")</f>
        <v>фото на сайте</v>
      </c>
    </row>
    <row r="3726" spans="1:19" ht="50.1" customHeight="1">
      <c r="A3726" s="31"/>
      <c r="B3726" s="32" t="s">
        <v>13896</v>
      </c>
      <c r="C3726" s="31" t="s">
        <v>1527</v>
      </c>
      <c r="D3726" s="31" t="s">
        <v>1528</v>
      </c>
      <c r="E3726" s="31" t="s">
        <v>13897</v>
      </c>
      <c r="F3726" s="31">
        <v>4</v>
      </c>
      <c r="G3726" s="31">
        <v>559</v>
      </c>
      <c r="H3726" s="31">
        <v>10</v>
      </c>
      <c r="I3726" s="31">
        <v>10</v>
      </c>
      <c r="J3726" s="31" t="s">
        <v>13898</v>
      </c>
      <c r="K3726" s="31" t="s">
        <v>158</v>
      </c>
      <c r="L3726" s="31" t="s">
        <v>34</v>
      </c>
      <c r="M3726" s="31">
        <v>448</v>
      </c>
      <c r="N3726" s="31">
        <v>2016</v>
      </c>
      <c r="O3726" s="31">
        <v>388</v>
      </c>
      <c r="P3726" s="31"/>
      <c r="Q3726" s="31"/>
      <c r="R3726" s="33"/>
      <c r="S3726" s="34" t="str">
        <f>HYPERLINK("http://www.cnpol.ru/covers/16699.jpg","фото на сайте")</f>
        <v>фото на сайте</v>
      </c>
    </row>
    <row r="3727" spans="1:19" ht="50.1" customHeight="1">
      <c r="A3727" s="31"/>
      <c r="B3727" s="32" t="s">
        <v>13899</v>
      </c>
      <c r="C3727" s="31" t="s">
        <v>390</v>
      </c>
      <c r="D3727" s="31" t="s">
        <v>4536</v>
      </c>
      <c r="E3727" s="31" t="s">
        <v>13900</v>
      </c>
      <c r="F3727" s="31">
        <v>982</v>
      </c>
      <c r="G3727" s="31">
        <v>86</v>
      </c>
      <c r="H3727" s="31">
        <v>10</v>
      </c>
      <c r="I3727" s="31">
        <v>30</v>
      </c>
      <c r="J3727" s="31" t="s">
        <v>13901</v>
      </c>
      <c r="K3727" s="31" t="s">
        <v>123</v>
      </c>
      <c r="L3727" s="31" t="s">
        <v>56</v>
      </c>
      <c r="M3727" s="31">
        <v>160</v>
      </c>
      <c r="N3727" s="31">
        <v>2020</v>
      </c>
      <c r="O3727" s="31">
        <v>76</v>
      </c>
      <c r="P3727" s="31"/>
      <c r="Q3727" s="31"/>
      <c r="R3727" s="33"/>
      <c r="S3727" s="34" t="str">
        <f>HYPERLINK("http://www.cnpol.ru/covers/19192.jpg","фото на сайте")</f>
        <v>фото на сайте</v>
      </c>
    </row>
    <row r="3728" spans="1:19" ht="50.1" customHeight="1">
      <c r="A3728" s="31"/>
      <c r="B3728" s="32" t="s">
        <v>13902</v>
      </c>
      <c r="C3728" s="31" t="s">
        <v>413</v>
      </c>
      <c r="D3728" s="31" t="s">
        <v>2137</v>
      </c>
      <c r="E3728" s="31" t="s">
        <v>13903</v>
      </c>
      <c r="F3728" s="31">
        <v>137</v>
      </c>
      <c r="G3728" s="31">
        <v>117</v>
      </c>
      <c r="H3728" s="31">
        <v>10</v>
      </c>
      <c r="I3728" s="31">
        <v>30</v>
      </c>
      <c r="J3728" s="31" t="s">
        <v>13904</v>
      </c>
      <c r="K3728" s="31" t="s">
        <v>123</v>
      </c>
      <c r="L3728" s="31" t="s">
        <v>56</v>
      </c>
      <c r="M3728" s="31">
        <v>192</v>
      </c>
      <c r="N3728" s="31">
        <v>2017</v>
      </c>
      <c r="O3728" s="31">
        <v>90</v>
      </c>
      <c r="P3728" s="31"/>
      <c r="Q3728" s="31"/>
      <c r="R3728" s="33"/>
      <c r="S3728" s="34" t="str">
        <f>HYPERLINK("http://www.cnpol.ru/covers/17302.jpg","фото на сайте")</f>
        <v>фото на сайте</v>
      </c>
    </row>
    <row r="3729" spans="1:19" ht="50.1" customHeight="1">
      <c r="A3729" s="31"/>
      <c r="B3729" s="32" t="s">
        <v>13905</v>
      </c>
      <c r="C3729" s="31" t="s">
        <v>390</v>
      </c>
      <c r="D3729" s="31" t="s">
        <v>391</v>
      </c>
      <c r="E3729" s="31" t="s">
        <v>13906</v>
      </c>
      <c r="F3729" s="31">
        <v>976</v>
      </c>
      <c r="G3729" s="31">
        <v>86</v>
      </c>
      <c r="H3729" s="31">
        <v>10</v>
      </c>
      <c r="I3729" s="31">
        <v>30</v>
      </c>
      <c r="J3729" s="31" t="s">
        <v>13907</v>
      </c>
      <c r="K3729" s="31" t="s">
        <v>123</v>
      </c>
      <c r="L3729" s="31" t="s">
        <v>56</v>
      </c>
      <c r="M3729" s="31">
        <v>160</v>
      </c>
      <c r="N3729" s="31">
        <v>2020</v>
      </c>
      <c r="O3729" s="31">
        <v>76</v>
      </c>
      <c r="P3729" s="31"/>
      <c r="Q3729" s="31"/>
      <c r="R3729" s="33"/>
      <c r="S3729" s="34" t="str">
        <f>HYPERLINK("http://www.cnpol.ru/covers/19152.jpg","фото на сайте")</f>
        <v>фото на сайте</v>
      </c>
    </row>
    <row r="3730" spans="1:19" ht="50.1" customHeight="1">
      <c r="A3730" s="31"/>
      <c r="B3730" s="32" t="s">
        <v>13908</v>
      </c>
      <c r="C3730" s="31" t="s">
        <v>546</v>
      </c>
      <c r="D3730" s="31" t="s">
        <v>1850</v>
      </c>
      <c r="E3730" s="31" t="s">
        <v>13909</v>
      </c>
      <c r="F3730" s="31">
        <v>419</v>
      </c>
      <c r="G3730" s="31">
        <v>93</v>
      </c>
      <c r="H3730" s="31">
        <v>10</v>
      </c>
      <c r="I3730" s="31">
        <v>30</v>
      </c>
      <c r="J3730" s="31" t="s">
        <v>13910</v>
      </c>
      <c r="K3730" s="31" t="s">
        <v>123</v>
      </c>
      <c r="L3730" s="31" t="s">
        <v>56</v>
      </c>
      <c r="M3730" s="31">
        <v>159</v>
      </c>
      <c r="N3730" s="31">
        <v>2023</v>
      </c>
      <c r="O3730" s="31">
        <v>76</v>
      </c>
      <c r="P3730" s="31"/>
      <c r="Q3730" s="31"/>
      <c r="R3730" s="33" t="s">
        <v>13911</v>
      </c>
      <c r="S3730" s="34" t="str">
        <f>HYPERLINK("http://www.cnpol.ru/covers/20501.jpg","фото на сайте")</f>
        <v>фото на сайте</v>
      </c>
    </row>
    <row r="3731" spans="1:19" ht="50.1" customHeight="1">
      <c r="A3731" s="31"/>
      <c r="B3731" s="32" t="s">
        <v>13912</v>
      </c>
      <c r="C3731" s="31" t="s">
        <v>390</v>
      </c>
      <c r="D3731" s="31" t="s">
        <v>2137</v>
      </c>
      <c r="E3731" s="31" t="s">
        <v>13913</v>
      </c>
      <c r="F3731" s="31">
        <v>958</v>
      </c>
      <c r="G3731" s="31">
        <v>86</v>
      </c>
      <c r="H3731" s="31">
        <v>10</v>
      </c>
      <c r="I3731" s="31">
        <v>30</v>
      </c>
      <c r="J3731" s="31" t="s">
        <v>13914</v>
      </c>
      <c r="K3731" s="31" t="s">
        <v>123</v>
      </c>
      <c r="L3731" s="31" t="s">
        <v>56</v>
      </c>
      <c r="M3731" s="31">
        <v>160</v>
      </c>
      <c r="N3731" s="31">
        <v>2020</v>
      </c>
      <c r="O3731" s="31">
        <v>76</v>
      </c>
      <c r="P3731" s="31"/>
      <c r="Q3731" s="31"/>
      <c r="R3731" s="33"/>
      <c r="S3731" s="34" t="str">
        <f>HYPERLINK("http://www.cnpol.ru/covers/19035.jpg","фото на сайте")</f>
        <v>фото на сайте</v>
      </c>
    </row>
    <row r="3732" spans="1:19" ht="50.1" customHeight="1">
      <c r="A3732" s="31"/>
      <c r="B3732" s="32" t="s">
        <v>13915</v>
      </c>
      <c r="C3732" s="31" t="s">
        <v>528</v>
      </c>
      <c r="D3732" s="31" t="s">
        <v>529</v>
      </c>
      <c r="E3732" s="31" t="s">
        <v>13916</v>
      </c>
      <c r="F3732" s="31" t="s">
        <v>31</v>
      </c>
      <c r="G3732" s="31">
        <v>137</v>
      </c>
      <c r="H3732" s="31">
        <v>10</v>
      </c>
      <c r="I3732" s="31">
        <v>56</v>
      </c>
      <c r="J3732" s="31" t="s">
        <v>13917</v>
      </c>
      <c r="K3732" s="31" t="s">
        <v>55</v>
      </c>
      <c r="L3732" s="31" t="s">
        <v>56</v>
      </c>
      <c r="M3732" s="31">
        <v>158</v>
      </c>
      <c r="N3732" s="31">
        <v>2013</v>
      </c>
      <c r="O3732" s="31">
        <v>72</v>
      </c>
      <c r="P3732" s="31"/>
      <c r="Q3732" s="31"/>
      <c r="R3732" s="33"/>
      <c r="S3732" s="34" t="str">
        <f>HYPERLINK("http://www.cnpol.ru/covers/14478.jpg","фото на сайте")</f>
        <v>фото на сайте</v>
      </c>
    </row>
    <row r="3733" spans="1:19" ht="50.1" customHeight="1">
      <c r="A3733" s="31"/>
      <c r="B3733" s="32" t="s">
        <v>13918</v>
      </c>
      <c r="C3733" s="31" t="s">
        <v>37</v>
      </c>
      <c r="D3733" s="31" t="s">
        <v>13919</v>
      </c>
      <c r="E3733" s="31" t="s">
        <v>13920</v>
      </c>
      <c r="F3733" s="31" t="s">
        <v>31</v>
      </c>
      <c r="G3733" s="31">
        <v>539</v>
      </c>
      <c r="H3733" s="31">
        <v>10</v>
      </c>
      <c r="I3733" s="31">
        <v>14</v>
      </c>
      <c r="J3733" s="31" t="s">
        <v>13921</v>
      </c>
      <c r="K3733" s="31" t="s">
        <v>33</v>
      </c>
      <c r="L3733" s="31" t="s">
        <v>34</v>
      </c>
      <c r="M3733" s="31">
        <v>383</v>
      </c>
      <c r="N3733" s="31">
        <v>2023</v>
      </c>
      <c r="O3733" s="31">
        <v>462</v>
      </c>
      <c r="P3733" s="31"/>
      <c r="Q3733" s="31"/>
      <c r="R3733" s="33" t="s">
        <v>13922</v>
      </c>
      <c r="S3733" s="34" t="str">
        <f>HYPERLINK("http://www.cnpol.ru/covers/20772.jpg","фото на сайте")</f>
        <v>фото на сайте</v>
      </c>
    </row>
    <row r="3734" spans="1:19" ht="50.1" customHeight="1">
      <c r="A3734" s="31" t="s">
        <v>43</v>
      </c>
      <c r="B3734" s="32" t="s">
        <v>13923</v>
      </c>
      <c r="C3734" s="31" t="s">
        <v>143</v>
      </c>
      <c r="D3734" s="31" t="s">
        <v>10750</v>
      </c>
      <c r="E3734" s="31" t="s">
        <v>13924</v>
      </c>
      <c r="F3734" s="31" t="s">
        <v>31</v>
      </c>
      <c r="G3734" s="31">
        <v>917</v>
      </c>
      <c r="H3734" s="31">
        <v>10</v>
      </c>
      <c r="I3734" s="31">
        <v>12</v>
      </c>
      <c r="J3734" s="31" t="s">
        <v>13925</v>
      </c>
      <c r="K3734" s="31" t="s">
        <v>33</v>
      </c>
      <c r="L3734" s="31" t="s">
        <v>34</v>
      </c>
      <c r="M3734" s="31">
        <v>319</v>
      </c>
      <c r="N3734" s="31">
        <v>2024</v>
      </c>
      <c r="O3734" s="31">
        <v>370</v>
      </c>
      <c r="P3734" s="31"/>
      <c r="Q3734" s="31"/>
      <c r="R3734" s="33" t="s">
        <v>13926</v>
      </c>
      <c r="S3734" s="34" t="str">
        <f>HYPERLINK("http://www.cnpol.ru/covers/21138.jpg","фото на сайте")</f>
        <v>фото на сайте</v>
      </c>
    </row>
    <row r="3735" spans="1:19" ht="50.1" customHeight="1">
      <c r="A3735" s="31" t="s">
        <v>35</v>
      </c>
      <c r="B3735" s="32" t="s">
        <v>13927</v>
      </c>
      <c r="C3735" s="31" t="s">
        <v>1016</v>
      </c>
      <c r="D3735" s="31" t="s">
        <v>2375</v>
      </c>
      <c r="E3735" s="31" t="s">
        <v>13928</v>
      </c>
      <c r="F3735" s="31" t="s">
        <v>31</v>
      </c>
      <c r="G3735" s="31">
        <v>961</v>
      </c>
      <c r="H3735" s="31">
        <v>10</v>
      </c>
      <c r="I3735" s="31">
        <v>8</v>
      </c>
      <c r="J3735" s="31" t="s">
        <v>13929</v>
      </c>
      <c r="K3735" s="31" t="s">
        <v>33</v>
      </c>
      <c r="L3735" s="31" t="s">
        <v>34</v>
      </c>
      <c r="M3735" s="31">
        <v>351</v>
      </c>
      <c r="N3735" s="31">
        <v>2026</v>
      </c>
      <c r="O3735" s="31" t="s">
        <v>220</v>
      </c>
      <c r="P3735" s="31"/>
      <c r="Q3735" s="31"/>
      <c r="R3735" s="33" t="s">
        <v>13930</v>
      </c>
      <c r="S3735" s="34" t="str">
        <f>HYPERLINK("http://www.cnpol.ru/covers/21908.jpg","фото на сайте")</f>
        <v>фото на сайте</v>
      </c>
    </row>
    <row r="3736" spans="1:19" ht="50.1" customHeight="1">
      <c r="A3736" s="31"/>
      <c r="B3736" s="32" t="s">
        <v>13931</v>
      </c>
      <c r="C3736" s="31" t="s">
        <v>143</v>
      </c>
      <c r="D3736" s="31" t="s">
        <v>13932</v>
      </c>
      <c r="E3736" s="31" t="s">
        <v>13933</v>
      </c>
      <c r="F3736" s="31" t="s">
        <v>31</v>
      </c>
      <c r="G3736" s="31">
        <v>843</v>
      </c>
      <c r="H3736" s="31">
        <v>10</v>
      </c>
      <c r="I3736" s="31">
        <v>12</v>
      </c>
      <c r="J3736" s="31" t="s">
        <v>13934</v>
      </c>
      <c r="K3736" s="31" t="s">
        <v>33</v>
      </c>
      <c r="L3736" s="31" t="s">
        <v>34</v>
      </c>
      <c r="M3736" s="31">
        <v>540</v>
      </c>
      <c r="N3736" s="31">
        <v>2014</v>
      </c>
      <c r="O3736" s="31">
        <v>528</v>
      </c>
      <c r="P3736" s="31"/>
      <c r="Q3736" s="31"/>
      <c r="R3736" s="33"/>
      <c r="S3736" s="34" t="str">
        <f>HYPERLINK("http://www.cnpol.ru/covers/14972.jpg","фото на сайте")</f>
        <v>фото на сайте</v>
      </c>
    </row>
    <row r="3737" spans="1:19" ht="50.1" customHeight="1">
      <c r="A3737" s="31"/>
      <c r="B3737" s="32" t="s">
        <v>13935</v>
      </c>
      <c r="C3737" s="31" t="s">
        <v>143</v>
      </c>
      <c r="D3737" s="31" t="s">
        <v>12893</v>
      </c>
      <c r="E3737" s="31" t="s">
        <v>13936</v>
      </c>
      <c r="F3737" s="31" t="s">
        <v>31</v>
      </c>
      <c r="G3737" s="35">
        <v>1271</v>
      </c>
      <c r="H3737" s="31">
        <v>10</v>
      </c>
      <c r="I3737" s="31">
        <v>8</v>
      </c>
      <c r="J3737" s="31" t="s">
        <v>13937</v>
      </c>
      <c r="K3737" s="31" t="s">
        <v>33</v>
      </c>
      <c r="L3737" s="31" t="s">
        <v>34</v>
      </c>
      <c r="M3737" s="31">
        <v>524</v>
      </c>
      <c r="N3737" s="31">
        <v>2022</v>
      </c>
      <c r="O3737" s="31">
        <v>396</v>
      </c>
      <c r="P3737" s="31"/>
      <c r="Q3737" s="31"/>
      <c r="R3737" s="33"/>
      <c r="S3737" s="34" t="str">
        <f>HYPERLINK("http://www.cnpol.ru/covers/20095.jpg","фото на сайте")</f>
        <v>фото на сайте</v>
      </c>
    </row>
    <row r="3738" spans="1:19" ht="50.1" customHeight="1">
      <c r="A3738" s="31" t="s">
        <v>43</v>
      </c>
      <c r="B3738" s="32" t="s">
        <v>13938</v>
      </c>
      <c r="C3738" s="31" t="s">
        <v>143</v>
      </c>
      <c r="D3738" s="31" t="s">
        <v>13939</v>
      </c>
      <c r="E3738" s="31" t="s">
        <v>13940</v>
      </c>
      <c r="F3738" s="31" t="s">
        <v>31</v>
      </c>
      <c r="G3738" s="31">
        <v>539</v>
      </c>
      <c r="H3738" s="31">
        <v>10</v>
      </c>
      <c r="I3738" s="31">
        <v>12</v>
      </c>
      <c r="J3738" s="31" t="s">
        <v>13941</v>
      </c>
      <c r="K3738" s="31" t="s">
        <v>33</v>
      </c>
      <c r="L3738" s="31" t="s">
        <v>34</v>
      </c>
      <c r="M3738" s="31">
        <v>351</v>
      </c>
      <c r="N3738" s="31">
        <v>2024</v>
      </c>
      <c r="O3738" s="31">
        <v>295</v>
      </c>
      <c r="P3738" s="31"/>
      <c r="Q3738" s="31"/>
      <c r="R3738" s="33" t="s">
        <v>13942</v>
      </c>
      <c r="S3738" s="34" t="str">
        <f>HYPERLINK("http://www.cnpol.ru/covers/21056.jpg","фото на сайте")</f>
        <v>фото на сайте</v>
      </c>
    </row>
    <row r="3739" spans="1:19" ht="50.1" customHeight="1">
      <c r="A3739" s="31" t="s">
        <v>43</v>
      </c>
      <c r="B3739" s="32" t="s">
        <v>13943</v>
      </c>
      <c r="C3739" s="31" t="s">
        <v>37</v>
      </c>
      <c r="D3739" s="31" t="s">
        <v>2712</v>
      </c>
      <c r="E3739" s="31" t="s">
        <v>13944</v>
      </c>
      <c r="F3739" s="31" t="s">
        <v>31</v>
      </c>
      <c r="G3739" s="31">
        <v>640</v>
      </c>
      <c r="H3739" s="31">
        <v>10</v>
      </c>
      <c r="I3739" s="31">
        <v>8</v>
      </c>
      <c r="J3739" s="31" t="s">
        <v>13945</v>
      </c>
      <c r="K3739" s="31" t="s">
        <v>33</v>
      </c>
      <c r="L3739" s="31" t="s">
        <v>34</v>
      </c>
      <c r="M3739" s="31">
        <v>543</v>
      </c>
      <c r="N3739" s="31">
        <v>2024</v>
      </c>
      <c r="O3739" s="31">
        <v>415</v>
      </c>
      <c r="P3739" s="31"/>
      <c r="Q3739" s="31"/>
      <c r="R3739" s="33" t="s">
        <v>13946</v>
      </c>
      <c r="S3739" s="34" t="str">
        <f>HYPERLINK("http://www.cnpol.ru/covers/21154.jpg","фото на сайте")</f>
        <v>фото на сайте</v>
      </c>
    </row>
    <row r="3740" spans="1:19" ht="50.1" customHeight="1">
      <c r="A3740" s="31"/>
      <c r="B3740" s="32" t="s">
        <v>13947</v>
      </c>
      <c r="C3740" s="31" t="s">
        <v>143</v>
      </c>
      <c r="D3740" s="31" t="s">
        <v>13948</v>
      </c>
      <c r="E3740" s="31" t="s">
        <v>13949</v>
      </c>
      <c r="F3740" s="31" t="s">
        <v>31</v>
      </c>
      <c r="G3740" s="35">
        <v>1455</v>
      </c>
      <c r="H3740" s="31">
        <v>10</v>
      </c>
      <c r="I3740" s="31">
        <v>6</v>
      </c>
      <c r="J3740" s="31" t="s">
        <v>13950</v>
      </c>
      <c r="K3740" s="31" t="s">
        <v>41</v>
      </c>
      <c r="L3740" s="31" t="s">
        <v>34</v>
      </c>
      <c r="M3740" s="31">
        <v>623</v>
      </c>
      <c r="N3740" s="31">
        <v>2023</v>
      </c>
      <c r="O3740" s="31">
        <v>702</v>
      </c>
      <c r="P3740" s="31"/>
      <c r="Q3740" s="31"/>
      <c r="R3740" s="33" t="s">
        <v>13951</v>
      </c>
      <c r="S3740" s="34" t="str">
        <f>HYPERLINK("http://www.cnpol.ru/covers/20873.jpg","фото на сайте")</f>
        <v>фото на сайте</v>
      </c>
    </row>
    <row r="3741" spans="1:19" ht="50.1" customHeight="1">
      <c r="A3741" s="31" t="s">
        <v>35</v>
      </c>
      <c r="B3741" s="32" t="s">
        <v>13952</v>
      </c>
      <c r="C3741" s="31" t="s">
        <v>143</v>
      </c>
      <c r="D3741" s="31" t="s">
        <v>13948</v>
      </c>
      <c r="E3741" s="31" t="s">
        <v>13949</v>
      </c>
      <c r="F3741" s="31" t="s">
        <v>31</v>
      </c>
      <c r="G3741" s="35">
        <v>1455</v>
      </c>
      <c r="H3741" s="31">
        <v>10</v>
      </c>
      <c r="I3741" s="31">
        <v>4</v>
      </c>
      <c r="J3741" s="31" t="s">
        <v>13953</v>
      </c>
      <c r="K3741" s="31" t="s">
        <v>41</v>
      </c>
      <c r="L3741" s="31" t="s">
        <v>34</v>
      </c>
      <c r="M3741" s="31">
        <v>623</v>
      </c>
      <c r="N3741" s="31">
        <v>2025</v>
      </c>
      <c r="O3741" s="31">
        <v>702</v>
      </c>
      <c r="P3741" s="31"/>
      <c r="Q3741" s="31"/>
      <c r="R3741" s="33" t="s">
        <v>13951</v>
      </c>
      <c r="S3741" s="34" t="str">
        <f>HYPERLINK("http://www.cnpol.ru/covers/21450.jpg","фото на сайте")</f>
        <v>фото на сайте</v>
      </c>
    </row>
    <row r="3742" spans="1:19" ht="50.1" customHeight="1">
      <c r="A3742" s="31"/>
      <c r="B3742" s="32" t="s">
        <v>13954</v>
      </c>
      <c r="C3742" s="31" t="s">
        <v>37</v>
      </c>
      <c r="D3742" s="31" t="s">
        <v>13955</v>
      </c>
      <c r="E3742" s="31" t="s">
        <v>13956</v>
      </c>
      <c r="F3742" s="31" t="s">
        <v>31</v>
      </c>
      <c r="G3742" s="31">
        <v>611</v>
      </c>
      <c r="H3742" s="31">
        <v>10</v>
      </c>
      <c r="I3742" s="31">
        <v>8</v>
      </c>
      <c r="J3742" s="31" t="s">
        <v>13957</v>
      </c>
      <c r="K3742" s="31" t="s">
        <v>33</v>
      </c>
      <c r="L3742" s="31" t="s">
        <v>34</v>
      </c>
      <c r="M3742" s="31">
        <v>575</v>
      </c>
      <c r="N3742" s="31">
        <v>2015</v>
      </c>
      <c r="O3742" s="31">
        <v>428</v>
      </c>
      <c r="P3742" s="31"/>
      <c r="Q3742" s="31"/>
      <c r="R3742" s="33"/>
      <c r="S3742" s="34" t="str">
        <f>HYPERLINK("http://www.cnpol.ru/covers/16259.jpg","фото на сайте")</f>
        <v>фото на сайте</v>
      </c>
    </row>
    <row r="3743" spans="1:19" ht="50.1" customHeight="1">
      <c r="A3743" s="31"/>
      <c r="B3743" s="32" t="s">
        <v>13958</v>
      </c>
      <c r="C3743" s="31" t="s">
        <v>479</v>
      </c>
      <c r="D3743" s="31" t="s">
        <v>9533</v>
      </c>
      <c r="E3743" s="31" t="s">
        <v>13959</v>
      </c>
      <c r="F3743" s="31" t="s">
        <v>31</v>
      </c>
      <c r="G3743" s="31">
        <v>559</v>
      </c>
      <c r="H3743" s="31">
        <v>10</v>
      </c>
      <c r="I3743" s="31">
        <v>12</v>
      </c>
      <c r="J3743" s="31" t="s">
        <v>13960</v>
      </c>
      <c r="K3743" s="31" t="s">
        <v>158</v>
      </c>
      <c r="L3743" s="31" t="s">
        <v>34</v>
      </c>
      <c r="M3743" s="31">
        <v>256</v>
      </c>
      <c r="N3743" s="31">
        <v>2018</v>
      </c>
      <c r="O3743" s="31">
        <v>296</v>
      </c>
      <c r="P3743" s="31"/>
      <c r="Q3743" s="31"/>
      <c r="R3743" s="33"/>
      <c r="S3743" s="34" t="str">
        <f>HYPERLINK("http://www.cnpol.ru/covers/18025.jpg","фото на сайте")</f>
        <v>фото на сайте</v>
      </c>
    </row>
    <row r="3744" spans="1:19" ht="50.1" customHeight="1">
      <c r="A3744" s="31"/>
      <c r="B3744" s="32" t="s">
        <v>13961</v>
      </c>
      <c r="C3744" s="31" t="s">
        <v>37</v>
      </c>
      <c r="D3744" s="31" t="s">
        <v>3103</v>
      </c>
      <c r="E3744" s="31" t="s">
        <v>13962</v>
      </c>
      <c r="F3744" s="31" t="s">
        <v>31</v>
      </c>
      <c r="G3744" s="31">
        <v>693</v>
      </c>
      <c r="H3744" s="31">
        <v>10</v>
      </c>
      <c r="I3744" s="31">
        <v>20</v>
      </c>
      <c r="J3744" s="31" t="s">
        <v>13963</v>
      </c>
      <c r="K3744" s="31" t="s">
        <v>41</v>
      </c>
      <c r="L3744" s="31" t="s">
        <v>34</v>
      </c>
      <c r="M3744" s="31">
        <v>224</v>
      </c>
      <c r="N3744" s="31">
        <v>2016</v>
      </c>
      <c r="O3744" s="31">
        <v>322</v>
      </c>
      <c r="P3744" s="31"/>
      <c r="Q3744" s="31"/>
      <c r="R3744" s="33"/>
      <c r="S3744" s="34" t="str">
        <f>HYPERLINK("http://www.cnpol.ru/covers/16570.jpg","фото на сайте")</f>
        <v>фото на сайте</v>
      </c>
    </row>
    <row r="3745" spans="1:19" ht="50.1" customHeight="1">
      <c r="A3745" s="31" t="s">
        <v>43</v>
      </c>
      <c r="B3745" s="32" t="s">
        <v>13964</v>
      </c>
      <c r="C3745" s="31" t="s">
        <v>143</v>
      </c>
      <c r="D3745" s="31" t="s">
        <v>3280</v>
      </c>
      <c r="E3745" s="31" t="s">
        <v>13965</v>
      </c>
      <c r="F3745" s="31" t="s">
        <v>31</v>
      </c>
      <c r="G3745" s="35">
        <v>1168</v>
      </c>
      <c r="H3745" s="31">
        <v>10</v>
      </c>
      <c r="I3745" s="31">
        <v>5</v>
      </c>
      <c r="J3745" s="31" t="s">
        <v>13966</v>
      </c>
      <c r="K3745" s="31" t="s">
        <v>33</v>
      </c>
      <c r="L3745" s="31" t="s">
        <v>34</v>
      </c>
      <c r="M3745" s="31">
        <v>479</v>
      </c>
      <c r="N3745" s="31">
        <v>2025</v>
      </c>
      <c r="O3745" s="31">
        <v>433</v>
      </c>
      <c r="P3745" s="31"/>
      <c r="Q3745" s="31"/>
      <c r="R3745" s="33" t="s">
        <v>13967</v>
      </c>
      <c r="S3745" s="34" t="str">
        <f>HYPERLINK("http://www.cnpol.ru/covers/21571.jpg","фото на сайте")</f>
        <v>фото на сайте</v>
      </c>
    </row>
    <row r="3746" spans="1:19" ht="50.1" customHeight="1">
      <c r="A3746" s="31" t="s">
        <v>35</v>
      </c>
      <c r="B3746" s="32" t="s">
        <v>13968</v>
      </c>
      <c r="C3746" s="31" t="s">
        <v>37</v>
      </c>
      <c r="D3746" s="31" t="s">
        <v>13969</v>
      </c>
      <c r="E3746" s="31" t="s">
        <v>13970</v>
      </c>
      <c r="F3746" s="31" t="s">
        <v>31</v>
      </c>
      <c r="G3746" s="31">
        <v>936</v>
      </c>
      <c r="H3746" s="31">
        <v>10</v>
      </c>
      <c r="I3746" s="31">
        <v>10</v>
      </c>
      <c r="J3746" s="31" t="s">
        <v>13971</v>
      </c>
      <c r="K3746" s="31" t="s">
        <v>33</v>
      </c>
      <c r="L3746" s="31" t="s">
        <v>34</v>
      </c>
      <c r="M3746" s="31">
        <v>303</v>
      </c>
      <c r="N3746" s="31">
        <v>2025</v>
      </c>
      <c r="O3746" s="31" t="s">
        <v>220</v>
      </c>
      <c r="P3746" s="31"/>
      <c r="Q3746" s="31"/>
      <c r="R3746" s="33" t="s">
        <v>13972</v>
      </c>
      <c r="S3746" s="34" t="str">
        <f>HYPERLINK("http://www.cnpol.ru/covers/21533.jpg","фото на сайте")</f>
        <v>фото на сайте</v>
      </c>
    </row>
    <row r="3747" spans="1:19" ht="50.1" customHeight="1">
      <c r="A3747" s="31"/>
      <c r="B3747" s="32" t="s">
        <v>13973</v>
      </c>
      <c r="C3747" s="31" t="s">
        <v>355</v>
      </c>
      <c r="D3747" s="31" t="s">
        <v>356</v>
      </c>
      <c r="E3747" s="31" t="s">
        <v>13974</v>
      </c>
      <c r="F3747" s="31" t="s">
        <v>31</v>
      </c>
      <c r="G3747" s="31">
        <v>503</v>
      </c>
      <c r="H3747" s="31">
        <v>10</v>
      </c>
      <c r="I3747" s="31">
        <v>12</v>
      </c>
      <c r="J3747" s="31" t="s">
        <v>13975</v>
      </c>
      <c r="K3747" s="31" t="s">
        <v>359</v>
      </c>
      <c r="L3747" s="31" t="s">
        <v>34</v>
      </c>
      <c r="M3747" s="31">
        <v>334</v>
      </c>
      <c r="N3747" s="31">
        <v>2008</v>
      </c>
      <c r="O3747" s="31">
        <v>294</v>
      </c>
      <c r="P3747" s="31"/>
      <c r="Q3747" s="31"/>
      <c r="R3747" s="33"/>
      <c r="S3747" s="34" t="str">
        <f>HYPERLINK("http://www.cnpol.ru/covers/10097.jpg","фото на сайте")</f>
        <v>фото на сайте</v>
      </c>
    </row>
    <row r="3748" spans="1:19" ht="50.1" customHeight="1">
      <c r="A3748" s="31" t="s">
        <v>35</v>
      </c>
      <c r="B3748" s="32" t="s">
        <v>13976</v>
      </c>
      <c r="C3748" s="31" t="s">
        <v>37</v>
      </c>
      <c r="D3748" s="31" t="s">
        <v>13977</v>
      </c>
      <c r="E3748" s="31" t="s">
        <v>13978</v>
      </c>
      <c r="F3748" s="31" t="s">
        <v>31</v>
      </c>
      <c r="G3748" s="35">
        <v>1954</v>
      </c>
      <c r="H3748" s="31">
        <v>10</v>
      </c>
      <c r="I3748" s="31">
        <v>3</v>
      </c>
      <c r="J3748" s="31" t="s">
        <v>13979</v>
      </c>
      <c r="K3748" s="31" t="s">
        <v>41</v>
      </c>
      <c r="L3748" s="31" t="s">
        <v>34</v>
      </c>
      <c r="M3748" s="31">
        <v>831</v>
      </c>
      <c r="N3748" s="31">
        <v>2025</v>
      </c>
      <c r="O3748" s="31">
        <v>1056</v>
      </c>
      <c r="P3748" s="31"/>
      <c r="Q3748" s="31"/>
      <c r="R3748" s="33" t="s">
        <v>13980</v>
      </c>
      <c r="S3748" s="34" t="str">
        <f>HYPERLINK("http://www.cnpol.ru/covers/21734.jpg","фото на сайте")</f>
        <v>фото на сайте</v>
      </c>
    </row>
    <row r="3749" spans="1:19" ht="50.1" customHeight="1">
      <c r="A3749" s="31"/>
      <c r="B3749" s="32" t="s">
        <v>13981</v>
      </c>
      <c r="C3749" s="31" t="s">
        <v>385</v>
      </c>
      <c r="D3749" s="31" t="s">
        <v>386</v>
      </c>
      <c r="E3749" s="31" t="s">
        <v>13982</v>
      </c>
      <c r="F3749" s="31" t="s">
        <v>31</v>
      </c>
      <c r="G3749" s="31">
        <v>162</v>
      </c>
      <c r="H3749" s="31">
        <v>10</v>
      </c>
      <c r="I3749" s="31">
        <v>32</v>
      </c>
      <c r="J3749" s="31" t="s">
        <v>13983</v>
      </c>
      <c r="K3749" s="31" t="s">
        <v>55</v>
      </c>
      <c r="L3749" s="31" t="s">
        <v>56</v>
      </c>
      <c r="M3749" s="31">
        <v>250</v>
      </c>
      <c r="N3749" s="31">
        <v>2016</v>
      </c>
      <c r="O3749" s="31">
        <v>108</v>
      </c>
      <c r="P3749" s="31"/>
      <c r="Q3749" s="31"/>
      <c r="R3749" s="33"/>
      <c r="S3749" s="34" t="str">
        <f>HYPERLINK("http://www.cnpol.ru/covers/0105.jpg","фото на сайте")</f>
        <v>фото на сайте</v>
      </c>
    </row>
    <row r="3750" spans="1:19" ht="50.1" customHeight="1">
      <c r="A3750" s="31"/>
      <c r="B3750" s="32" t="s">
        <v>13984</v>
      </c>
      <c r="C3750" s="31" t="s">
        <v>6638</v>
      </c>
      <c r="D3750" s="31" t="s">
        <v>6639</v>
      </c>
      <c r="E3750" s="31" t="s">
        <v>13985</v>
      </c>
      <c r="F3750" s="31" t="s">
        <v>31</v>
      </c>
      <c r="G3750" s="31">
        <v>425</v>
      </c>
      <c r="H3750" s="31">
        <v>10</v>
      </c>
      <c r="I3750" s="31">
        <v>14</v>
      </c>
      <c r="J3750" s="31" t="s">
        <v>13986</v>
      </c>
      <c r="K3750" s="31" t="s">
        <v>33</v>
      </c>
      <c r="L3750" s="31" t="s">
        <v>34</v>
      </c>
      <c r="M3750" s="31">
        <v>320</v>
      </c>
      <c r="N3750" s="31">
        <v>2017</v>
      </c>
      <c r="O3750" s="31">
        <v>274</v>
      </c>
      <c r="P3750" s="31"/>
      <c r="Q3750" s="31"/>
      <c r="R3750" s="33"/>
      <c r="S3750" s="34" t="str">
        <f>HYPERLINK("http://www.cnpol.ru/covers/17593.jpg","фото на сайте")</f>
        <v>фото на сайте</v>
      </c>
    </row>
    <row r="3751" spans="1:19" ht="50.1" customHeight="1">
      <c r="A3751" s="31"/>
      <c r="B3751" s="32" t="s">
        <v>13987</v>
      </c>
      <c r="C3751" s="31" t="s">
        <v>464</v>
      </c>
      <c r="D3751" s="31" t="s">
        <v>13988</v>
      </c>
      <c r="E3751" s="31" t="s">
        <v>13989</v>
      </c>
      <c r="F3751" s="31" t="s">
        <v>31</v>
      </c>
      <c r="G3751" s="31">
        <v>137</v>
      </c>
      <c r="H3751" s="31">
        <v>10</v>
      </c>
      <c r="I3751" s="31">
        <v>50</v>
      </c>
      <c r="J3751" s="31" t="s">
        <v>13990</v>
      </c>
      <c r="K3751" s="31" t="s">
        <v>468</v>
      </c>
      <c r="L3751" s="31" t="s">
        <v>56</v>
      </c>
      <c r="M3751" s="31">
        <v>18</v>
      </c>
      <c r="N3751" s="31">
        <v>2005</v>
      </c>
      <c r="O3751" s="31">
        <v>80</v>
      </c>
      <c r="P3751" s="31"/>
      <c r="Q3751" s="31"/>
      <c r="R3751" s="33"/>
      <c r="S3751" s="34" t="str">
        <f>HYPERLINK("http://www.cnpol.ru/covers/5645.jpg","фото на сайте")</f>
        <v>фото на сайте</v>
      </c>
    </row>
    <row r="3752" spans="1:19" ht="50.1" customHeight="1">
      <c r="A3752" s="31"/>
      <c r="B3752" s="32" t="s">
        <v>13991</v>
      </c>
      <c r="C3752" s="31" t="s">
        <v>390</v>
      </c>
      <c r="D3752" s="31" t="s">
        <v>4536</v>
      </c>
      <c r="E3752" s="31" t="s">
        <v>13992</v>
      </c>
      <c r="F3752" s="31">
        <v>411</v>
      </c>
      <c r="G3752" s="31">
        <v>86</v>
      </c>
      <c r="H3752" s="31">
        <v>10</v>
      </c>
      <c r="I3752" s="31">
        <v>30</v>
      </c>
      <c r="J3752" s="31" t="s">
        <v>13993</v>
      </c>
      <c r="K3752" s="31" t="s">
        <v>123</v>
      </c>
      <c r="L3752" s="31" t="s">
        <v>56</v>
      </c>
      <c r="M3752" s="31">
        <v>158</v>
      </c>
      <c r="N3752" s="31">
        <v>2014</v>
      </c>
      <c r="O3752" s="31">
        <v>76</v>
      </c>
      <c r="P3752" s="31"/>
      <c r="Q3752" s="31"/>
      <c r="R3752" s="33"/>
      <c r="S3752" s="34" t="str">
        <f>HYPERLINK("http://www.cnpol.ru/covers/15186.jpg","фото на сайте")</f>
        <v>фото на сайте</v>
      </c>
    </row>
    <row r="3753" spans="1:19" ht="50.1" customHeight="1">
      <c r="A3753" s="31"/>
      <c r="B3753" s="32" t="s">
        <v>13994</v>
      </c>
      <c r="C3753" s="31" t="s">
        <v>138</v>
      </c>
      <c r="D3753" s="31" t="s">
        <v>13995</v>
      </c>
      <c r="E3753" s="31" t="s">
        <v>13996</v>
      </c>
      <c r="F3753" s="31" t="s">
        <v>31</v>
      </c>
      <c r="G3753" s="31">
        <v>451</v>
      </c>
      <c r="H3753" s="31">
        <v>10</v>
      </c>
      <c r="I3753" s="31">
        <v>20</v>
      </c>
      <c r="J3753" s="31" t="s">
        <v>13997</v>
      </c>
      <c r="K3753" s="31" t="s">
        <v>194</v>
      </c>
      <c r="L3753" s="31" t="s">
        <v>34</v>
      </c>
      <c r="M3753" s="31">
        <v>160</v>
      </c>
      <c r="N3753" s="31">
        <v>2020</v>
      </c>
      <c r="O3753" s="31">
        <v>184</v>
      </c>
      <c r="P3753" s="31"/>
      <c r="Q3753" s="31"/>
      <c r="R3753" s="33"/>
      <c r="S3753" s="34" t="str">
        <f>HYPERLINK("http://www.cnpol.ru/covers/19286.jpg","фото на сайте")</f>
        <v>фото на сайте</v>
      </c>
    </row>
    <row r="3754" spans="1:19" ht="50.1" customHeight="1">
      <c r="A3754" s="31" t="s">
        <v>43</v>
      </c>
      <c r="B3754" s="32" t="s">
        <v>13998</v>
      </c>
      <c r="C3754" s="31" t="s">
        <v>13999</v>
      </c>
      <c r="D3754" s="31" t="s">
        <v>5169</v>
      </c>
      <c r="E3754" s="31" t="s">
        <v>14000</v>
      </c>
      <c r="F3754" s="31" t="s">
        <v>31</v>
      </c>
      <c r="G3754" s="35">
        <v>1776</v>
      </c>
      <c r="H3754" s="31">
        <v>10</v>
      </c>
      <c r="I3754" s="31">
        <v>5</v>
      </c>
      <c r="J3754" s="31" t="s">
        <v>14001</v>
      </c>
      <c r="K3754" s="31" t="s">
        <v>2495</v>
      </c>
      <c r="L3754" s="31" t="s">
        <v>34</v>
      </c>
      <c r="M3754" s="31">
        <v>255</v>
      </c>
      <c r="N3754" s="31">
        <v>2025</v>
      </c>
      <c r="O3754" s="31">
        <v>288</v>
      </c>
      <c r="P3754" s="31"/>
      <c r="Q3754" s="31"/>
      <c r="R3754" s="33" t="s">
        <v>14002</v>
      </c>
      <c r="S3754" s="34" t="str">
        <f>HYPERLINK("http://www.cnpol.ru/covers/21628.jpg","фото на сайте")</f>
        <v>фото на сайте</v>
      </c>
    </row>
    <row r="3755" spans="1:19" ht="50.1" customHeight="1">
      <c r="A3755" s="31" t="s">
        <v>35</v>
      </c>
      <c r="B3755" s="32" t="s">
        <v>14003</v>
      </c>
      <c r="C3755" s="31" t="s">
        <v>13999</v>
      </c>
      <c r="D3755" s="31" t="s">
        <v>5169</v>
      </c>
      <c r="E3755" s="31" t="s">
        <v>14004</v>
      </c>
      <c r="F3755" s="31" t="s">
        <v>31</v>
      </c>
      <c r="G3755" s="31">
        <v>611</v>
      </c>
      <c r="H3755" s="31">
        <v>10</v>
      </c>
      <c r="I3755" s="31">
        <v>20</v>
      </c>
      <c r="J3755" s="31" t="s">
        <v>14005</v>
      </c>
      <c r="K3755" s="31" t="s">
        <v>33</v>
      </c>
      <c r="L3755" s="31" t="s">
        <v>34</v>
      </c>
      <c r="M3755" s="31">
        <v>255</v>
      </c>
      <c r="N3755" s="31">
        <v>2025</v>
      </c>
      <c r="O3755" s="31" t="s">
        <v>220</v>
      </c>
      <c r="P3755" s="31"/>
      <c r="Q3755" s="31"/>
      <c r="R3755" s="33" t="s">
        <v>14006</v>
      </c>
      <c r="S3755" s="34" t="str">
        <f>HYPERLINK("http://www.cnpol.ru/covers/21827.jpg","фото на сайте")</f>
        <v>фото на сайте</v>
      </c>
    </row>
    <row r="3756" spans="1:19" ht="50.1" customHeight="1">
      <c r="A3756" s="31" t="s">
        <v>35</v>
      </c>
      <c r="B3756" s="32" t="s">
        <v>14007</v>
      </c>
      <c r="C3756" s="31" t="s">
        <v>3048</v>
      </c>
      <c r="D3756" s="31" t="s">
        <v>5169</v>
      </c>
      <c r="E3756" s="31" t="s">
        <v>14008</v>
      </c>
      <c r="F3756" s="31" t="s">
        <v>31</v>
      </c>
      <c r="G3756" s="31">
        <v>733</v>
      </c>
      <c r="H3756" s="31">
        <v>10</v>
      </c>
      <c r="I3756" s="31">
        <v>10</v>
      </c>
      <c r="J3756" s="31" t="s">
        <v>14009</v>
      </c>
      <c r="K3756" s="31" t="s">
        <v>41</v>
      </c>
      <c r="L3756" s="31" t="s">
        <v>34</v>
      </c>
      <c r="M3756" s="31">
        <v>496</v>
      </c>
      <c r="N3756" s="31">
        <v>2024</v>
      </c>
      <c r="O3756" s="31">
        <v>554</v>
      </c>
      <c r="P3756" s="31"/>
      <c r="Q3756" s="31"/>
      <c r="R3756" s="33" t="s">
        <v>14010</v>
      </c>
      <c r="S3756" s="34" t="str">
        <f>HYPERLINK("http://www.cnpol.ru/covers/21377.jpg","фото на сайте")</f>
        <v>фото на сайте</v>
      </c>
    </row>
    <row r="3757" spans="1:19" ht="50.1" customHeight="1">
      <c r="A3757" s="31" t="s">
        <v>35</v>
      </c>
      <c r="B3757" s="32" t="s">
        <v>14011</v>
      </c>
      <c r="C3757" s="31" t="s">
        <v>5168</v>
      </c>
      <c r="D3757" s="31" t="s">
        <v>5169</v>
      </c>
      <c r="E3757" s="31" t="s">
        <v>14012</v>
      </c>
      <c r="F3757" s="31" t="s">
        <v>31</v>
      </c>
      <c r="G3757" s="31">
        <v>258</v>
      </c>
      <c r="H3757" s="31">
        <v>10</v>
      </c>
      <c r="I3757" s="31">
        <v>15</v>
      </c>
      <c r="J3757" s="31" t="s">
        <v>14013</v>
      </c>
      <c r="K3757" s="31" t="s">
        <v>130</v>
      </c>
      <c r="L3757" s="31" t="s">
        <v>56</v>
      </c>
      <c r="M3757" s="31">
        <v>160</v>
      </c>
      <c r="N3757" s="31">
        <v>2025</v>
      </c>
      <c r="O3757" s="31" t="s">
        <v>220</v>
      </c>
      <c r="P3757" s="31"/>
      <c r="Q3757" s="31"/>
      <c r="R3757" s="33" t="s">
        <v>14014</v>
      </c>
      <c r="S3757" s="34" t="str">
        <f>HYPERLINK("http://www.cnpol.ru/covers/21486.jpg","фото на сайте")</f>
        <v>фото на сайте</v>
      </c>
    </row>
    <row r="3758" spans="1:19" ht="50.1" customHeight="1">
      <c r="A3758" s="31" t="s">
        <v>35</v>
      </c>
      <c r="B3758" s="32" t="s">
        <v>14015</v>
      </c>
      <c r="C3758" s="31" t="s">
        <v>3048</v>
      </c>
      <c r="D3758" s="31" t="s">
        <v>5169</v>
      </c>
      <c r="E3758" s="31" t="s">
        <v>14016</v>
      </c>
      <c r="F3758" s="31" t="s">
        <v>31</v>
      </c>
      <c r="G3758" s="31">
        <v>888</v>
      </c>
      <c r="H3758" s="31">
        <v>10</v>
      </c>
      <c r="I3758" s="31">
        <v>6</v>
      </c>
      <c r="J3758" s="31" t="s">
        <v>14017</v>
      </c>
      <c r="K3758" s="31" t="s">
        <v>41</v>
      </c>
      <c r="L3758" s="31" t="s">
        <v>34</v>
      </c>
      <c r="M3758" s="31">
        <v>608</v>
      </c>
      <c r="N3758" s="31">
        <v>2025</v>
      </c>
      <c r="O3758" s="31" t="s">
        <v>220</v>
      </c>
      <c r="P3758" s="31"/>
      <c r="Q3758" s="31"/>
      <c r="R3758" s="33" t="s">
        <v>14018</v>
      </c>
      <c r="S3758" s="34" t="str">
        <f>HYPERLINK("http://www.cnpol.ru/covers/21866.jpg","фото на сайте")</f>
        <v>фото на сайте</v>
      </c>
    </row>
    <row r="3759" spans="1:19" ht="50.1" customHeight="1">
      <c r="A3759" s="31"/>
      <c r="B3759" s="32" t="s">
        <v>14019</v>
      </c>
      <c r="C3759" s="31" t="s">
        <v>315</v>
      </c>
      <c r="D3759" s="31" t="s">
        <v>316</v>
      </c>
      <c r="E3759" s="31" t="s">
        <v>14020</v>
      </c>
      <c r="F3759" s="31" t="s">
        <v>31</v>
      </c>
      <c r="G3759" s="31">
        <v>251</v>
      </c>
      <c r="H3759" s="31">
        <v>10</v>
      </c>
      <c r="I3759" s="31">
        <v>30</v>
      </c>
      <c r="J3759" s="31" t="s">
        <v>14021</v>
      </c>
      <c r="K3759" s="31" t="s">
        <v>319</v>
      </c>
      <c r="L3759" s="31" t="s">
        <v>210</v>
      </c>
      <c r="M3759" s="31">
        <v>36</v>
      </c>
      <c r="N3759" s="31">
        <v>2021</v>
      </c>
      <c r="O3759" s="31">
        <v>140</v>
      </c>
      <c r="P3759" s="31"/>
      <c r="Q3759" s="31"/>
      <c r="R3759" s="33"/>
      <c r="S3759" s="34" t="str">
        <f>HYPERLINK("http://www.cnpol.ru/covers/19468.jpg","фото на сайте")</f>
        <v>фото на сайте</v>
      </c>
    </row>
    <row r="3760" spans="1:19" ht="50.1" customHeight="1">
      <c r="A3760" s="31"/>
      <c r="B3760" s="32" t="s">
        <v>14022</v>
      </c>
      <c r="C3760" s="31" t="s">
        <v>171</v>
      </c>
      <c r="D3760" s="31" t="s">
        <v>172</v>
      </c>
      <c r="E3760" s="31" t="s">
        <v>14023</v>
      </c>
      <c r="F3760" s="31" t="s">
        <v>31</v>
      </c>
      <c r="G3760" s="35">
        <v>1466</v>
      </c>
      <c r="H3760" s="31">
        <v>10</v>
      </c>
      <c r="I3760" s="31">
        <v>5</v>
      </c>
      <c r="J3760" s="31" t="s">
        <v>14024</v>
      </c>
      <c r="K3760" s="31" t="s">
        <v>41</v>
      </c>
      <c r="L3760" s="31" t="s">
        <v>34</v>
      </c>
      <c r="M3760" s="31">
        <v>511</v>
      </c>
      <c r="N3760" s="31">
        <v>2023</v>
      </c>
      <c r="O3760" s="31">
        <v>630</v>
      </c>
      <c r="P3760" s="31"/>
      <c r="Q3760" s="31"/>
      <c r="R3760" s="33" t="s">
        <v>14025</v>
      </c>
      <c r="S3760" s="34" t="str">
        <f>HYPERLINK("http://www.cnpol.ru/covers/20890.jpg","фото на сайте")</f>
        <v>фото на сайте</v>
      </c>
    </row>
    <row r="3761" spans="1:19" ht="50.1" customHeight="1">
      <c r="A3761" s="31"/>
      <c r="B3761" s="32" t="s">
        <v>14026</v>
      </c>
      <c r="C3761" s="31" t="s">
        <v>171</v>
      </c>
      <c r="D3761" s="31" t="s">
        <v>172</v>
      </c>
      <c r="E3761" s="31" t="s">
        <v>14027</v>
      </c>
      <c r="F3761" s="31" t="s">
        <v>31</v>
      </c>
      <c r="G3761" s="35">
        <v>2285</v>
      </c>
      <c r="H3761" s="31">
        <v>10</v>
      </c>
      <c r="I3761" s="31">
        <v>3</v>
      </c>
      <c r="J3761" s="31" t="s">
        <v>14028</v>
      </c>
      <c r="K3761" s="31" t="s">
        <v>41</v>
      </c>
      <c r="L3761" s="31" t="s">
        <v>34</v>
      </c>
      <c r="M3761" s="31">
        <v>943</v>
      </c>
      <c r="N3761" s="31">
        <v>2023</v>
      </c>
      <c r="O3761" s="31">
        <v>1016</v>
      </c>
      <c r="P3761" s="31"/>
      <c r="Q3761" s="31"/>
      <c r="R3761" s="33" t="s">
        <v>14029</v>
      </c>
      <c r="S3761" s="34" t="str">
        <f>HYPERLINK("http://www.cnpol.ru/covers/20891.jpg","фото на сайте")</f>
        <v>фото на сайте</v>
      </c>
    </row>
    <row r="3762" spans="1:19" ht="50.1" customHeight="1">
      <c r="A3762" s="31"/>
      <c r="B3762" s="32" t="s">
        <v>14030</v>
      </c>
      <c r="C3762" s="31" t="s">
        <v>171</v>
      </c>
      <c r="D3762" s="31" t="s">
        <v>172</v>
      </c>
      <c r="E3762" s="31" t="s">
        <v>14031</v>
      </c>
      <c r="F3762" s="31" t="s">
        <v>31</v>
      </c>
      <c r="G3762" s="35">
        <v>1406</v>
      </c>
      <c r="H3762" s="31">
        <v>10</v>
      </c>
      <c r="I3762" s="31">
        <v>5</v>
      </c>
      <c r="J3762" s="31" t="s">
        <v>14032</v>
      </c>
      <c r="K3762" s="31" t="s">
        <v>41</v>
      </c>
      <c r="L3762" s="31" t="s">
        <v>34</v>
      </c>
      <c r="M3762" s="31">
        <v>463</v>
      </c>
      <c r="N3762" s="31">
        <v>2023</v>
      </c>
      <c r="O3762" s="31">
        <v>596</v>
      </c>
      <c r="P3762" s="31"/>
      <c r="Q3762" s="31"/>
      <c r="R3762" s="33" t="s">
        <v>14033</v>
      </c>
      <c r="S3762" s="34" t="str">
        <f>HYPERLINK("http://www.cnpol.ru/covers/20839.jpg","фото на сайте")</f>
        <v>фото на сайте</v>
      </c>
    </row>
    <row r="3763" spans="1:19" ht="50.1" customHeight="1">
      <c r="A3763" s="31"/>
      <c r="B3763" s="32" t="s">
        <v>14034</v>
      </c>
      <c r="C3763" s="31" t="s">
        <v>528</v>
      </c>
      <c r="D3763" s="31" t="s">
        <v>529</v>
      </c>
      <c r="E3763" s="31" t="s">
        <v>14035</v>
      </c>
      <c r="F3763" s="31" t="s">
        <v>31</v>
      </c>
      <c r="G3763" s="31">
        <v>137</v>
      </c>
      <c r="H3763" s="31">
        <v>10</v>
      </c>
      <c r="I3763" s="31">
        <v>30</v>
      </c>
      <c r="J3763" s="31" t="s">
        <v>14036</v>
      </c>
      <c r="K3763" s="31" t="s">
        <v>123</v>
      </c>
      <c r="L3763" s="31" t="s">
        <v>56</v>
      </c>
      <c r="M3763" s="31">
        <v>160</v>
      </c>
      <c r="N3763" s="31">
        <v>2021</v>
      </c>
      <c r="O3763" s="31">
        <v>76</v>
      </c>
      <c r="P3763" s="31"/>
      <c r="Q3763" s="31"/>
      <c r="R3763" s="33"/>
      <c r="S3763" s="34" t="str">
        <f>HYPERLINK("http://www.cnpol.ru/covers/19852.jpg","фото на сайте")</f>
        <v>фото на сайте</v>
      </c>
    </row>
    <row r="3764" spans="1:19" ht="50.1" customHeight="1">
      <c r="A3764" s="31" t="s">
        <v>43</v>
      </c>
      <c r="B3764" s="32" t="s">
        <v>14037</v>
      </c>
      <c r="C3764" s="31" t="s">
        <v>143</v>
      </c>
      <c r="D3764" s="31" t="s">
        <v>14038</v>
      </c>
      <c r="E3764" s="31" t="s">
        <v>14039</v>
      </c>
      <c r="F3764" s="31" t="s">
        <v>31</v>
      </c>
      <c r="G3764" s="31">
        <v>807</v>
      </c>
      <c r="H3764" s="31">
        <v>10</v>
      </c>
      <c r="I3764" s="31">
        <v>8</v>
      </c>
      <c r="J3764" s="31" t="s">
        <v>14040</v>
      </c>
      <c r="K3764" s="31" t="s">
        <v>33</v>
      </c>
      <c r="L3764" s="31" t="s">
        <v>34</v>
      </c>
      <c r="M3764" s="31">
        <v>255</v>
      </c>
      <c r="N3764" s="31">
        <v>2025</v>
      </c>
      <c r="O3764" s="31">
        <v>299</v>
      </c>
      <c r="P3764" s="31"/>
      <c r="Q3764" s="31"/>
      <c r="R3764" s="33" t="s">
        <v>14041</v>
      </c>
      <c r="S3764" s="34" t="str">
        <f>HYPERLINK("http://www.cnpol.ru/covers/21567.jpg","фото на сайте")</f>
        <v>фото на сайте</v>
      </c>
    </row>
    <row r="3765" spans="1:19" ht="50.1" customHeight="1">
      <c r="A3765" s="31"/>
      <c r="B3765" s="32" t="s">
        <v>14042</v>
      </c>
      <c r="C3765" s="31" t="s">
        <v>1781</v>
      </c>
      <c r="D3765" s="31" t="s">
        <v>14043</v>
      </c>
      <c r="E3765" s="31" t="s">
        <v>14044</v>
      </c>
      <c r="F3765" s="31" t="s">
        <v>31</v>
      </c>
      <c r="G3765" s="31">
        <v>559</v>
      </c>
      <c r="H3765" s="31">
        <v>10</v>
      </c>
      <c r="I3765" s="31">
        <v>10</v>
      </c>
      <c r="J3765" s="31" t="s">
        <v>14045</v>
      </c>
      <c r="K3765" s="31" t="s">
        <v>33</v>
      </c>
      <c r="L3765" s="31" t="s">
        <v>34</v>
      </c>
      <c r="M3765" s="31">
        <v>416</v>
      </c>
      <c r="N3765" s="31">
        <v>2018</v>
      </c>
      <c r="O3765" s="31">
        <v>336</v>
      </c>
      <c r="P3765" s="31"/>
      <c r="Q3765" s="31"/>
      <c r="R3765" s="33"/>
      <c r="S3765" s="34" t="str">
        <f>HYPERLINK("http://www.cnpol.ru/covers/18276.jpg","фото на сайте")</f>
        <v>фото на сайте</v>
      </c>
    </row>
    <row r="3766" spans="1:19" ht="50.1" customHeight="1">
      <c r="A3766" s="31"/>
      <c r="B3766" s="32" t="s">
        <v>14046</v>
      </c>
      <c r="C3766" s="31" t="s">
        <v>37</v>
      </c>
      <c r="D3766" s="31" t="s">
        <v>14047</v>
      </c>
      <c r="E3766" s="31" t="s">
        <v>14048</v>
      </c>
      <c r="F3766" s="31" t="s">
        <v>31</v>
      </c>
      <c r="G3766" s="31">
        <v>675</v>
      </c>
      <c r="H3766" s="31">
        <v>10</v>
      </c>
      <c r="I3766" s="31">
        <v>14</v>
      </c>
      <c r="J3766" s="31" t="s">
        <v>14049</v>
      </c>
      <c r="K3766" s="31" t="s">
        <v>33</v>
      </c>
      <c r="L3766" s="31" t="s">
        <v>34</v>
      </c>
      <c r="M3766" s="31">
        <v>384</v>
      </c>
      <c r="N3766" s="31">
        <v>2015</v>
      </c>
      <c r="O3766" s="31">
        <v>403</v>
      </c>
      <c r="P3766" s="31"/>
      <c r="Q3766" s="31"/>
      <c r="R3766" s="33"/>
      <c r="S3766" s="34" t="str">
        <f>HYPERLINK("http://www.cnpol.ru/covers/16252.jpg","фото на сайте")</f>
        <v>фото на сайте</v>
      </c>
    </row>
    <row r="3767" spans="1:19" ht="50.1" customHeight="1">
      <c r="A3767" s="31"/>
      <c r="B3767" s="32" t="s">
        <v>14050</v>
      </c>
      <c r="C3767" s="31" t="s">
        <v>479</v>
      </c>
      <c r="D3767" s="31" t="s">
        <v>4359</v>
      </c>
      <c r="E3767" s="31" t="s">
        <v>14051</v>
      </c>
      <c r="F3767" s="31" t="s">
        <v>31</v>
      </c>
      <c r="G3767" s="31">
        <v>843</v>
      </c>
      <c r="H3767" s="31">
        <v>10</v>
      </c>
      <c r="I3767" s="31">
        <v>12</v>
      </c>
      <c r="J3767" s="31" t="s">
        <v>14052</v>
      </c>
      <c r="K3767" s="31" t="s">
        <v>41</v>
      </c>
      <c r="L3767" s="31" t="s">
        <v>34</v>
      </c>
      <c r="M3767" s="31">
        <v>464</v>
      </c>
      <c r="N3767" s="31">
        <v>2016</v>
      </c>
      <c r="O3767" s="31">
        <v>510</v>
      </c>
      <c r="P3767" s="31"/>
      <c r="Q3767" s="31"/>
      <c r="R3767" s="33"/>
      <c r="S3767" s="34" t="str">
        <f>HYPERLINK("http://www.cnpol.ru/covers/17193.jpg","фото на сайте")</f>
        <v>фото на сайте</v>
      </c>
    </row>
    <row r="3768" spans="1:19" ht="50.1" customHeight="1">
      <c r="A3768" s="31"/>
      <c r="B3768" s="32" t="s">
        <v>14053</v>
      </c>
      <c r="C3768" s="31" t="s">
        <v>143</v>
      </c>
      <c r="D3768" s="31" t="s">
        <v>9912</v>
      </c>
      <c r="E3768" s="31" t="s">
        <v>14054</v>
      </c>
      <c r="F3768" s="31" t="s">
        <v>31</v>
      </c>
      <c r="G3768" s="35">
        <v>1137</v>
      </c>
      <c r="H3768" s="31">
        <v>10</v>
      </c>
      <c r="I3768" s="31">
        <v>10</v>
      </c>
      <c r="J3768" s="31" t="s">
        <v>14055</v>
      </c>
      <c r="K3768" s="31" t="s">
        <v>33</v>
      </c>
      <c r="L3768" s="31" t="s">
        <v>34</v>
      </c>
      <c r="M3768" s="31">
        <v>415</v>
      </c>
      <c r="N3768" s="31">
        <v>2023</v>
      </c>
      <c r="O3768" s="31">
        <v>400</v>
      </c>
      <c r="P3768" s="31"/>
      <c r="Q3768" s="31"/>
      <c r="R3768" s="33" t="s">
        <v>14056</v>
      </c>
      <c r="S3768" s="34" t="str">
        <f>HYPERLINK("http://www.cnpol.ru/covers/20564.jpg","фото на сайте")</f>
        <v>фото на сайте</v>
      </c>
    </row>
    <row r="3769" spans="1:19" ht="50.1" customHeight="1">
      <c r="A3769" s="31" t="s">
        <v>43</v>
      </c>
      <c r="B3769" s="32" t="s">
        <v>14057</v>
      </c>
      <c r="C3769" s="31" t="s">
        <v>143</v>
      </c>
      <c r="D3769" s="31" t="s">
        <v>14058</v>
      </c>
      <c r="E3769" s="31" t="s">
        <v>14059</v>
      </c>
      <c r="F3769" s="31" t="s">
        <v>31</v>
      </c>
      <c r="G3769" s="35">
        <v>1681</v>
      </c>
      <c r="H3769" s="31">
        <v>10</v>
      </c>
      <c r="I3769" s="31">
        <v>4</v>
      </c>
      <c r="J3769" s="31" t="s">
        <v>14060</v>
      </c>
      <c r="K3769" s="31" t="s">
        <v>41</v>
      </c>
      <c r="L3769" s="31" t="s">
        <v>34</v>
      </c>
      <c r="M3769" s="31">
        <v>719</v>
      </c>
      <c r="N3769" s="31">
        <v>2024</v>
      </c>
      <c r="O3769" s="31">
        <v>688</v>
      </c>
      <c r="P3769" s="31"/>
      <c r="Q3769" s="31"/>
      <c r="R3769" s="33" t="s">
        <v>14061</v>
      </c>
      <c r="S3769" s="34" t="str">
        <f>HYPERLINK("http://www.cnpol.ru/covers/21359.jpg","фото на сайте")</f>
        <v>фото на сайте</v>
      </c>
    </row>
    <row r="3770" spans="1:19" ht="50.1" customHeight="1">
      <c r="A3770" s="31" t="s">
        <v>35</v>
      </c>
      <c r="B3770" s="32" t="s">
        <v>14062</v>
      </c>
      <c r="C3770" s="31" t="s">
        <v>37</v>
      </c>
      <c r="D3770" s="31" t="s">
        <v>14063</v>
      </c>
      <c r="E3770" s="31" t="s">
        <v>14064</v>
      </c>
      <c r="F3770" s="31" t="s">
        <v>31</v>
      </c>
      <c r="G3770" s="35">
        <v>1326</v>
      </c>
      <c r="H3770" s="31">
        <v>10</v>
      </c>
      <c r="I3770" s="31">
        <v>6</v>
      </c>
      <c r="J3770" s="31" t="s">
        <v>14065</v>
      </c>
      <c r="K3770" s="31" t="s">
        <v>33</v>
      </c>
      <c r="L3770" s="31" t="s">
        <v>34</v>
      </c>
      <c r="M3770" s="31">
        <v>575</v>
      </c>
      <c r="N3770" s="31">
        <v>2026</v>
      </c>
      <c r="O3770" s="31" t="s">
        <v>220</v>
      </c>
      <c r="P3770" s="31"/>
      <c r="Q3770" s="31"/>
      <c r="R3770" s="33" t="s">
        <v>14066</v>
      </c>
      <c r="S3770" s="34" t="str">
        <f>HYPERLINK("http://www.cnpol.ru/covers/21887.jpg","фото на сайте")</f>
        <v>фото на сайте</v>
      </c>
    </row>
    <row r="3771" spans="1:19" ht="50.1" customHeight="1">
      <c r="A3771" s="31"/>
      <c r="B3771" s="32" t="s">
        <v>14067</v>
      </c>
      <c r="C3771" s="31" t="s">
        <v>37</v>
      </c>
      <c r="D3771" s="31" t="s">
        <v>14063</v>
      </c>
      <c r="E3771" s="31" t="s">
        <v>14068</v>
      </c>
      <c r="F3771" s="31" t="s">
        <v>31</v>
      </c>
      <c r="G3771" s="31">
        <v>593</v>
      </c>
      <c r="H3771" s="31">
        <v>10</v>
      </c>
      <c r="I3771" s="31">
        <v>16</v>
      </c>
      <c r="J3771" s="31" t="s">
        <v>14069</v>
      </c>
      <c r="K3771" s="31" t="s">
        <v>33</v>
      </c>
      <c r="L3771" s="31" t="s">
        <v>34</v>
      </c>
      <c r="M3771" s="31">
        <v>352</v>
      </c>
      <c r="N3771" s="31">
        <v>2017</v>
      </c>
      <c r="O3771" s="31">
        <v>292</v>
      </c>
      <c r="P3771" s="31"/>
      <c r="Q3771" s="31"/>
      <c r="R3771" s="33"/>
      <c r="S3771" s="34" t="str">
        <f>HYPERLINK("http://www.cnpol.ru/covers/17635.jpg","фото на сайте")</f>
        <v>фото на сайте</v>
      </c>
    </row>
    <row r="3772" spans="1:19" ht="50.1" customHeight="1">
      <c r="A3772" s="31" t="s">
        <v>43</v>
      </c>
      <c r="B3772" s="32" t="s">
        <v>14070</v>
      </c>
      <c r="C3772" s="31" t="s">
        <v>143</v>
      </c>
      <c r="D3772" s="31" t="s">
        <v>12893</v>
      </c>
      <c r="E3772" s="31" t="s">
        <v>14071</v>
      </c>
      <c r="F3772" s="31" t="s">
        <v>31</v>
      </c>
      <c r="G3772" s="35">
        <v>1009</v>
      </c>
      <c r="H3772" s="31">
        <v>10</v>
      </c>
      <c r="I3772" s="31">
        <v>5</v>
      </c>
      <c r="J3772" s="31" t="s">
        <v>14072</v>
      </c>
      <c r="K3772" s="31" t="s">
        <v>33</v>
      </c>
      <c r="L3772" s="31" t="s">
        <v>34</v>
      </c>
      <c r="M3772" s="31">
        <v>384</v>
      </c>
      <c r="N3772" s="31">
        <v>2025</v>
      </c>
      <c r="O3772" s="31" t="s">
        <v>220</v>
      </c>
      <c r="P3772" s="31"/>
      <c r="Q3772" s="31"/>
      <c r="R3772" s="33" t="s">
        <v>14073</v>
      </c>
      <c r="S3772" s="34" t="str">
        <f>HYPERLINK("http://www.cnpol.ru/covers/21791.jpg","фото на сайте")</f>
        <v>фото на сайте</v>
      </c>
    </row>
    <row r="3773" spans="1:19" ht="50.1" customHeight="1">
      <c r="A3773" s="31"/>
      <c r="B3773" s="32" t="s">
        <v>14074</v>
      </c>
      <c r="C3773" s="31" t="s">
        <v>1323</v>
      </c>
      <c r="D3773" s="31" t="s">
        <v>5436</v>
      </c>
      <c r="E3773" s="31" t="s">
        <v>14075</v>
      </c>
      <c r="F3773" s="31" t="s">
        <v>31</v>
      </c>
      <c r="G3773" s="31">
        <v>169</v>
      </c>
      <c r="H3773" s="31">
        <v>10</v>
      </c>
      <c r="I3773" s="31">
        <v>16</v>
      </c>
      <c r="J3773" s="31" t="s">
        <v>14076</v>
      </c>
      <c r="K3773" s="31" t="s">
        <v>55</v>
      </c>
      <c r="L3773" s="31" t="s">
        <v>56</v>
      </c>
      <c r="M3773" s="31">
        <v>317</v>
      </c>
      <c r="N3773" s="31">
        <v>2022</v>
      </c>
      <c r="O3773" s="31">
        <v>133</v>
      </c>
      <c r="P3773" s="31"/>
      <c r="Q3773" s="31"/>
      <c r="R3773" s="33"/>
      <c r="S3773" s="34" t="str">
        <f>HYPERLINK("http://www.cnpol.ru/covers/20168.jpg","фото на сайте")</f>
        <v>фото на сайте</v>
      </c>
    </row>
    <row r="3774" spans="1:19" ht="50.1" customHeight="1">
      <c r="A3774" s="31"/>
      <c r="B3774" s="32" t="s">
        <v>14077</v>
      </c>
      <c r="C3774" s="31" t="s">
        <v>1237</v>
      </c>
      <c r="D3774" s="31" t="s">
        <v>1238</v>
      </c>
      <c r="E3774" s="31" t="s">
        <v>14078</v>
      </c>
      <c r="F3774" s="31" t="s">
        <v>31</v>
      </c>
      <c r="G3774" s="31">
        <v>961</v>
      </c>
      <c r="H3774" s="31">
        <v>10</v>
      </c>
      <c r="I3774" s="31">
        <v>10</v>
      </c>
      <c r="J3774" s="31" t="s">
        <v>14079</v>
      </c>
      <c r="K3774" s="31" t="s">
        <v>33</v>
      </c>
      <c r="L3774" s="31" t="s">
        <v>34</v>
      </c>
      <c r="M3774" s="31">
        <v>544</v>
      </c>
      <c r="N3774" s="31">
        <v>2019</v>
      </c>
      <c r="O3774" s="31">
        <v>530</v>
      </c>
      <c r="P3774" s="31"/>
      <c r="Q3774" s="31"/>
      <c r="R3774" s="33"/>
      <c r="S3774" s="34" t="str">
        <f>HYPERLINK("http://www.cnpol.ru/covers/18970.jpg","фото на сайте")</f>
        <v>фото на сайте</v>
      </c>
    </row>
    <row r="3775" spans="1:19" ht="50.1" customHeight="1">
      <c r="A3775" s="31" t="s">
        <v>43</v>
      </c>
      <c r="B3775" s="32" t="s">
        <v>14080</v>
      </c>
      <c r="C3775" s="31" t="s">
        <v>171</v>
      </c>
      <c r="D3775" s="31" t="s">
        <v>172</v>
      </c>
      <c r="E3775" s="31" t="s">
        <v>14081</v>
      </c>
      <c r="F3775" s="31" t="s">
        <v>31</v>
      </c>
      <c r="G3775" s="35">
        <v>1521</v>
      </c>
      <c r="H3775" s="31">
        <v>10</v>
      </c>
      <c r="I3775" s="31">
        <v>6</v>
      </c>
      <c r="J3775" s="31" t="s">
        <v>14082</v>
      </c>
      <c r="K3775" s="31" t="s">
        <v>41</v>
      </c>
      <c r="L3775" s="31" t="s">
        <v>34</v>
      </c>
      <c r="M3775" s="31">
        <v>479</v>
      </c>
      <c r="N3775" s="31">
        <v>2024</v>
      </c>
      <c r="O3775" s="31">
        <v>588</v>
      </c>
      <c r="P3775" s="31"/>
      <c r="Q3775" s="31"/>
      <c r="R3775" s="33" t="s">
        <v>14083</v>
      </c>
      <c r="S3775" s="34" t="str">
        <f>HYPERLINK("http://www.cnpol.ru/covers/21200.jpg","фото на сайте")</f>
        <v>фото на сайте</v>
      </c>
    </row>
    <row r="3776" spans="1:19" ht="50.1" customHeight="1">
      <c r="A3776" s="31" t="s">
        <v>43</v>
      </c>
      <c r="B3776" s="32" t="s">
        <v>14084</v>
      </c>
      <c r="C3776" s="31" t="s">
        <v>143</v>
      </c>
      <c r="D3776" s="31" t="s">
        <v>2808</v>
      </c>
      <c r="E3776" s="31" t="s">
        <v>14085</v>
      </c>
      <c r="F3776" s="31" t="s">
        <v>31</v>
      </c>
      <c r="G3776" s="31">
        <v>911</v>
      </c>
      <c r="H3776" s="31">
        <v>10</v>
      </c>
      <c r="I3776" s="31">
        <v>14</v>
      </c>
      <c r="J3776" s="31" t="s">
        <v>14086</v>
      </c>
      <c r="K3776" s="31" t="s">
        <v>33</v>
      </c>
      <c r="L3776" s="31" t="s">
        <v>34</v>
      </c>
      <c r="M3776" s="31">
        <v>272</v>
      </c>
      <c r="N3776" s="31">
        <v>2025</v>
      </c>
      <c r="O3776" s="31">
        <v>377</v>
      </c>
      <c r="P3776" s="31"/>
      <c r="Q3776" s="31"/>
      <c r="R3776" s="33" t="s">
        <v>14087</v>
      </c>
      <c r="S3776" s="34" t="str">
        <f>HYPERLINK("http://www.cnpol.ru/covers/21545.jpg","фото на сайте")</f>
        <v>фото на сайте</v>
      </c>
    </row>
    <row r="3777" spans="1:19" ht="50.1" customHeight="1">
      <c r="A3777" s="31"/>
      <c r="B3777" s="32" t="s">
        <v>14088</v>
      </c>
      <c r="C3777" s="31" t="s">
        <v>6252</v>
      </c>
      <c r="D3777" s="31" t="s">
        <v>7092</v>
      </c>
      <c r="E3777" s="31" t="s">
        <v>14089</v>
      </c>
      <c r="F3777" s="31" t="s">
        <v>31</v>
      </c>
      <c r="G3777" s="35">
        <v>2105</v>
      </c>
      <c r="H3777" s="31">
        <v>10</v>
      </c>
      <c r="I3777" s="31">
        <v>10</v>
      </c>
      <c r="J3777" s="31" t="s">
        <v>14090</v>
      </c>
      <c r="K3777" s="31" t="s">
        <v>319</v>
      </c>
      <c r="L3777" s="31" t="s">
        <v>34</v>
      </c>
      <c r="M3777" s="31">
        <v>104</v>
      </c>
      <c r="N3777" s="31">
        <v>2003</v>
      </c>
      <c r="O3777" s="31">
        <v>416</v>
      </c>
      <c r="P3777" s="31"/>
      <c r="Q3777" s="31"/>
      <c r="R3777" s="33"/>
      <c r="S3777" s="34" t="str">
        <f>HYPERLINK("http://www.cnpol.ru/covers/4204.jpg","фото на сайте")</f>
        <v>фото на сайте</v>
      </c>
    </row>
    <row r="3778" spans="1:19" ht="50.1" customHeight="1">
      <c r="A3778" s="31"/>
      <c r="B3778" s="32" t="s">
        <v>14091</v>
      </c>
      <c r="C3778" s="31" t="s">
        <v>6252</v>
      </c>
      <c r="D3778" s="31" t="s">
        <v>14092</v>
      </c>
      <c r="E3778" s="31" t="s">
        <v>14093</v>
      </c>
      <c r="F3778" s="31" t="s">
        <v>31</v>
      </c>
      <c r="G3778" s="35">
        <v>4215</v>
      </c>
      <c r="H3778" s="31">
        <v>10</v>
      </c>
      <c r="I3778" s="31">
        <v>4</v>
      </c>
      <c r="J3778" s="31" t="s">
        <v>14094</v>
      </c>
      <c r="K3778" s="31" t="s">
        <v>6256</v>
      </c>
      <c r="L3778" s="31" t="s">
        <v>34</v>
      </c>
      <c r="M3778" s="31">
        <v>347</v>
      </c>
      <c r="N3778" s="31">
        <v>2005</v>
      </c>
      <c r="O3778" s="31">
        <v>812</v>
      </c>
      <c r="P3778" s="31"/>
      <c r="Q3778" s="31"/>
      <c r="R3778" s="33"/>
      <c r="S3778" s="34" t="str">
        <f>HYPERLINK("http://www.cnpol.ru/covers/5670.jpg","фото на сайте")</f>
        <v>фото на сайте</v>
      </c>
    </row>
    <row r="3779" spans="1:19" ht="50.1" customHeight="1">
      <c r="A3779" s="31"/>
      <c r="B3779" s="32" t="s">
        <v>14095</v>
      </c>
      <c r="C3779" s="31" t="s">
        <v>14096</v>
      </c>
      <c r="D3779" s="31" t="s">
        <v>14097</v>
      </c>
      <c r="E3779" s="31" t="s">
        <v>14098</v>
      </c>
      <c r="F3779" s="31" t="s">
        <v>31</v>
      </c>
      <c r="G3779" s="31">
        <v>855</v>
      </c>
      <c r="H3779" s="31">
        <v>10</v>
      </c>
      <c r="I3779" s="31">
        <v>14</v>
      </c>
      <c r="J3779" s="31" t="s">
        <v>14099</v>
      </c>
      <c r="K3779" s="31" t="s">
        <v>33</v>
      </c>
      <c r="L3779" s="31" t="s">
        <v>34</v>
      </c>
      <c r="M3779" s="31">
        <v>287</v>
      </c>
      <c r="N3779" s="31">
        <v>2021</v>
      </c>
      <c r="O3779" s="31">
        <v>250</v>
      </c>
      <c r="P3779" s="31"/>
      <c r="Q3779" s="31"/>
      <c r="R3779" s="33"/>
      <c r="S3779" s="34" t="str">
        <f>HYPERLINK("http://www.cnpol.ru/covers/19866.jpg","фото на сайте")</f>
        <v>фото на сайте</v>
      </c>
    </row>
    <row r="3780" spans="1:19" ht="50.1" customHeight="1">
      <c r="A3780" s="31"/>
      <c r="B3780" s="32" t="s">
        <v>14100</v>
      </c>
      <c r="C3780" s="31" t="s">
        <v>37</v>
      </c>
      <c r="D3780" s="31" t="s">
        <v>120</v>
      </c>
      <c r="E3780" s="31" t="s">
        <v>14101</v>
      </c>
      <c r="F3780" s="31" t="s">
        <v>31</v>
      </c>
      <c r="G3780" s="31">
        <v>425</v>
      </c>
      <c r="H3780" s="31">
        <v>10</v>
      </c>
      <c r="I3780" s="31">
        <v>18</v>
      </c>
      <c r="J3780" s="31" t="s">
        <v>14102</v>
      </c>
      <c r="K3780" s="31" t="s">
        <v>33</v>
      </c>
      <c r="L3780" s="31" t="s">
        <v>34</v>
      </c>
      <c r="M3780" s="31">
        <v>222</v>
      </c>
      <c r="N3780" s="31">
        <v>2015</v>
      </c>
      <c r="O3780" s="31">
        <v>218</v>
      </c>
      <c r="P3780" s="31"/>
      <c r="Q3780" s="31"/>
      <c r="R3780" s="33"/>
      <c r="S3780" s="34" t="str">
        <f>HYPERLINK("http://www.cnpol.ru/covers/16083.jpg","фото на сайте")</f>
        <v>фото на сайте</v>
      </c>
    </row>
    <row r="3781" spans="1:19" ht="50.1" customHeight="1">
      <c r="A3781" s="31"/>
      <c r="B3781" s="32" t="s">
        <v>14103</v>
      </c>
      <c r="C3781" s="31" t="s">
        <v>479</v>
      </c>
      <c r="D3781" s="31" t="s">
        <v>14104</v>
      </c>
      <c r="E3781" s="31" t="s">
        <v>14105</v>
      </c>
      <c r="F3781" s="31" t="s">
        <v>31</v>
      </c>
      <c r="G3781" s="31">
        <v>773</v>
      </c>
      <c r="H3781" s="31">
        <v>10</v>
      </c>
      <c r="I3781" s="31">
        <v>8</v>
      </c>
      <c r="J3781" s="31" t="s">
        <v>14106</v>
      </c>
      <c r="K3781" s="31" t="s">
        <v>41</v>
      </c>
      <c r="L3781" s="31" t="s">
        <v>34</v>
      </c>
      <c r="M3781" s="31">
        <v>560</v>
      </c>
      <c r="N3781" s="31">
        <v>2018</v>
      </c>
      <c r="O3781" s="31">
        <v>462</v>
      </c>
      <c r="P3781" s="31"/>
      <c r="Q3781" s="31"/>
      <c r="R3781" s="33"/>
      <c r="S3781" s="34" t="str">
        <f>HYPERLINK("http://www.cnpol.ru/covers/18057.jpg","фото на сайте")</f>
        <v>фото на сайте</v>
      </c>
    </row>
    <row r="3782" spans="1:19" ht="50.1" customHeight="1">
      <c r="A3782" s="31"/>
      <c r="B3782" s="32" t="s">
        <v>14107</v>
      </c>
      <c r="C3782" s="31" t="s">
        <v>143</v>
      </c>
      <c r="D3782" s="31" t="s">
        <v>14108</v>
      </c>
      <c r="E3782" s="31" t="s">
        <v>14109</v>
      </c>
      <c r="F3782" s="31" t="s">
        <v>31</v>
      </c>
      <c r="G3782" s="31">
        <v>855</v>
      </c>
      <c r="H3782" s="31">
        <v>10</v>
      </c>
      <c r="I3782" s="31">
        <v>8</v>
      </c>
      <c r="J3782" s="31" t="s">
        <v>14110</v>
      </c>
      <c r="K3782" s="31" t="s">
        <v>41</v>
      </c>
      <c r="L3782" s="31" t="s">
        <v>34</v>
      </c>
      <c r="M3782" s="31">
        <v>559</v>
      </c>
      <c r="N3782" s="31">
        <v>2022</v>
      </c>
      <c r="O3782" s="31">
        <v>582</v>
      </c>
      <c r="P3782" s="31"/>
      <c r="Q3782" s="31"/>
      <c r="R3782" s="33"/>
      <c r="S3782" s="34" t="str">
        <f>HYPERLINK("http://www.cnpol.ru/covers/20216.jpg","фото на сайте")</f>
        <v>фото на сайте</v>
      </c>
    </row>
    <row r="3783" spans="1:19" ht="50.1" customHeight="1">
      <c r="A3783" s="31" t="s">
        <v>43</v>
      </c>
      <c r="B3783" s="32" t="s">
        <v>14111</v>
      </c>
      <c r="C3783" s="31" t="s">
        <v>454</v>
      </c>
      <c r="D3783" s="31" t="s">
        <v>14112</v>
      </c>
      <c r="E3783" s="31" t="s">
        <v>14113</v>
      </c>
      <c r="F3783" s="31" t="s">
        <v>31</v>
      </c>
      <c r="G3783" s="35">
        <v>1144</v>
      </c>
      <c r="H3783" s="31">
        <v>10</v>
      </c>
      <c r="I3783" s="31">
        <v>10</v>
      </c>
      <c r="J3783" s="31" t="s">
        <v>14114</v>
      </c>
      <c r="K3783" s="31" t="s">
        <v>33</v>
      </c>
      <c r="L3783" s="31" t="s">
        <v>34</v>
      </c>
      <c r="M3783" s="31">
        <v>413</v>
      </c>
      <c r="N3783" s="31">
        <v>2025</v>
      </c>
      <c r="O3783" s="31">
        <v>475</v>
      </c>
      <c r="P3783" s="31"/>
      <c r="Q3783" s="31"/>
      <c r="R3783" s="33" t="s">
        <v>14115</v>
      </c>
      <c r="S3783" s="34" t="str">
        <f>HYPERLINK("http://www.cnpol.ru/covers/21550.jpg","фото на сайте")</f>
        <v>фото на сайте</v>
      </c>
    </row>
    <row r="3784" spans="1:19" ht="50.1" customHeight="1">
      <c r="A3784" s="31"/>
      <c r="B3784" s="32" t="s">
        <v>14116</v>
      </c>
      <c r="C3784" s="31" t="s">
        <v>479</v>
      </c>
      <c r="D3784" s="31" t="s">
        <v>9354</v>
      </c>
      <c r="E3784" s="31" t="s">
        <v>14117</v>
      </c>
      <c r="F3784" s="31" t="s">
        <v>31</v>
      </c>
      <c r="G3784" s="35">
        <v>1344</v>
      </c>
      <c r="H3784" s="31">
        <v>10</v>
      </c>
      <c r="I3784" s="31">
        <v>5</v>
      </c>
      <c r="J3784" s="31" t="s">
        <v>14118</v>
      </c>
      <c r="K3784" s="31" t="s">
        <v>2495</v>
      </c>
      <c r="L3784" s="31" t="s">
        <v>34</v>
      </c>
      <c r="M3784" s="31">
        <v>656</v>
      </c>
      <c r="N3784" s="31">
        <v>2018</v>
      </c>
      <c r="O3784" s="31">
        <v>884</v>
      </c>
      <c r="P3784" s="31"/>
      <c r="Q3784" s="31"/>
      <c r="R3784" s="33"/>
      <c r="S3784" s="34" t="str">
        <f>HYPERLINK("http://www.cnpol.ru/covers/18005.jpg","фото на сайте")</f>
        <v>фото на сайте</v>
      </c>
    </row>
    <row r="3785" spans="1:19" ht="50.1" customHeight="1">
      <c r="A3785" s="31"/>
      <c r="B3785" s="32" t="s">
        <v>14119</v>
      </c>
      <c r="C3785" s="31" t="s">
        <v>479</v>
      </c>
      <c r="D3785" s="31" t="s">
        <v>14120</v>
      </c>
      <c r="E3785" s="31" t="s">
        <v>14121</v>
      </c>
      <c r="F3785" s="31" t="s">
        <v>31</v>
      </c>
      <c r="G3785" s="31">
        <v>539</v>
      </c>
      <c r="H3785" s="31">
        <v>10</v>
      </c>
      <c r="I3785" s="31">
        <v>12</v>
      </c>
      <c r="J3785" s="31" t="s">
        <v>14122</v>
      </c>
      <c r="K3785" s="31" t="s">
        <v>33</v>
      </c>
      <c r="L3785" s="31" t="s">
        <v>34</v>
      </c>
      <c r="M3785" s="31">
        <v>384</v>
      </c>
      <c r="N3785" s="31">
        <v>2018</v>
      </c>
      <c r="O3785" s="31">
        <v>316</v>
      </c>
      <c r="P3785" s="31"/>
      <c r="Q3785" s="31"/>
      <c r="R3785" s="33"/>
      <c r="S3785" s="34" t="str">
        <f>HYPERLINK("http://www.cnpol.ru/covers/18233.jpg","фото на сайте")</f>
        <v>фото на сайте</v>
      </c>
    </row>
    <row r="3786" spans="1:19" ht="50.1" customHeight="1">
      <c r="A3786" s="31"/>
      <c r="B3786" s="32" t="s">
        <v>14123</v>
      </c>
      <c r="C3786" s="31" t="s">
        <v>37</v>
      </c>
      <c r="D3786" s="31" t="s">
        <v>14124</v>
      </c>
      <c r="E3786" s="31" t="s">
        <v>14125</v>
      </c>
      <c r="F3786" s="31" t="s">
        <v>31</v>
      </c>
      <c r="G3786" s="31">
        <v>559</v>
      </c>
      <c r="H3786" s="31">
        <v>10</v>
      </c>
      <c r="I3786" s="31">
        <v>10</v>
      </c>
      <c r="J3786" s="31" t="s">
        <v>14126</v>
      </c>
      <c r="K3786" s="31" t="s">
        <v>33</v>
      </c>
      <c r="L3786" s="31" t="s">
        <v>34</v>
      </c>
      <c r="M3786" s="31">
        <v>416</v>
      </c>
      <c r="N3786" s="31">
        <v>2017</v>
      </c>
      <c r="O3786" s="31">
        <v>214</v>
      </c>
      <c r="P3786" s="31"/>
      <c r="Q3786" s="31"/>
      <c r="R3786" s="33"/>
      <c r="S3786" s="34" t="str">
        <f>HYPERLINK("http://www.cnpol.ru/covers/17800.jpg","фото на сайте")</f>
        <v>фото на сайте</v>
      </c>
    </row>
    <row r="3787" spans="1:19" ht="50.1" customHeight="1">
      <c r="A3787" s="31" t="s">
        <v>35</v>
      </c>
      <c r="B3787" s="32" t="s">
        <v>14127</v>
      </c>
      <c r="C3787" s="31" t="s">
        <v>1016</v>
      </c>
      <c r="D3787" s="31" t="s">
        <v>14128</v>
      </c>
      <c r="E3787" s="31" t="s">
        <v>14129</v>
      </c>
      <c r="F3787" s="31" t="s">
        <v>31</v>
      </c>
      <c r="G3787" s="31">
        <v>966</v>
      </c>
      <c r="H3787" s="31">
        <v>10</v>
      </c>
      <c r="I3787" s="31">
        <v>6</v>
      </c>
      <c r="J3787" s="31" t="s">
        <v>14130</v>
      </c>
      <c r="K3787" s="31" t="s">
        <v>33</v>
      </c>
      <c r="L3787" s="31" t="s">
        <v>34</v>
      </c>
      <c r="M3787" s="31">
        <v>318</v>
      </c>
      <c r="N3787" s="31">
        <v>2025</v>
      </c>
      <c r="O3787" s="31">
        <v>280</v>
      </c>
      <c r="P3787" s="31"/>
      <c r="Q3787" s="31"/>
      <c r="R3787" s="33" t="s">
        <v>14131</v>
      </c>
      <c r="S3787" s="34" t="str">
        <f>HYPERLINK("http://www.cnpol.ru/covers/21611.jpg","фото на сайте")</f>
        <v>фото на сайте</v>
      </c>
    </row>
    <row r="3788" spans="1:19" ht="50.1" customHeight="1">
      <c r="A3788" s="31"/>
      <c r="B3788" s="32" t="s">
        <v>14132</v>
      </c>
      <c r="C3788" s="31" t="s">
        <v>7025</v>
      </c>
      <c r="D3788" s="31" t="s">
        <v>614</v>
      </c>
      <c r="E3788" s="31" t="s">
        <v>14133</v>
      </c>
      <c r="F3788" s="31" t="s">
        <v>31</v>
      </c>
      <c r="G3788" s="31">
        <v>284</v>
      </c>
      <c r="H3788" s="31">
        <v>10</v>
      </c>
      <c r="I3788" s="31">
        <v>24</v>
      </c>
      <c r="J3788" s="31" t="s">
        <v>14134</v>
      </c>
      <c r="K3788" s="31" t="s">
        <v>123</v>
      </c>
      <c r="L3788" s="31" t="s">
        <v>56</v>
      </c>
      <c r="M3788" s="31">
        <v>478</v>
      </c>
      <c r="N3788" s="31">
        <v>2015</v>
      </c>
      <c r="O3788" s="31">
        <v>218</v>
      </c>
      <c r="P3788" s="31"/>
      <c r="Q3788" s="31"/>
      <c r="R3788" s="33"/>
      <c r="S3788" s="34" t="str">
        <f>HYPERLINK("http://www.cnpol.ru/covers/16113.jpg","фото на сайте")</f>
        <v>фото на сайте</v>
      </c>
    </row>
    <row r="3789" spans="1:19" ht="50.1" customHeight="1">
      <c r="A3789" s="31"/>
      <c r="B3789" s="32" t="s">
        <v>14135</v>
      </c>
      <c r="C3789" s="31" t="s">
        <v>1050</v>
      </c>
      <c r="D3789" s="31" t="s">
        <v>14136</v>
      </c>
      <c r="E3789" s="31" t="s">
        <v>14137</v>
      </c>
      <c r="F3789" s="31" t="s">
        <v>31</v>
      </c>
      <c r="G3789" s="31">
        <v>386</v>
      </c>
      <c r="H3789" s="31">
        <v>10</v>
      </c>
      <c r="I3789" s="31">
        <v>20</v>
      </c>
      <c r="J3789" s="31" t="s">
        <v>14138</v>
      </c>
      <c r="K3789" s="31" t="s">
        <v>33</v>
      </c>
      <c r="L3789" s="31" t="s">
        <v>210</v>
      </c>
      <c r="M3789" s="31">
        <v>256</v>
      </c>
      <c r="N3789" s="31">
        <v>2018</v>
      </c>
      <c r="O3789" s="31">
        <v>206</v>
      </c>
      <c r="P3789" s="31"/>
      <c r="Q3789" s="31"/>
      <c r="R3789" s="33"/>
      <c r="S3789" s="34" t="str">
        <f>HYPERLINK("http://www.cnpol.ru/covers/18419.jpg","фото на сайте")</f>
        <v>фото на сайте</v>
      </c>
    </row>
    <row r="3790" spans="1:19" ht="50.1" customHeight="1">
      <c r="A3790" s="31" t="s">
        <v>35</v>
      </c>
      <c r="B3790" s="32" t="s">
        <v>14139</v>
      </c>
      <c r="C3790" s="31" t="s">
        <v>37</v>
      </c>
      <c r="D3790" s="31" t="s">
        <v>770</v>
      </c>
      <c r="E3790" s="31" t="s">
        <v>14140</v>
      </c>
      <c r="F3790" s="31" t="s">
        <v>31</v>
      </c>
      <c r="G3790" s="31">
        <v>733</v>
      </c>
      <c r="H3790" s="31">
        <v>10</v>
      </c>
      <c r="I3790" s="31">
        <v>10</v>
      </c>
      <c r="J3790" s="31" t="s">
        <v>14141</v>
      </c>
      <c r="K3790" s="31" t="s">
        <v>33</v>
      </c>
      <c r="L3790" s="31" t="s">
        <v>34</v>
      </c>
      <c r="M3790" s="31">
        <v>220</v>
      </c>
      <c r="N3790" s="31">
        <v>2025</v>
      </c>
      <c r="O3790" s="31" t="s">
        <v>220</v>
      </c>
      <c r="P3790" s="31"/>
      <c r="Q3790" s="31"/>
      <c r="R3790" s="33" t="s">
        <v>14142</v>
      </c>
      <c r="S3790" s="34" t="str">
        <f>HYPERLINK("http://www.cnpol.ru/covers/21847.jpg","фото на сайте")</f>
        <v>фото на сайте</v>
      </c>
    </row>
    <row r="3791" spans="1:19" ht="50.1" customHeight="1">
      <c r="A3791" s="31" t="s">
        <v>43</v>
      </c>
      <c r="B3791" s="32" t="s">
        <v>14143</v>
      </c>
      <c r="C3791" s="31" t="s">
        <v>143</v>
      </c>
      <c r="D3791" s="31" t="s">
        <v>14144</v>
      </c>
      <c r="E3791" s="31" t="s">
        <v>14145</v>
      </c>
      <c r="F3791" s="31" t="s">
        <v>31</v>
      </c>
      <c r="G3791" s="35">
        <v>1235</v>
      </c>
      <c r="H3791" s="31">
        <v>10</v>
      </c>
      <c r="I3791" s="31">
        <v>8</v>
      </c>
      <c r="J3791" s="31" t="s">
        <v>14146</v>
      </c>
      <c r="K3791" s="31" t="s">
        <v>33</v>
      </c>
      <c r="L3791" s="31" t="s">
        <v>34</v>
      </c>
      <c r="M3791" s="31">
        <v>511</v>
      </c>
      <c r="N3791" s="31">
        <v>2024</v>
      </c>
      <c r="O3791" s="31">
        <v>525</v>
      </c>
      <c r="P3791" s="31"/>
      <c r="Q3791" s="31"/>
      <c r="R3791" s="33" t="s">
        <v>14147</v>
      </c>
      <c r="S3791" s="34" t="str">
        <f>HYPERLINK("http://www.cnpol.ru/covers/21219.jpg","фото на сайте")</f>
        <v>фото на сайте</v>
      </c>
    </row>
    <row r="3792" spans="1:19" ht="50.1" customHeight="1">
      <c r="A3792" s="31"/>
      <c r="B3792" s="32" t="s">
        <v>14148</v>
      </c>
      <c r="C3792" s="31" t="s">
        <v>1721</v>
      </c>
      <c r="D3792" s="31" t="s">
        <v>1722</v>
      </c>
      <c r="E3792" s="31" t="s">
        <v>14149</v>
      </c>
      <c r="F3792" s="31" t="s">
        <v>31</v>
      </c>
      <c r="G3792" s="31">
        <v>119</v>
      </c>
      <c r="H3792" s="31">
        <v>10</v>
      </c>
      <c r="I3792" s="31">
        <v>52</v>
      </c>
      <c r="J3792" s="31" t="s">
        <v>14150</v>
      </c>
      <c r="K3792" s="31" t="s">
        <v>1725</v>
      </c>
      <c r="L3792" s="31" t="s">
        <v>1726</v>
      </c>
      <c r="M3792" s="31">
        <v>14</v>
      </c>
      <c r="N3792" s="31">
        <v>2005</v>
      </c>
      <c r="O3792" s="31">
        <v>122</v>
      </c>
      <c r="P3792" s="31"/>
      <c r="Q3792" s="31"/>
      <c r="R3792" s="33"/>
      <c r="S3792" s="34" t="str">
        <f>HYPERLINK("http://www.cnpol.ru/covers/5998.jpg","фото на сайте")</f>
        <v>фото на сайте</v>
      </c>
    </row>
    <row r="3793" spans="1:19" ht="50.1" customHeight="1">
      <c r="A3793" s="31"/>
      <c r="B3793" s="32" t="s">
        <v>14151</v>
      </c>
      <c r="C3793" s="31" t="s">
        <v>1247</v>
      </c>
      <c r="D3793" s="31" t="s">
        <v>1248</v>
      </c>
      <c r="E3793" s="31" t="s">
        <v>14152</v>
      </c>
      <c r="F3793" s="31" t="s">
        <v>31</v>
      </c>
      <c r="G3793" s="31">
        <v>112</v>
      </c>
      <c r="H3793" s="31">
        <v>10</v>
      </c>
      <c r="I3793" s="31">
        <v>60</v>
      </c>
      <c r="J3793" s="31" t="s">
        <v>14153</v>
      </c>
      <c r="K3793" s="31" t="s">
        <v>123</v>
      </c>
      <c r="L3793" s="31" t="s">
        <v>56</v>
      </c>
      <c r="M3793" s="31">
        <v>128</v>
      </c>
      <c r="N3793" s="31">
        <v>2016</v>
      </c>
      <c r="O3793" s="31">
        <v>62</v>
      </c>
      <c r="P3793" s="31"/>
      <c r="Q3793" s="31"/>
      <c r="R3793" s="33"/>
      <c r="S3793" s="34" t="str">
        <f>HYPERLINK("http://www.cnpol.ru/covers/16620.jpg","фото на сайте")</f>
        <v>фото на сайте</v>
      </c>
    </row>
    <row r="3794" spans="1:19" ht="50.1" customHeight="1">
      <c r="A3794" s="31"/>
      <c r="B3794" s="32" t="s">
        <v>14154</v>
      </c>
      <c r="C3794" s="31" t="s">
        <v>390</v>
      </c>
      <c r="D3794" s="31" t="s">
        <v>2106</v>
      </c>
      <c r="E3794" s="31" t="s">
        <v>14155</v>
      </c>
      <c r="F3794" s="31">
        <v>751</v>
      </c>
      <c r="G3794" s="31">
        <v>86</v>
      </c>
      <c r="H3794" s="31">
        <v>10</v>
      </c>
      <c r="I3794" s="31">
        <v>30</v>
      </c>
      <c r="J3794" s="31" t="s">
        <v>14156</v>
      </c>
      <c r="K3794" s="31" t="s">
        <v>123</v>
      </c>
      <c r="L3794" s="31" t="s">
        <v>56</v>
      </c>
      <c r="M3794" s="31">
        <v>160</v>
      </c>
      <c r="N3794" s="31">
        <v>2017</v>
      </c>
      <c r="O3794" s="31">
        <v>76</v>
      </c>
      <c r="P3794" s="31"/>
      <c r="Q3794" s="31"/>
      <c r="R3794" s="33"/>
      <c r="S3794" s="34" t="str">
        <f>HYPERLINK("http://www.cnpol.ru/covers/17680.jpg","фото на сайте")</f>
        <v>фото на сайте</v>
      </c>
    </row>
    <row r="3795" spans="1:19" ht="50.1" customHeight="1">
      <c r="A3795" s="31"/>
      <c r="B3795" s="32" t="s">
        <v>14157</v>
      </c>
      <c r="C3795" s="31" t="s">
        <v>28</v>
      </c>
      <c r="D3795" s="31" t="s">
        <v>1201</v>
      </c>
      <c r="E3795" s="31" t="s">
        <v>14158</v>
      </c>
      <c r="F3795" s="31" t="s">
        <v>31</v>
      </c>
      <c r="G3795" s="31">
        <v>575</v>
      </c>
      <c r="H3795" s="31">
        <v>10</v>
      </c>
      <c r="I3795" s="31">
        <v>16</v>
      </c>
      <c r="J3795" s="31" t="s">
        <v>14159</v>
      </c>
      <c r="K3795" s="31" t="s">
        <v>33</v>
      </c>
      <c r="L3795" s="31" t="s">
        <v>34</v>
      </c>
      <c r="M3795" s="31">
        <v>352</v>
      </c>
      <c r="N3795" s="31">
        <v>2018</v>
      </c>
      <c r="O3795" s="31">
        <v>370</v>
      </c>
      <c r="P3795" s="31"/>
      <c r="Q3795" s="31"/>
      <c r="R3795" s="33"/>
      <c r="S3795" s="34" t="str">
        <f>HYPERLINK("http://www.cnpol.ru/covers/18338.jpg","фото на сайте")</f>
        <v>фото на сайте</v>
      </c>
    </row>
    <row r="3796" spans="1:19" ht="50.1" customHeight="1">
      <c r="A3796" s="31"/>
      <c r="B3796" s="32" t="s">
        <v>14160</v>
      </c>
      <c r="C3796" s="31" t="s">
        <v>14161</v>
      </c>
      <c r="D3796" s="31" t="s">
        <v>14162</v>
      </c>
      <c r="E3796" s="31" t="s">
        <v>14163</v>
      </c>
      <c r="F3796" s="31" t="s">
        <v>31</v>
      </c>
      <c r="G3796" s="31">
        <v>254</v>
      </c>
      <c r="H3796" s="31">
        <v>10</v>
      </c>
      <c r="I3796" s="31">
        <v>10</v>
      </c>
      <c r="J3796" s="31" t="s">
        <v>14164</v>
      </c>
      <c r="K3796" s="31" t="s">
        <v>2231</v>
      </c>
      <c r="L3796" s="31" t="s">
        <v>34</v>
      </c>
      <c r="M3796" s="31">
        <v>511</v>
      </c>
      <c r="N3796" s="31">
        <v>2002</v>
      </c>
      <c r="O3796" s="31">
        <v>426</v>
      </c>
      <c r="P3796" s="31"/>
      <c r="Q3796" s="31"/>
      <c r="R3796" s="33"/>
      <c r="S3796" s="34" t="str">
        <f>HYPERLINK("http://www.cnpol.ru/covers/3241.jpg","фото на сайте")</f>
        <v>фото на сайте</v>
      </c>
    </row>
    <row r="3797" spans="1:19" ht="50.1" customHeight="1">
      <c r="A3797" s="31" t="s">
        <v>35</v>
      </c>
      <c r="B3797" s="32" t="s">
        <v>14165</v>
      </c>
      <c r="C3797" s="31" t="s">
        <v>143</v>
      </c>
      <c r="D3797" s="31" t="s">
        <v>14166</v>
      </c>
      <c r="E3797" s="31" t="s">
        <v>14167</v>
      </c>
      <c r="F3797" s="31" t="s">
        <v>31</v>
      </c>
      <c r="G3797" s="31">
        <v>698</v>
      </c>
      <c r="H3797" s="31">
        <v>10</v>
      </c>
      <c r="I3797" s="31">
        <v>18</v>
      </c>
      <c r="J3797" s="31" t="s">
        <v>14168</v>
      </c>
      <c r="K3797" s="31" t="s">
        <v>33</v>
      </c>
      <c r="L3797" s="31" t="s">
        <v>34</v>
      </c>
      <c r="M3797" s="31">
        <v>191</v>
      </c>
      <c r="N3797" s="31">
        <v>2024</v>
      </c>
      <c r="O3797" s="31">
        <v>231</v>
      </c>
      <c r="P3797" s="31"/>
      <c r="Q3797" s="31"/>
      <c r="R3797" s="33" t="s">
        <v>14169</v>
      </c>
      <c r="S3797" s="34" t="str">
        <f>HYPERLINK("http://www.cnpol.ru/covers/21367.jpg","фото на сайте")</f>
        <v>фото на сайте</v>
      </c>
    </row>
    <row r="3798" spans="1:19" ht="50.1" customHeight="1">
      <c r="A3798" s="31"/>
      <c r="B3798" s="32" t="s">
        <v>14170</v>
      </c>
      <c r="C3798" s="31" t="s">
        <v>37</v>
      </c>
      <c r="D3798" s="31" t="s">
        <v>14171</v>
      </c>
      <c r="E3798" s="31" t="s">
        <v>14172</v>
      </c>
      <c r="F3798" s="31" t="s">
        <v>31</v>
      </c>
      <c r="G3798" s="31">
        <v>539</v>
      </c>
      <c r="H3798" s="31">
        <v>10</v>
      </c>
      <c r="I3798" s="31">
        <v>12</v>
      </c>
      <c r="J3798" s="31" t="s">
        <v>14173</v>
      </c>
      <c r="K3798" s="31" t="s">
        <v>33</v>
      </c>
      <c r="L3798" s="31" t="s">
        <v>34</v>
      </c>
      <c r="M3798" s="31">
        <v>383</v>
      </c>
      <c r="N3798" s="31">
        <v>2021</v>
      </c>
      <c r="O3798" s="31">
        <v>382</v>
      </c>
      <c r="P3798" s="31"/>
      <c r="Q3798" s="31"/>
      <c r="R3798" s="33"/>
      <c r="S3798" s="34" t="str">
        <f>HYPERLINK("http://www.cnpol.ru/covers/19884.jpg","фото на сайте")</f>
        <v>фото на сайте</v>
      </c>
    </row>
    <row r="3799" spans="1:19" ht="50.1" customHeight="1">
      <c r="A3799" s="31" t="s">
        <v>35</v>
      </c>
      <c r="B3799" s="32" t="s">
        <v>14174</v>
      </c>
      <c r="C3799" s="31" t="s">
        <v>779</v>
      </c>
      <c r="D3799" s="31" t="s">
        <v>11778</v>
      </c>
      <c r="E3799" s="31" t="s">
        <v>14175</v>
      </c>
      <c r="F3799" s="31" t="s">
        <v>31</v>
      </c>
      <c r="G3799" s="31">
        <v>844</v>
      </c>
      <c r="H3799" s="31">
        <v>10</v>
      </c>
      <c r="I3799" s="31">
        <v>14</v>
      </c>
      <c r="J3799" s="31" t="s">
        <v>14176</v>
      </c>
      <c r="K3799" s="31" t="s">
        <v>33</v>
      </c>
      <c r="L3799" s="31" t="s">
        <v>34</v>
      </c>
      <c r="M3799" s="31">
        <v>260</v>
      </c>
      <c r="N3799" s="31">
        <v>2024</v>
      </c>
      <c r="O3799" s="31">
        <v>241</v>
      </c>
      <c r="P3799" s="31"/>
      <c r="Q3799" s="31"/>
      <c r="R3799" s="33" t="s">
        <v>14177</v>
      </c>
      <c r="S3799" s="34" t="str">
        <f>HYPERLINK("http://www.cnpol.ru/covers/21311.jpg","фото на сайте")</f>
        <v>фото на сайте</v>
      </c>
    </row>
    <row r="3800" spans="1:19" ht="50.1" customHeight="1">
      <c r="A3800" s="31" t="s">
        <v>35</v>
      </c>
      <c r="B3800" s="32" t="s">
        <v>14178</v>
      </c>
      <c r="C3800" s="31" t="s">
        <v>779</v>
      </c>
      <c r="D3800" s="31" t="s">
        <v>14179</v>
      </c>
      <c r="E3800" s="31" t="s">
        <v>14180</v>
      </c>
      <c r="F3800" s="31" t="s">
        <v>31</v>
      </c>
      <c r="G3800" s="31">
        <v>807</v>
      </c>
      <c r="H3800" s="31">
        <v>10</v>
      </c>
      <c r="I3800" s="31">
        <v>10</v>
      </c>
      <c r="J3800" s="31" t="s">
        <v>14181</v>
      </c>
      <c r="K3800" s="31" t="s">
        <v>33</v>
      </c>
      <c r="L3800" s="31" t="s">
        <v>34</v>
      </c>
      <c r="M3800" s="31">
        <v>238</v>
      </c>
      <c r="N3800" s="31">
        <v>2025</v>
      </c>
      <c r="O3800" s="31" t="s">
        <v>220</v>
      </c>
      <c r="P3800" s="31"/>
      <c r="Q3800" s="31"/>
      <c r="R3800" s="33" t="s">
        <v>14182</v>
      </c>
      <c r="S3800" s="34" t="str">
        <f>HYPERLINK("http://www.cnpol.ru/covers/21860.jpg","фото на сайте")</f>
        <v>фото на сайте</v>
      </c>
    </row>
    <row r="3801" spans="1:19" ht="50.1" customHeight="1">
      <c r="A3801" s="31"/>
      <c r="B3801" s="32" t="s">
        <v>14183</v>
      </c>
      <c r="C3801" s="31" t="s">
        <v>2233</v>
      </c>
      <c r="D3801" s="31" t="s">
        <v>4957</v>
      </c>
      <c r="E3801" s="31" t="s">
        <v>14184</v>
      </c>
      <c r="F3801" s="31" t="s">
        <v>31</v>
      </c>
      <c r="G3801" s="31">
        <v>137</v>
      </c>
      <c r="H3801" s="31">
        <v>10</v>
      </c>
      <c r="I3801" s="31">
        <v>24</v>
      </c>
      <c r="J3801" s="31" t="s">
        <v>14185</v>
      </c>
      <c r="K3801" s="31" t="s">
        <v>55</v>
      </c>
      <c r="L3801" s="31" t="s">
        <v>56</v>
      </c>
      <c r="M3801" s="31">
        <v>335</v>
      </c>
      <c r="N3801" s="31">
        <v>2008</v>
      </c>
      <c r="O3801" s="31">
        <v>142</v>
      </c>
      <c r="P3801" s="31"/>
      <c r="Q3801" s="31"/>
      <c r="R3801" s="33"/>
      <c r="S3801" s="34" t="str">
        <f>HYPERLINK("http://www.cnpol.ru/covers/10752.jpg","фото на сайте")</f>
        <v>фото на сайте</v>
      </c>
    </row>
    <row r="3802" spans="1:19" ht="50.1" customHeight="1">
      <c r="A3802" s="31"/>
      <c r="B3802" s="32" t="s">
        <v>14186</v>
      </c>
      <c r="C3802" s="31" t="s">
        <v>3209</v>
      </c>
      <c r="D3802" s="31" t="s">
        <v>14187</v>
      </c>
      <c r="E3802" s="31" t="s">
        <v>14188</v>
      </c>
      <c r="F3802" s="31" t="s">
        <v>31</v>
      </c>
      <c r="G3802" s="31">
        <v>522</v>
      </c>
      <c r="H3802" s="31">
        <v>10</v>
      </c>
      <c r="I3802" s="31">
        <v>8</v>
      </c>
      <c r="J3802" s="31" t="s">
        <v>14189</v>
      </c>
      <c r="K3802" s="31" t="s">
        <v>33</v>
      </c>
      <c r="L3802" s="31" t="s">
        <v>34</v>
      </c>
      <c r="M3802" s="31">
        <v>477</v>
      </c>
      <c r="N3802" s="31">
        <v>2013</v>
      </c>
      <c r="O3802" s="31">
        <v>366</v>
      </c>
      <c r="P3802" s="31"/>
      <c r="Q3802" s="31"/>
      <c r="R3802" s="33"/>
      <c r="S3802" s="34" t="str">
        <f>HYPERLINK("http://www.cnpol.ru/covers/14368.jpg","фото на сайте")</f>
        <v>фото на сайте</v>
      </c>
    </row>
    <row r="3803" spans="1:19" ht="50.1" customHeight="1">
      <c r="A3803" s="31" t="s">
        <v>35</v>
      </c>
      <c r="B3803" s="32" t="s">
        <v>14190</v>
      </c>
      <c r="C3803" s="31" t="s">
        <v>779</v>
      </c>
      <c r="D3803" s="31" t="s">
        <v>780</v>
      </c>
      <c r="E3803" s="31" t="s">
        <v>14191</v>
      </c>
      <c r="F3803" s="31" t="s">
        <v>31</v>
      </c>
      <c r="G3803" s="31">
        <v>820</v>
      </c>
      <c r="H3803" s="31">
        <v>10</v>
      </c>
      <c r="I3803" s="31">
        <v>18</v>
      </c>
      <c r="J3803" s="31" t="s">
        <v>14192</v>
      </c>
      <c r="K3803" s="31" t="s">
        <v>33</v>
      </c>
      <c r="L3803" s="31" t="s">
        <v>34</v>
      </c>
      <c r="M3803" s="31">
        <v>187</v>
      </c>
      <c r="N3803" s="31">
        <v>2025</v>
      </c>
      <c r="O3803" s="31">
        <v>250</v>
      </c>
      <c r="P3803" s="31"/>
      <c r="Q3803" s="31"/>
      <c r="R3803" s="33" t="s">
        <v>14193</v>
      </c>
      <c r="S3803" s="34" t="str">
        <f>HYPERLINK("http://www.cnpol.ru/covers/21682.jpg","фото на сайте")</f>
        <v>фото на сайте</v>
      </c>
    </row>
    <row r="3804" spans="1:19" ht="50.1" customHeight="1">
      <c r="A3804" s="31" t="s">
        <v>35</v>
      </c>
      <c r="B3804" s="32" t="s">
        <v>14194</v>
      </c>
      <c r="C3804" s="31" t="s">
        <v>779</v>
      </c>
      <c r="D3804" s="31" t="s">
        <v>780</v>
      </c>
      <c r="E3804" s="31" t="s">
        <v>14195</v>
      </c>
      <c r="F3804" s="31" t="s">
        <v>31</v>
      </c>
      <c r="G3804" s="31">
        <v>729</v>
      </c>
      <c r="H3804" s="31">
        <v>10</v>
      </c>
      <c r="I3804" s="31">
        <v>10</v>
      </c>
      <c r="J3804" s="31" t="s">
        <v>14196</v>
      </c>
      <c r="K3804" s="31" t="s">
        <v>33</v>
      </c>
      <c r="L3804" s="31" t="s">
        <v>34</v>
      </c>
      <c r="M3804" s="31">
        <v>206</v>
      </c>
      <c r="N3804" s="31">
        <v>2025</v>
      </c>
      <c r="O3804" s="31">
        <v>273</v>
      </c>
      <c r="P3804" s="31"/>
      <c r="Q3804" s="31"/>
      <c r="R3804" s="33" t="s">
        <v>14197</v>
      </c>
      <c r="S3804" s="34" t="str">
        <f>HYPERLINK("http://www.cnpol.ru/covers/21742.jpg","фото на сайте")</f>
        <v>фото на сайте</v>
      </c>
    </row>
    <row r="3805" spans="1:19" ht="50.1" customHeight="1">
      <c r="A3805" s="31"/>
      <c r="B3805" s="32" t="s">
        <v>14198</v>
      </c>
      <c r="C3805" s="31" t="s">
        <v>418</v>
      </c>
      <c r="D3805" s="31" t="s">
        <v>14199</v>
      </c>
      <c r="E3805" s="31" t="s">
        <v>14200</v>
      </c>
      <c r="F3805" s="31">
        <v>119</v>
      </c>
      <c r="G3805" s="31">
        <v>153</v>
      </c>
      <c r="H3805" s="31">
        <v>10</v>
      </c>
      <c r="I3805" s="31">
        <v>18</v>
      </c>
      <c r="J3805" s="31" t="s">
        <v>14201</v>
      </c>
      <c r="K3805" s="31" t="s">
        <v>123</v>
      </c>
      <c r="L3805" s="31" t="s">
        <v>56</v>
      </c>
      <c r="M3805" s="31">
        <v>255</v>
      </c>
      <c r="N3805" s="31">
        <v>2022</v>
      </c>
      <c r="O3805" s="31">
        <v>120</v>
      </c>
      <c r="P3805" s="31"/>
      <c r="Q3805" s="31"/>
      <c r="R3805" s="33"/>
      <c r="S3805" s="34" t="str">
        <f>HYPERLINK("http://www.cnpol.ru/covers/20222.jpg","фото на сайте")</f>
        <v>фото на сайте</v>
      </c>
    </row>
    <row r="3806" spans="1:19" ht="50.1" customHeight="1">
      <c r="A3806" s="31"/>
      <c r="B3806" s="32" t="s">
        <v>14202</v>
      </c>
      <c r="C3806" s="31" t="s">
        <v>3711</v>
      </c>
      <c r="D3806" s="31" t="s">
        <v>14203</v>
      </c>
      <c r="E3806" s="31" t="s">
        <v>14204</v>
      </c>
      <c r="F3806" s="31" t="s">
        <v>31</v>
      </c>
      <c r="G3806" s="31">
        <v>461</v>
      </c>
      <c r="H3806" s="31">
        <v>10</v>
      </c>
      <c r="I3806" s="31">
        <v>18</v>
      </c>
      <c r="J3806" s="31" t="s">
        <v>14205</v>
      </c>
      <c r="K3806" s="31" t="s">
        <v>33</v>
      </c>
      <c r="L3806" s="31" t="s">
        <v>34</v>
      </c>
      <c r="M3806" s="31">
        <v>188</v>
      </c>
      <c r="N3806" s="31">
        <v>2008</v>
      </c>
      <c r="O3806" s="31">
        <v>200</v>
      </c>
      <c r="P3806" s="31"/>
      <c r="Q3806" s="31"/>
      <c r="R3806" s="33"/>
      <c r="S3806" s="34" t="str">
        <f>HYPERLINK("http://www.cnpol.ru/covers/10927.jpg","фото на сайте")</f>
        <v>фото на сайте</v>
      </c>
    </row>
    <row r="3807" spans="1:19" ht="50.1" customHeight="1">
      <c r="A3807" s="31"/>
      <c r="B3807" s="32" t="s">
        <v>14206</v>
      </c>
      <c r="C3807" s="31" t="s">
        <v>1877</v>
      </c>
      <c r="D3807" s="31" t="s">
        <v>7754</v>
      </c>
      <c r="E3807" s="31" t="s">
        <v>14207</v>
      </c>
      <c r="F3807" s="31" t="s">
        <v>31</v>
      </c>
      <c r="G3807" s="31">
        <v>880</v>
      </c>
      <c r="H3807" s="31">
        <v>10</v>
      </c>
      <c r="I3807" s="31">
        <v>14</v>
      </c>
      <c r="J3807" s="31" t="s">
        <v>14208</v>
      </c>
      <c r="K3807" s="31" t="s">
        <v>33</v>
      </c>
      <c r="L3807" s="31" t="s">
        <v>34</v>
      </c>
      <c r="M3807" s="31">
        <v>416</v>
      </c>
      <c r="N3807" s="31">
        <v>2016</v>
      </c>
      <c r="O3807" s="31">
        <v>438</v>
      </c>
      <c r="P3807" s="31"/>
      <c r="Q3807" s="31"/>
      <c r="R3807" s="33"/>
      <c r="S3807" s="34" t="str">
        <f>HYPERLINK("http://www.cnpol.ru/covers/16837.jpg","фото на сайте")</f>
        <v>фото на сайте</v>
      </c>
    </row>
    <row r="3808" spans="1:19" ht="50.1" customHeight="1">
      <c r="A3808" s="31"/>
      <c r="B3808" s="32" t="s">
        <v>14209</v>
      </c>
      <c r="C3808" s="31" t="s">
        <v>479</v>
      </c>
      <c r="D3808" s="31" t="s">
        <v>7754</v>
      </c>
      <c r="E3808" s="31" t="s">
        <v>14207</v>
      </c>
      <c r="F3808" s="31" t="s">
        <v>31</v>
      </c>
      <c r="G3808" s="31">
        <v>880</v>
      </c>
      <c r="H3808" s="31">
        <v>10</v>
      </c>
      <c r="I3808" s="31">
        <v>14</v>
      </c>
      <c r="J3808" s="31" t="s">
        <v>14210</v>
      </c>
      <c r="K3808" s="31" t="s">
        <v>33</v>
      </c>
      <c r="L3808" s="31" t="s">
        <v>34</v>
      </c>
      <c r="M3808" s="31">
        <v>416</v>
      </c>
      <c r="N3808" s="31">
        <v>2016</v>
      </c>
      <c r="O3808" s="31">
        <v>438</v>
      </c>
      <c r="P3808" s="31"/>
      <c r="Q3808" s="31"/>
      <c r="R3808" s="33"/>
      <c r="S3808" s="34" t="str">
        <f>HYPERLINK("http://www.cnpol.ru/covers/16838.jpg","фото на сайте")</f>
        <v>фото на сайте</v>
      </c>
    </row>
    <row r="3809" spans="1:19" ht="50.1" customHeight="1">
      <c r="A3809" s="31"/>
      <c r="B3809" s="32" t="s">
        <v>14211</v>
      </c>
      <c r="C3809" s="31" t="s">
        <v>400</v>
      </c>
      <c r="D3809" s="31" t="s">
        <v>14212</v>
      </c>
      <c r="E3809" s="31" t="s">
        <v>14213</v>
      </c>
      <c r="F3809" s="31" t="s">
        <v>31</v>
      </c>
      <c r="G3809" s="31">
        <v>503</v>
      </c>
      <c r="H3809" s="31">
        <v>10</v>
      </c>
      <c r="I3809" s="31">
        <v>12</v>
      </c>
      <c r="J3809" s="31" t="s">
        <v>14214</v>
      </c>
      <c r="K3809" s="31" t="s">
        <v>33</v>
      </c>
      <c r="L3809" s="31" t="s">
        <v>34</v>
      </c>
      <c r="M3809" s="31">
        <v>352</v>
      </c>
      <c r="N3809" s="31">
        <v>2018</v>
      </c>
      <c r="O3809" s="31">
        <v>286</v>
      </c>
      <c r="P3809" s="31"/>
      <c r="Q3809" s="31"/>
      <c r="R3809" s="33"/>
      <c r="S3809" s="34" t="str">
        <f>HYPERLINK("http://www.cnpol.ru/covers/18081.jpg","фото на сайте")</f>
        <v>фото на сайте</v>
      </c>
    </row>
    <row r="3810" spans="1:19" ht="50.1" customHeight="1">
      <c r="A3810" s="31"/>
      <c r="B3810" s="32" t="s">
        <v>14215</v>
      </c>
      <c r="C3810" s="31" t="s">
        <v>385</v>
      </c>
      <c r="D3810" s="31" t="s">
        <v>386</v>
      </c>
      <c r="E3810" s="31" t="s">
        <v>14216</v>
      </c>
      <c r="F3810" s="31" t="s">
        <v>31</v>
      </c>
      <c r="G3810" s="31">
        <v>162</v>
      </c>
      <c r="H3810" s="31">
        <v>10</v>
      </c>
      <c r="I3810" s="31">
        <v>32</v>
      </c>
      <c r="J3810" s="31" t="s">
        <v>14217</v>
      </c>
      <c r="K3810" s="31" t="s">
        <v>55</v>
      </c>
      <c r="L3810" s="31" t="s">
        <v>56</v>
      </c>
      <c r="M3810" s="31">
        <v>272</v>
      </c>
      <c r="N3810" s="31">
        <v>2016</v>
      </c>
      <c r="O3810" s="31">
        <v>110</v>
      </c>
      <c r="P3810" s="31"/>
      <c r="Q3810" s="31"/>
      <c r="R3810" s="33"/>
      <c r="S3810" s="34" t="str">
        <f>HYPERLINK("http://www.cnpol.ru/covers/16917.jpg","фото на сайте")</f>
        <v>фото на сайте</v>
      </c>
    </row>
    <row r="3811" spans="1:19" ht="50.1" customHeight="1">
      <c r="A3811" s="31"/>
      <c r="B3811" s="32" t="s">
        <v>14218</v>
      </c>
      <c r="C3811" s="31" t="s">
        <v>390</v>
      </c>
      <c r="D3811" s="31" t="s">
        <v>2106</v>
      </c>
      <c r="E3811" s="31" t="s">
        <v>14219</v>
      </c>
      <c r="F3811" s="31">
        <v>904</v>
      </c>
      <c r="G3811" s="31">
        <v>86</v>
      </c>
      <c r="H3811" s="31">
        <v>10</v>
      </c>
      <c r="I3811" s="31">
        <v>30</v>
      </c>
      <c r="J3811" s="31" t="s">
        <v>14220</v>
      </c>
      <c r="K3811" s="31" t="s">
        <v>123</v>
      </c>
      <c r="L3811" s="31" t="s">
        <v>56</v>
      </c>
      <c r="M3811" s="31">
        <v>160</v>
      </c>
      <c r="N3811" s="31">
        <v>2019</v>
      </c>
      <c r="O3811" s="31">
        <v>76</v>
      </c>
      <c r="P3811" s="31"/>
      <c r="Q3811" s="31"/>
      <c r="R3811" s="33"/>
      <c r="S3811" s="34" t="str">
        <f>HYPERLINK("http://www.cnpol.ru/covers/18736.jpg","фото на сайте")</f>
        <v>фото на сайте</v>
      </c>
    </row>
    <row r="3812" spans="1:19" ht="50.1" customHeight="1">
      <c r="A3812" s="31"/>
      <c r="B3812" s="32" t="s">
        <v>14221</v>
      </c>
      <c r="C3812" s="31" t="s">
        <v>546</v>
      </c>
      <c r="D3812" s="31" t="s">
        <v>4615</v>
      </c>
      <c r="E3812" s="31" t="s">
        <v>14222</v>
      </c>
      <c r="F3812" s="31">
        <v>380</v>
      </c>
      <c r="G3812" s="31">
        <v>93</v>
      </c>
      <c r="H3812" s="31">
        <v>10</v>
      </c>
      <c r="I3812" s="31">
        <v>30</v>
      </c>
      <c r="J3812" s="31" t="s">
        <v>14223</v>
      </c>
      <c r="K3812" s="31" t="s">
        <v>123</v>
      </c>
      <c r="L3812" s="31" t="s">
        <v>56</v>
      </c>
      <c r="M3812" s="31">
        <v>160</v>
      </c>
      <c r="N3812" s="31">
        <v>2021</v>
      </c>
      <c r="O3812" s="31">
        <v>76</v>
      </c>
      <c r="P3812" s="31"/>
      <c r="Q3812" s="31"/>
      <c r="R3812" s="33"/>
      <c r="S3812" s="34" t="str">
        <f>HYPERLINK("http://www.cnpol.ru/covers/19737.jpg","фото на сайте")</f>
        <v>фото на сайте</v>
      </c>
    </row>
    <row r="3813" spans="1:19" ht="50.1" customHeight="1">
      <c r="A3813" s="31"/>
      <c r="B3813" s="32" t="s">
        <v>14224</v>
      </c>
      <c r="C3813" s="31" t="s">
        <v>390</v>
      </c>
      <c r="D3813" s="31" t="s">
        <v>5994</v>
      </c>
      <c r="E3813" s="31" t="s">
        <v>14225</v>
      </c>
      <c r="F3813" s="31">
        <v>822</v>
      </c>
      <c r="G3813" s="31">
        <v>86</v>
      </c>
      <c r="H3813" s="31">
        <v>10</v>
      </c>
      <c r="I3813" s="31">
        <v>30</v>
      </c>
      <c r="J3813" s="31" t="s">
        <v>14226</v>
      </c>
      <c r="K3813" s="31" t="s">
        <v>123</v>
      </c>
      <c r="L3813" s="31" t="s">
        <v>56</v>
      </c>
      <c r="M3813" s="31">
        <v>160</v>
      </c>
      <c r="N3813" s="31">
        <v>2018</v>
      </c>
      <c r="O3813" s="31">
        <v>76</v>
      </c>
      <c r="P3813" s="31"/>
      <c r="Q3813" s="31"/>
      <c r="R3813" s="33"/>
      <c r="S3813" s="34" t="str">
        <f>HYPERLINK("http://www.cnpol.ru/covers/18225.jpg","фото на сайте")</f>
        <v>фото на сайте</v>
      </c>
    </row>
    <row r="3814" spans="1:19" ht="50.1" customHeight="1">
      <c r="A3814" s="31" t="s">
        <v>43</v>
      </c>
      <c r="B3814" s="32" t="s">
        <v>14227</v>
      </c>
      <c r="C3814" s="31" t="s">
        <v>143</v>
      </c>
      <c r="D3814" s="31" t="s">
        <v>14228</v>
      </c>
      <c r="E3814" s="31" t="s">
        <v>14229</v>
      </c>
      <c r="F3814" s="31" t="s">
        <v>31</v>
      </c>
      <c r="G3814" s="35">
        <v>1009</v>
      </c>
      <c r="H3814" s="31">
        <v>10</v>
      </c>
      <c r="I3814" s="31">
        <v>8</v>
      </c>
      <c r="J3814" s="31" t="s">
        <v>14230</v>
      </c>
      <c r="K3814" s="31" t="s">
        <v>33</v>
      </c>
      <c r="L3814" s="31" t="s">
        <v>34</v>
      </c>
      <c r="M3814" s="31">
        <v>383</v>
      </c>
      <c r="N3814" s="31">
        <v>2025</v>
      </c>
      <c r="O3814" s="31">
        <v>277</v>
      </c>
      <c r="P3814" s="31"/>
      <c r="Q3814" s="31"/>
      <c r="R3814" s="33" t="s">
        <v>14231</v>
      </c>
      <c r="S3814" s="34" t="str">
        <f>HYPERLINK("http://www.cnpol.ru/covers/21584.jpg","фото на сайте")</f>
        <v>фото на сайте</v>
      </c>
    </row>
    <row r="3815" spans="1:19" ht="50.1" customHeight="1">
      <c r="A3815" s="31"/>
      <c r="B3815" s="32" t="s">
        <v>14232</v>
      </c>
      <c r="C3815" s="31" t="s">
        <v>6937</v>
      </c>
      <c r="D3815" s="31" t="s">
        <v>1004</v>
      </c>
      <c r="E3815" s="31" t="s">
        <v>14233</v>
      </c>
      <c r="F3815" s="31" t="s">
        <v>31</v>
      </c>
      <c r="G3815" s="31">
        <v>325</v>
      </c>
      <c r="H3815" s="31">
        <v>10</v>
      </c>
      <c r="I3815" s="31">
        <v>20</v>
      </c>
      <c r="J3815" s="31" t="s">
        <v>14234</v>
      </c>
      <c r="K3815" s="31" t="s">
        <v>33</v>
      </c>
      <c r="L3815" s="31" t="s">
        <v>34</v>
      </c>
      <c r="M3815" s="31">
        <v>256</v>
      </c>
      <c r="N3815" s="31">
        <v>2016</v>
      </c>
      <c r="O3815" s="31">
        <v>240</v>
      </c>
      <c r="P3815" s="31"/>
      <c r="Q3815" s="31"/>
      <c r="R3815" s="33"/>
      <c r="S3815" s="34" t="str">
        <f>HYPERLINK("http://www.cnpol.ru/covers/16727.jpg","фото на сайте")</f>
        <v>фото на сайте</v>
      </c>
    </row>
    <row r="3816" spans="1:19" ht="50.1" customHeight="1">
      <c r="A3816" s="31"/>
      <c r="B3816" s="32" t="s">
        <v>14235</v>
      </c>
      <c r="C3816" s="31" t="s">
        <v>1265</v>
      </c>
      <c r="D3816" s="31" t="s">
        <v>1266</v>
      </c>
      <c r="E3816" s="31" t="s">
        <v>14236</v>
      </c>
      <c r="F3816" s="31" t="s">
        <v>31</v>
      </c>
      <c r="G3816" s="31">
        <v>88</v>
      </c>
      <c r="H3816" s="31">
        <v>10</v>
      </c>
      <c r="I3816" s="31">
        <v>40</v>
      </c>
      <c r="J3816" s="31" t="s">
        <v>14237</v>
      </c>
      <c r="K3816" s="31" t="s">
        <v>123</v>
      </c>
      <c r="L3816" s="31" t="s">
        <v>56</v>
      </c>
      <c r="M3816" s="31">
        <v>125</v>
      </c>
      <c r="N3816" s="31">
        <v>2010</v>
      </c>
      <c r="O3816" s="31">
        <v>62</v>
      </c>
      <c r="P3816" s="31"/>
      <c r="Q3816" s="31"/>
      <c r="R3816" s="33"/>
      <c r="S3816" s="34" t="str">
        <f>HYPERLINK("http://www.cnpol.ru/covers/12044.jpg","фото на сайте")</f>
        <v>фото на сайте</v>
      </c>
    </row>
    <row r="3817" spans="1:19" ht="50.1" customHeight="1">
      <c r="A3817" s="31"/>
      <c r="B3817" s="32" t="s">
        <v>14238</v>
      </c>
      <c r="C3817" s="31" t="s">
        <v>1003</v>
      </c>
      <c r="D3817" s="31" t="s">
        <v>1004</v>
      </c>
      <c r="E3817" s="31" t="s">
        <v>14236</v>
      </c>
      <c r="F3817" s="31" t="s">
        <v>31</v>
      </c>
      <c r="G3817" s="31">
        <v>122</v>
      </c>
      <c r="H3817" s="31">
        <v>10</v>
      </c>
      <c r="I3817" s="31">
        <v>20</v>
      </c>
      <c r="J3817" s="31" t="s">
        <v>14239</v>
      </c>
      <c r="K3817" s="31" t="s">
        <v>123</v>
      </c>
      <c r="L3817" s="31" t="s">
        <v>56</v>
      </c>
      <c r="M3817" s="31">
        <v>128</v>
      </c>
      <c r="N3817" s="31">
        <v>2016</v>
      </c>
      <c r="O3817" s="31">
        <v>60</v>
      </c>
      <c r="P3817" s="31"/>
      <c r="Q3817" s="31"/>
      <c r="R3817" s="33"/>
      <c r="S3817" s="34" t="str">
        <f>HYPERLINK("http://www.cnpol.ru/covers/16676.jpg","фото на сайте")</f>
        <v>фото на сайте</v>
      </c>
    </row>
    <row r="3818" spans="1:19" ht="50.1" customHeight="1">
      <c r="A3818" s="31" t="s">
        <v>43</v>
      </c>
      <c r="B3818" s="32" t="s">
        <v>14240</v>
      </c>
      <c r="C3818" s="31" t="s">
        <v>37</v>
      </c>
      <c r="D3818" s="31" t="s">
        <v>14241</v>
      </c>
      <c r="E3818" s="31" t="s">
        <v>14242</v>
      </c>
      <c r="F3818" s="31" t="s">
        <v>31</v>
      </c>
      <c r="G3818" s="31">
        <v>758</v>
      </c>
      <c r="H3818" s="31">
        <v>10</v>
      </c>
      <c r="I3818" s="31">
        <v>14</v>
      </c>
      <c r="J3818" s="31" t="s">
        <v>14243</v>
      </c>
      <c r="K3818" s="31" t="s">
        <v>33</v>
      </c>
      <c r="L3818" s="31" t="s">
        <v>34</v>
      </c>
      <c r="M3818" s="31">
        <v>255</v>
      </c>
      <c r="N3818" s="31">
        <v>2024</v>
      </c>
      <c r="O3818" s="31">
        <v>222</v>
      </c>
      <c r="P3818" s="31"/>
      <c r="Q3818" s="31"/>
      <c r="R3818" s="33" t="s">
        <v>14244</v>
      </c>
      <c r="S3818" s="34" t="str">
        <f>HYPERLINK("http://www.cnpol.ru/covers/21267.jpg","фото на сайте")</f>
        <v>фото на сайте</v>
      </c>
    </row>
    <row r="3819" spans="1:19" ht="50.1" customHeight="1">
      <c r="A3819" s="31"/>
      <c r="B3819" s="32" t="s">
        <v>14245</v>
      </c>
      <c r="C3819" s="31" t="s">
        <v>37</v>
      </c>
      <c r="D3819" s="31" t="s">
        <v>1060</v>
      </c>
      <c r="E3819" s="31" t="s">
        <v>14246</v>
      </c>
      <c r="F3819" s="31" t="s">
        <v>31</v>
      </c>
      <c r="G3819" s="31">
        <v>468</v>
      </c>
      <c r="H3819" s="31">
        <v>10</v>
      </c>
      <c r="I3819" s="31">
        <v>12</v>
      </c>
      <c r="J3819" s="31" t="s">
        <v>14247</v>
      </c>
      <c r="K3819" s="31" t="s">
        <v>33</v>
      </c>
      <c r="L3819" s="31" t="s">
        <v>34</v>
      </c>
      <c r="M3819" s="31">
        <v>288</v>
      </c>
      <c r="N3819" s="31">
        <v>2020</v>
      </c>
      <c r="O3819" s="31">
        <v>260</v>
      </c>
      <c r="P3819" s="31"/>
      <c r="Q3819" s="31"/>
      <c r="R3819" s="33"/>
      <c r="S3819" s="34" t="str">
        <f>HYPERLINK("http://www.cnpol.ru/covers/19284.jpg","фото на сайте")</f>
        <v>фото на сайте</v>
      </c>
    </row>
    <row r="3820" spans="1:19" ht="50.1" customHeight="1">
      <c r="A3820" s="31"/>
      <c r="B3820" s="32" t="s">
        <v>14248</v>
      </c>
      <c r="C3820" s="31" t="s">
        <v>1247</v>
      </c>
      <c r="D3820" s="31" t="s">
        <v>1248</v>
      </c>
      <c r="E3820" s="31" t="s">
        <v>14249</v>
      </c>
      <c r="F3820" s="31" t="s">
        <v>31</v>
      </c>
      <c r="G3820" s="31">
        <v>112</v>
      </c>
      <c r="H3820" s="31">
        <v>10</v>
      </c>
      <c r="I3820" s="31">
        <v>40</v>
      </c>
      <c r="J3820" s="31" t="s">
        <v>14250</v>
      </c>
      <c r="K3820" s="31" t="s">
        <v>123</v>
      </c>
      <c r="L3820" s="31" t="s">
        <v>56</v>
      </c>
      <c r="M3820" s="31">
        <v>127</v>
      </c>
      <c r="N3820" s="31">
        <v>2008</v>
      </c>
      <c r="O3820" s="31" t="s">
        <v>220</v>
      </c>
      <c r="P3820" s="31"/>
      <c r="Q3820" s="31"/>
      <c r="R3820" s="33"/>
      <c r="S3820" s="34" t="str">
        <f>HYPERLINK("http://www.cnpol.ru/covers/10537.jpg","фото на сайте")</f>
        <v>фото на сайте</v>
      </c>
    </row>
    <row r="3821" spans="1:19" ht="50.1" customHeight="1">
      <c r="A3821" s="31"/>
      <c r="B3821" s="32" t="s">
        <v>14251</v>
      </c>
      <c r="C3821" s="31" t="s">
        <v>546</v>
      </c>
      <c r="D3821" s="31" t="s">
        <v>1427</v>
      </c>
      <c r="E3821" s="31" t="s">
        <v>14252</v>
      </c>
      <c r="F3821" s="31">
        <v>215</v>
      </c>
      <c r="G3821" s="31">
        <v>93</v>
      </c>
      <c r="H3821" s="31">
        <v>10</v>
      </c>
      <c r="I3821" s="31">
        <v>30</v>
      </c>
      <c r="J3821" s="31" t="s">
        <v>14253</v>
      </c>
      <c r="K3821" s="31" t="s">
        <v>123</v>
      </c>
      <c r="L3821" s="31" t="s">
        <v>56</v>
      </c>
      <c r="M3821" s="31">
        <v>160</v>
      </c>
      <c r="N3821" s="31">
        <v>2017</v>
      </c>
      <c r="O3821" s="31">
        <v>76</v>
      </c>
      <c r="P3821" s="31"/>
      <c r="Q3821" s="31"/>
      <c r="R3821" s="33"/>
      <c r="S3821" s="34" t="str">
        <f>HYPERLINK("http://www.cnpol.ru/covers/17437.jpg","фото на сайте")</f>
        <v>фото на сайте</v>
      </c>
    </row>
    <row r="3822" spans="1:19" ht="50.1" customHeight="1">
      <c r="A3822" s="31"/>
      <c r="B3822" s="32" t="s">
        <v>14254</v>
      </c>
      <c r="C3822" s="31" t="s">
        <v>413</v>
      </c>
      <c r="D3822" s="31" t="s">
        <v>1754</v>
      </c>
      <c r="E3822" s="31" t="s">
        <v>14255</v>
      </c>
      <c r="F3822" s="31">
        <v>189</v>
      </c>
      <c r="G3822" s="31">
        <v>117</v>
      </c>
      <c r="H3822" s="31">
        <v>10</v>
      </c>
      <c r="I3822" s="31">
        <v>20</v>
      </c>
      <c r="J3822" s="31" t="s">
        <v>14256</v>
      </c>
      <c r="K3822" s="31" t="s">
        <v>123</v>
      </c>
      <c r="L3822" s="31" t="s">
        <v>56</v>
      </c>
      <c r="M3822" s="31">
        <v>191</v>
      </c>
      <c r="N3822" s="31">
        <v>2022</v>
      </c>
      <c r="O3822" s="31">
        <v>90</v>
      </c>
      <c r="P3822" s="31"/>
      <c r="Q3822" s="31"/>
      <c r="R3822" s="33" t="s">
        <v>14257</v>
      </c>
      <c r="S3822" s="34" t="str">
        <f>HYPERLINK("http://www.cnpol.ru/covers/20420.jpg","фото на сайте")</f>
        <v>фото на сайте</v>
      </c>
    </row>
    <row r="3823" spans="1:19" ht="50.1" customHeight="1">
      <c r="A3823" s="31"/>
      <c r="B3823" s="32" t="s">
        <v>14258</v>
      </c>
      <c r="C3823" s="31" t="s">
        <v>413</v>
      </c>
      <c r="D3823" s="31" t="s">
        <v>859</v>
      </c>
      <c r="E3823" s="31" t="s">
        <v>14259</v>
      </c>
      <c r="F3823" s="31">
        <v>130</v>
      </c>
      <c r="G3823" s="31">
        <v>117</v>
      </c>
      <c r="H3823" s="31">
        <v>10</v>
      </c>
      <c r="I3823" s="31">
        <v>36</v>
      </c>
      <c r="J3823" s="31" t="s">
        <v>14260</v>
      </c>
      <c r="K3823" s="31" t="s">
        <v>123</v>
      </c>
      <c r="L3823" s="31" t="s">
        <v>56</v>
      </c>
      <c r="M3823" s="31">
        <v>192</v>
      </c>
      <c r="N3823" s="31">
        <v>2016</v>
      </c>
      <c r="O3823" s="31">
        <v>76</v>
      </c>
      <c r="P3823" s="31"/>
      <c r="Q3823" s="31"/>
      <c r="R3823" s="33"/>
      <c r="S3823" s="34" t="str">
        <f>HYPERLINK("http://www.cnpol.ru/covers/17132.jpg","фото на сайте")</f>
        <v>фото на сайте</v>
      </c>
    </row>
    <row r="3824" spans="1:19" ht="50.1" customHeight="1">
      <c r="A3824" s="31"/>
      <c r="B3824" s="32" t="s">
        <v>14261</v>
      </c>
      <c r="C3824" s="31" t="s">
        <v>413</v>
      </c>
      <c r="D3824" s="31" t="s">
        <v>8716</v>
      </c>
      <c r="E3824" s="31" t="s">
        <v>14262</v>
      </c>
      <c r="F3824" s="31">
        <v>116</v>
      </c>
      <c r="G3824" s="31">
        <v>117</v>
      </c>
      <c r="H3824" s="31">
        <v>10</v>
      </c>
      <c r="I3824" s="31">
        <v>36</v>
      </c>
      <c r="J3824" s="31" t="s">
        <v>14263</v>
      </c>
      <c r="K3824" s="31" t="s">
        <v>123</v>
      </c>
      <c r="L3824" s="31" t="s">
        <v>56</v>
      </c>
      <c r="M3824" s="31">
        <v>192</v>
      </c>
      <c r="N3824" s="31">
        <v>2016</v>
      </c>
      <c r="O3824" s="31">
        <v>90</v>
      </c>
      <c r="P3824" s="31"/>
      <c r="Q3824" s="31"/>
      <c r="R3824" s="33"/>
      <c r="S3824" s="34" t="str">
        <f>HYPERLINK("http://www.cnpol.ru/covers/16907.jpg","фото на сайте")</f>
        <v>фото на сайте</v>
      </c>
    </row>
    <row r="3825" spans="1:19" ht="50.1" customHeight="1">
      <c r="A3825" s="31"/>
      <c r="B3825" s="32" t="s">
        <v>14264</v>
      </c>
      <c r="C3825" s="31" t="s">
        <v>390</v>
      </c>
      <c r="D3825" s="31" t="s">
        <v>3095</v>
      </c>
      <c r="E3825" s="31" t="s">
        <v>14265</v>
      </c>
      <c r="F3825" s="31">
        <v>601</v>
      </c>
      <c r="G3825" s="31">
        <v>86</v>
      </c>
      <c r="H3825" s="31">
        <v>10</v>
      </c>
      <c r="I3825" s="31">
        <v>30</v>
      </c>
      <c r="J3825" s="31" t="s">
        <v>14266</v>
      </c>
      <c r="K3825" s="31" t="s">
        <v>123</v>
      </c>
      <c r="L3825" s="31" t="s">
        <v>56</v>
      </c>
      <c r="M3825" s="31">
        <v>160</v>
      </c>
      <c r="N3825" s="31">
        <v>2016</v>
      </c>
      <c r="O3825" s="31">
        <v>76</v>
      </c>
      <c r="P3825" s="31"/>
      <c r="Q3825" s="31"/>
      <c r="R3825" s="33"/>
      <c r="S3825" s="34" t="str">
        <f>HYPERLINK("http://www.cnpol.ru/covers/16629.jpg","фото на сайте")</f>
        <v>фото на сайте</v>
      </c>
    </row>
    <row r="3826" spans="1:19" ht="50.1" customHeight="1">
      <c r="A3826" s="31" t="s">
        <v>43</v>
      </c>
      <c r="B3826" s="32" t="s">
        <v>14267</v>
      </c>
      <c r="C3826" s="31" t="s">
        <v>520</v>
      </c>
      <c r="D3826" s="31" t="s">
        <v>521</v>
      </c>
      <c r="E3826" s="31" t="s">
        <v>14268</v>
      </c>
      <c r="F3826" s="31">
        <v>96</v>
      </c>
      <c r="G3826" s="31">
        <v>117</v>
      </c>
      <c r="H3826" s="31">
        <v>10</v>
      </c>
      <c r="I3826" s="31">
        <v>30</v>
      </c>
      <c r="J3826" s="31" t="s">
        <v>14269</v>
      </c>
      <c r="K3826" s="31" t="s">
        <v>123</v>
      </c>
      <c r="L3826" s="31" t="s">
        <v>56</v>
      </c>
      <c r="M3826" s="31">
        <v>191</v>
      </c>
      <c r="N3826" s="31">
        <v>2024</v>
      </c>
      <c r="O3826" s="31">
        <v>76</v>
      </c>
      <c r="P3826" s="31"/>
      <c r="Q3826" s="31"/>
      <c r="R3826" s="33" t="s">
        <v>14270</v>
      </c>
      <c r="S3826" s="34" t="str">
        <f>HYPERLINK("http://www.cnpol.ru/covers/21323.jpg","фото на сайте")</f>
        <v>фото на сайте</v>
      </c>
    </row>
    <row r="3827" spans="1:19" ht="50.1" customHeight="1">
      <c r="A3827" s="31"/>
      <c r="B3827" s="32" t="s">
        <v>14271</v>
      </c>
      <c r="C3827" s="31" t="s">
        <v>390</v>
      </c>
      <c r="D3827" s="31" t="s">
        <v>391</v>
      </c>
      <c r="E3827" s="31" t="s">
        <v>14272</v>
      </c>
      <c r="F3827" s="31">
        <v>781</v>
      </c>
      <c r="G3827" s="31">
        <v>86</v>
      </c>
      <c r="H3827" s="31">
        <v>10</v>
      </c>
      <c r="I3827" s="31">
        <v>30</v>
      </c>
      <c r="J3827" s="31" t="s">
        <v>14273</v>
      </c>
      <c r="K3827" s="31" t="s">
        <v>123</v>
      </c>
      <c r="L3827" s="31" t="s">
        <v>56</v>
      </c>
      <c r="M3827" s="31">
        <v>160</v>
      </c>
      <c r="N3827" s="31">
        <v>2017</v>
      </c>
      <c r="O3827" s="31">
        <v>76</v>
      </c>
      <c r="P3827" s="31"/>
      <c r="Q3827" s="31"/>
      <c r="R3827" s="33"/>
      <c r="S3827" s="34" t="str">
        <f>HYPERLINK("http://www.cnpol.ru/covers/17883.jpg","фото на сайте")</f>
        <v>фото на сайте</v>
      </c>
    </row>
    <row r="3828" spans="1:19" ht="50.1" customHeight="1">
      <c r="A3828" s="31"/>
      <c r="B3828" s="32" t="s">
        <v>14274</v>
      </c>
      <c r="C3828" s="31" t="s">
        <v>413</v>
      </c>
      <c r="D3828" s="31" t="s">
        <v>1435</v>
      </c>
      <c r="E3828" s="31" t="s">
        <v>14275</v>
      </c>
      <c r="F3828" s="31">
        <v>89</v>
      </c>
      <c r="G3828" s="31">
        <v>117</v>
      </c>
      <c r="H3828" s="31">
        <v>10</v>
      </c>
      <c r="I3828" s="31">
        <v>36</v>
      </c>
      <c r="J3828" s="31" t="s">
        <v>14276</v>
      </c>
      <c r="K3828" s="31" t="s">
        <v>123</v>
      </c>
      <c r="L3828" s="31" t="s">
        <v>56</v>
      </c>
      <c r="M3828" s="31">
        <v>190</v>
      </c>
      <c r="N3828" s="31">
        <v>2016</v>
      </c>
      <c r="O3828" s="31">
        <v>90</v>
      </c>
      <c r="P3828" s="31"/>
      <c r="Q3828" s="31"/>
      <c r="R3828" s="33"/>
      <c r="S3828" s="34" t="str">
        <f>HYPERLINK("http://www.cnpol.ru/covers/16530.jpg","фото на сайте")</f>
        <v>фото на сайте</v>
      </c>
    </row>
    <row r="3829" spans="1:19" ht="50.1" customHeight="1">
      <c r="A3829" s="31"/>
      <c r="B3829" s="32" t="s">
        <v>14277</v>
      </c>
      <c r="C3829" s="31" t="s">
        <v>390</v>
      </c>
      <c r="D3829" s="31" t="s">
        <v>4935</v>
      </c>
      <c r="E3829" s="31" t="s">
        <v>14278</v>
      </c>
      <c r="F3829" s="31">
        <v>1073</v>
      </c>
      <c r="G3829" s="31">
        <v>86</v>
      </c>
      <c r="H3829" s="31">
        <v>10</v>
      </c>
      <c r="I3829" s="31">
        <v>30</v>
      </c>
      <c r="J3829" s="31" t="s">
        <v>14279</v>
      </c>
      <c r="K3829" s="31" t="s">
        <v>123</v>
      </c>
      <c r="L3829" s="31" t="s">
        <v>56</v>
      </c>
      <c r="M3829" s="31">
        <v>159</v>
      </c>
      <c r="N3829" s="31">
        <v>2021</v>
      </c>
      <c r="O3829" s="31">
        <v>76</v>
      </c>
      <c r="P3829" s="31"/>
      <c r="Q3829" s="31"/>
      <c r="R3829" s="33"/>
      <c r="S3829" s="34" t="str">
        <f>HYPERLINK("http://www.cnpol.ru/covers/20001.jpg","фото на сайте")</f>
        <v>фото на сайте</v>
      </c>
    </row>
    <row r="3830" spans="1:19" ht="50.1" customHeight="1">
      <c r="A3830" s="31"/>
      <c r="B3830" s="32" t="s">
        <v>14280</v>
      </c>
      <c r="C3830" s="31" t="s">
        <v>413</v>
      </c>
      <c r="D3830" s="31" t="s">
        <v>6129</v>
      </c>
      <c r="E3830" s="31" t="s">
        <v>14281</v>
      </c>
      <c r="F3830" s="31">
        <v>42</v>
      </c>
      <c r="G3830" s="31">
        <v>117</v>
      </c>
      <c r="H3830" s="31">
        <v>10</v>
      </c>
      <c r="I3830" s="31">
        <v>36</v>
      </c>
      <c r="J3830" s="31" t="s">
        <v>14282</v>
      </c>
      <c r="K3830" s="31" t="s">
        <v>123</v>
      </c>
      <c r="L3830" s="31" t="s">
        <v>56</v>
      </c>
      <c r="M3830" s="31">
        <v>190</v>
      </c>
      <c r="N3830" s="31">
        <v>2015</v>
      </c>
      <c r="O3830" s="31">
        <v>94</v>
      </c>
      <c r="P3830" s="31"/>
      <c r="Q3830" s="31"/>
      <c r="R3830" s="33"/>
      <c r="S3830" s="34" t="str">
        <f>HYPERLINK("http://www.cnpol.ru/covers/15785.jpg","фото на сайте")</f>
        <v>фото на сайте</v>
      </c>
    </row>
    <row r="3831" spans="1:19" ht="50.1" customHeight="1">
      <c r="A3831" s="31"/>
      <c r="B3831" s="32" t="s">
        <v>14283</v>
      </c>
      <c r="C3831" s="31" t="s">
        <v>546</v>
      </c>
      <c r="D3831" s="31" t="s">
        <v>4632</v>
      </c>
      <c r="E3831" s="31" t="s">
        <v>14284</v>
      </c>
      <c r="F3831" s="31">
        <v>258</v>
      </c>
      <c r="G3831" s="31">
        <v>93</v>
      </c>
      <c r="H3831" s="31">
        <v>10</v>
      </c>
      <c r="I3831" s="31">
        <v>30</v>
      </c>
      <c r="J3831" s="31" t="s">
        <v>14285</v>
      </c>
      <c r="K3831" s="31" t="s">
        <v>123</v>
      </c>
      <c r="L3831" s="31" t="s">
        <v>56</v>
      </c>
      <c r="M3831" s="31">
        <v>160</v>
      </c>
      <c r="N3831" s="31">
        <v>2018</v>
      </c>
      <c r="O3831" s="31">
        <v>76</v>
      </c>
      <c r="P3831" s="31"/>
      <c r="Q3831" s="31"/>
      <c r="R3831" s="33"/>
      <c r="S3831" s="34" t="str">
        <f>HYPERLINK("http://www.cnpol.ru/covers/18001.jpg","фото на сайте")</f>
        <v>фото на сайте</v>
      </c>
    </row>
    <row r="3832" spans="1:19" ht="50.1" customHeight="1">
      <c r="A3832" s="31"/>
      <c r="B3832" s="32" t="s">
        <v>14286</v>
      </c>
      <c r="C3832" s="31" t="s">
        <v>413</v>
      </c>
      <c r="D3832" s="31" t="s">
        <v>9396</v>
      </c>
      <c r="E3832" s="31" t="s">
        <v>14287</v>
      </c>
      <c r="F3832" s="31">
        <v>95</v>
      </c>
      <c r="G3832" s="31">
        <v>117</v>
      </c>
      <c r="H3832" s="31">
        <v>10</v>
      </c>
      <c r="I3832" s="31">
        <v>36</v>
      </c>
      <c r="J3832" s="31" t="s">
        <v>14288</v>
      </c>
      <c r="K3832" s="31" t="s">
        <v>123</v>
      </c>
      <c r="L3832" s="31" t="s">
        <v>56</v>
      </c>
      <c r="M3832" s="31">
        <v>192</v>
      </c>
      <c r="N3832" s="31">
        <v>2016</v>
      </c>
      <c r="O3832" s="31">
        <v>90</v>
      </c>
      <c r="P3832" s="31"/>
      <c r="Q3832" s="31"/>
      <c r="R3832" s="33"/>
      <c r="S3832" s="34" t="str">
        <f>HYPERLINK("http://www.cnpol.ru/covers/16619.jpg","фото на сайте")</f>
        <v>фото на сайте</v>
      </c>
    </row>
    <row r="3833" spans="1:19" ht="50.1" customHeight="1">
      <c r="A3833" s="31"/>
      <c r="B3833" s="32" t="s">
        <v>14289</v>
      </c>
      <c r="C3833" s="31" t="s">
        <v>390</v>
      </c>
      <c r="D3833" s="31" t="s">
        <v>2511</v>
      </c>
      <c r="E3833" s="31" t="s">
        <v>14290</v>
      </c>
      <c r="F3833" s="31">
        <v>1149</v>
      </c>
      <c r="G3833" s="31">
        <v>86</v>
      </c>
      <c r="H3833" s="31">
        <v>10</v>
      </c>
      <c r="I3833" s="31">
        <v>30</v>
      </c>
      <c r="J3833" s="31" t="s">
        <v>14291</v>
      </c>
      <c r="K3833" s="31" t="s">
        <v>123</v>
      </c>
      <c r="L3833" s="31" t="s">
        <v>56</v>
      </c>
      <c r="M3833" s="31">
        <v>159</v>
      </c>
      <c r="N3833" s="31">
        <v>2023</v>
      </c>
      <c r="O3833" s="31">
        <v>76</v>
      </c>
      <c r="P3833" s="31"/>
      <c r="Q3833" s="31"/>
      <c r="R3833" s="33" t="s">
        <v>14292</v>
      </c>
      <c r="S3833" s="34" t="str">
        <f>HYPERLINK("http://www.cnpol.ru/covers/20762.jpg","фото на сайте")</f>
        <v>фото на сайте</v>
      </c>
    </row>
    <row r="3834" spans="1:19" ht="50.1" customHeight="1">
      <c r="A3834" s="31"/>
      <c r="B3834" s="32" t="s">
        <v>14293</v>
      </c>
      <c r="C3834" s="31" t="s">
        <v>546</v>
      </c>
      <c r="D3834" s="31" t="s">
        <v>2976</v>
      </c>
      <c r="E3834" s="31" t="s">
        <v>14294</v>
      </c>
      <c r="F3834" s="31">
        <v>122</v>
      </c>
      <c r="G3834" s="31">
        <v>93</v>
      </c>
      <c r="H3834" s="31">
        <v>10</v>
      </c>
      <c r="I3834" s="31">
        <v>30</v>
      </c>
      <c r="J3834" s="31" t="s">
        <v>14295</v>
      </c>
      <c r="K3834" s="31" t="s">
        <v>123</v>
      </c>
      <c r="L3834" s="31" t="s">
        <v>56</v>
      </c>
      <c r="M3834" s="31">
        <v>158</v>
      </c>
      <c r="N3834" s="31">
        <v>2015</v>
      </c>
      <c r="O3834" s="31">
        <v>76</v>
      </c>
      <c r="P3834" s="31"/>
      <c r="Q3834" s="31"/>
      <c r="R3834" s="33"/>
      <c r="S3834" s="34" t="str">
        <f>HYPERLINK("http://www.cnpol.ru/covers/16052.jpg","фото на сайте")</f>
        <v>фото на сайте</v>
      </c>
    </row>
    <row r="3835" spans="1:19" ht="50.1" customHeight="1">
      <c r="A3835" s="31"/>
      <c r="B3835" s="32" t="s">
        <v>14296</v>
      </c>
      <c r="C3835" s="31" t="s">
        <v>1390</v>
      </c>
      <c r="D3835" s="31" t="s">
        <v>236</v>
      </c>
      <c r="E3835" s="31" t="s">
        <v>14297</v>
      </c>
      <c r="F3835" s="31" t="s">
        <v>31</v>
      </c>
      <c r="G3835" s="31">
        <v>514</v>
      </c>
      <c r="H3835" s="31">
        <v>10</v>
      </c>
      <c r="I3835" s="31">
        <v>18</v>
      </c>
      <c r="J3835" s="31" t="s">
        <v>14298</v>
      </c>
      <c r="K3835" s="31" t="s">
        <v>33</v>
      </c>
      <c r="L3835" s="31" t="s">
        <v>34</v>
      </c>
      <c r="M3835" s="31">
        <v>286</v>
      </c>
      <c r="N3835" s="31">
        <v>2023</v>
      </c>
      <c r="O3835" s="31">
        <v>260</v>
      </c>
      <c r="P3835" s="31"/>
      <c r="Q3835" s="31"/>
      <c r="R3835" s="33" t="s">
        <v>14299</v>
      </c>
      <c r="S3835" s="34" t="str">
        <f>HYPERLINK("http://www.cnpol.ru/covers/20930.jpg","фото на сайте")</f>
        <v>фото на сайте</v>
      </c>
    </row>
    <row r="3836" spans="1:19" ht="50.1" customHeight="1">
      <c r="A3836" s="31"/>
      <c r="B3836" s="32" t="s">
        <v>14300</v>
      </c>
      <c r="C3836" s="31" t="s">
        <v>390</v>
      </c>
      <c r="D3836" s="31" t="s">
        <v>2645</v>
      </c>
      <c r="E3836" s="31" t="s">
        <v>14301</v>
      </c>
      <c r="F3836" s="31">
        <v>1075</v>
      </c>
      <c r="G3836" s="31">
        <v>86</v>
      </c>
      <c r="H3836" s="31">
        <v>10</v>
      </c>
      <c r="I3836" s="31">
        <v>30</v>
      </c>
      <c r="J3836" s="31" t="s">
        <v>14302</v>
      </c>
      <c r="K3836" s="31" t="s">
        <v>123</v>
      </c>
      <c r="L3836" s="31" t="s">
        <v>56</v>
      </c>
      <c r="M3836" s="31">
        <v>159</v>
      </c>
      <c r="N3836" s="31">
        <v>2022</v>
      </c>
      <c r="O3836" s="31">
        <v>76</v>
      </c>
      <c r="P3836" s="31"/>
      <c r="Q3836" s="31"/>
      <c r="R3836" s="33"/>
      <c r="S3836" s="34" t="str">
        <f>HYPERLINK("http://www.cnpol.ru/covers/20013.jpg","фото на сайте")</f>
        <v>фото на сайте</v>
      </c>
    </row>
    <row r="3837" spans="1:19" ht="50.1" customHeight="1">
      <c r="A3837" s="31"/>
      <c r="B3837" s="32" t="s">
        <v>14303</v>
      </c>
      <c r="C3837" s="31" t="s">
        <v>6615</v>
      </c>
      <c r="D3837" s="31" t="s">
        <v>14304</v>
      </c>
      <c r="E3837" s="31" t="s">
        <v>14305</v>
      </c>
      <c r="F3837" s="31" t="s">
        <v>31</v>
      </c>
      <c r="G3837" s="31">
        <v>128</v>
      </c>
      <c r="H3837" s="31">
        <v>10</v>
      </c>
      <c r="I3837" s="31">
        <v>22</v>
      </c>
      <c r="J3837" s="31" t="s">
        <v>14306</v>
      </c>
      <c r="K3837" s="31" t="s">
        <v>130</v>
      </c>
      <c r="L3837" s="31" t="s">
        <v>56</v>
      </c>
      <c r="M3837" s="31">
        <v>222</v>
      </c>
      <c r="N3837" s="31">
        <v>2009</v>
      </c>
      <c r="O3837" s="31">
        <v>144</v>
      </c>
      <c r="P3837" s="31"/>
      <c r="Q3837" s="31"/>
      <c r="R3837" s="33"/>
      <c r="S3837" s="34" t="str">
        <f>HYPERLINK("http://www.cnpol.ru/covers/11480.jpg","фото на сайте")</f>
        <v>фото на сайте</v>
      </c>
    </row>
    <row r="3838" spans="1:19" ht="50.1" customHeight="1">
      <c r="A3838" s="31"/>
      <c r="B3838" s="32" t="s">
        <v>14307</v>
      </c>
      <c r="C3838" s="31" t="s">
        <v>6615</v>
      </c>
      <c r="D3838" s="31" t="s">
        <v>14304</v>
      </c>
      <c r="E3838" s="31" t="s">
        <v>14305</v>
      </c>
      <c r="F3838" s="31" t="s">
        <v>31</v>
      </c>
      <c r="G3838" s="31">
        <v>128</v>
      </c>
      <c r="H3838" s="31">
        <v>10</v>
      </c>
      <c r="I3838" s="31">
        <v>30</v>
      </c>
      <c r="J3838" s="31" t="s">
        <v>14306</v>
      </c>
      <c r="K3838" s="31" t="s">
        <v>130</v>
      </c>
      <c r="L3838" s="31" t="s">
        <v>56</v>
      </c>
      <c r="M3838" s="31">
        <v>222</v>
      </c>
      <c r="N3838" s="31">
        <v>2010</v>
      </c>
      <c r="O3838" s="31">
        <v>144</v>
      </c>
      <c r="P3838" s="31"/>
      <c r="Q3838" s="31"/>
      <c r="R3838" s="33"/>
      <c r="S3838" s="34" t="str">
        <f>HYPERLINK("http://www.cnpol.ru/covers/11694.jpg","фото на сайте")</f>
        <v>фото на сайте</v>
      </c>
    </row>
    <row r="3839" spans="1:19" ht="50.1" customHeight="1">
      <c r="A3839" s="31" t="s">
        <v>35</v>
      </c>
      <c r="B3839" s="32" t="s">
        <v>14308</v>
      </c>
      <c r="C3839" s="31" t="s">
        <v>6650</v>
      </c>
      <c r="D3839" s="31" t="s">
        <v>6651</v>
      </c>
      <c r="E3839" s="31" t="s">
        <v>14309</v>
      </c>
      <c r="F3839" s="31" t="s">
        <v>31</v>
      </c>
      <c r="G3839" s="31">
        <v>185</v>
      </c>
      <c r="H3839" s="31">
        <v>10</v>
      </c>
      <c r="I3839" s="31">
        <v>12</v>
      </c>
      <c r="J3839" s="31" t="s">
        <v>14310</v>
      </c>
      <c r="K3839" s="31" t="s">
        <v>130</v>
      </c>
      <c r="L3839" s="31" t="s">
        <v>56</v>
      </c>
      <c r="M3839" s="31">
        <v>191</v>
      </c>
      <c r="N3839" s="31">
        <v>2024</v>
      </c>
      <c r="O3839" s="31">
        <v>116</v>
      </c>
      <c r="P3839" s="31"/>
      <c r="Q3839" s="31"/>
      <c r="R3839" s="33" t="s">
        <v>14311</v>
      </c>
      <c r="S3839" s="34" t="str">
        <f>HYPERLINK("http://www.cnpol.ru/covers/21104.jpg","фото на сайте")</f>
        <v>фото на сайте</v>
      </c>
    </row>
    <row r="3840" spans="1:19" ht="50.1" customHeight="1">
      <c r="A3840" s="31" t="s">
        <v>43</v>
      </c>
      <c r="B3840" s="32" t="s">
        <v>14312</v>
      </c>
      <c r="C3840" s="31" t="s">
        <v>119</v>
      </c>
      <c r="D3840" s="31" t="s">
        <v>191</v>
      </c>
      <c r="E3840" s="31" t="s">
        <v>14313</v>
      </c>
      <c r="F3840" s="31" t="s">
        <v>31</v>
      </c>
      <c r="G3840" s="31">
        <v>696</v>
      </c>
      <c r="H3840" s="31">
        <v>10</v>
      </c>
      <c r="I3840" s="31">
        <v>16</v>
      </c>
      <c r="J3840" s="31" t="s">
        <v>14314</v>
      </c>
      <c r="K3840" s="31" t="s">
        <v>194</v>
      </c>
      <c r="L3840" s="31" t="s">
        <v>34</v>
      </c>
      <c r="M3840" s="31">
        <v>351</v>
      </c>
      <c r="N3840" s="31">
        <v>2024</v>
      </c>
      <c r="O3840" s="31">
        <v>312</v>
      </c>
      <c r="P3840" s="31"/>
      <c r="Q3840" s="31"/>
      <c r="R3840" s="33" t="s">
        <v>14315</v>
      </c>
      <c r="S3840" s="34" t="str">
        <f>HYPERLINK("http://www.cnpol.ru/covers/21181.jpg","фото на сайте")</f>
        <v>фото на сайте</v>
      </c>
    </row>
    <row r="3841" spans="1:19" ht="50.1" customHeight="1">
      <c r="A3841" s="31"/>
      <c r="B3841" s="32" t="s">
        <v>14316</v>
      </c>
      <c r="C3841" s="31" t="s">
        <v>5393</v>
      </c>
      <c r="D3841" s="31" t="s">
        <v>14317</v>
      </c>
      <c r="E3841" s="31" t="s">
        <v>14318</v>
      </c>
      <c r="F3841" s="31" t="s">
        <v>31</v>
      </c>
      <c r="G3841" s="31">
        <v>370</v>
      </c>
      <c r="H3841" s="31">
        <v>20</v>
      </c>
      <c r="I3841" s="31">
        <v>16</v>
      </c>
      <c r="J3841" s="31" t="s">
        <v>14319</v>
      </c>
      <c r="K3841" s="31" t="s">
        <v>33</v>
      </c>
      <c r="L3841" s="31" t="s">
        <v>34</v>
      </c>
      <c r="M3841" s="31">
        <v>271</v>
      </c>
      <c r="N3841" s="31">
        <v>2008</v>
      </c>
      <c r="O3841" s="31">
        <v>278</v>
      </c>
      <c r="P3841" s="31"/>
      <c r="Q3841" s="31"/>
      <c r="R3841" s="33"/>
      <c r="S3841" s="34" t="str">
        <f>HYPERLINK("http://www.cnpol.ru/covers/10019.jpg","фото на сайте")</f>
        <v>фото на сайте</v>
      </c>
    </row>
    <row r="3842" spans="1:19" ht="50.1" customHeight="1">
      <c r="A3842" s="31"/>
      <c r="B3842" s="32" t="s">
        <v>14320</v>
      </c>
      <c r="C3842" s="31" t="s">
        <v>132</v>
      </c>
      <c r="D3842" s="31" t="s">
        <v>4418</v>
      </c>
      <c r="E3842" s="31" t="s">
        <v>14321</v>
      </c>
      <c r="F3842" s="31" t="s">
        <v>31</v>
      </c>
      <c r="G3842" s="31">
        <v>407</v>
      </c>
      <c r="H3842" s="31">
        <v>10</v>
      </c>
      <c r="I3842" s="31">
        <v>20</v>
      </c>
      <c r="J3842" s="31" t="s">
        <v>14322</v>
      </c>
      <c r="K3842" s="31" t="s">
        <v>194</v>
      </c>
      <c r="L3842" s="31" t="s">
        <v>34</v>
      </c>
      <c r="M3842" s="31">
        <v>96</v>
      </c>
      <c r="N3842" s="31">
        <v>2008</v>
      </c>
      <c r="O3842" s="31">
        <v>244</v>
      </c>
      <c r="P3842" s="31"/>
      <c r="Q3842" s="31"/>
      <c r="R3842" s="33"/>
      <c r="S3842" s="34" t="str">
        <f>HYPERLINK("http://www.cnpol.ru/covers/8682.jpg","фото на сайте")</f>
        <v>фото на сайте</v>
      </c>
    </row>
    <row r="3843" spans="1:19" ht="50.1" customHeight="1">
      <c r="A3843" s="31"/>
      <c r="B3843" s="32" t="s">
        <v>14323</v>
      </c>
      <c r="C3843" s="31" t="s">
        <v>132</v>
      </c>
      <c r="D3843" s="31" t="s">
        <v>4418</v>
      </c>
      <c r="E3843" s="31" t="s">
        <v>14324</v>
      </c>
      <c r="F3843" s="31" t="s">
        <v>31</v>
      </c>
      <c r="G3843" s="31">
        <v>407</v>
      </c>
      <c r="H3843" s="31">
        <v>10</v>
      </c>
      <c r="I3843" s="31">
        <v>12</v>
      </c>
      <c r="J3843" s="31" t="s">
        <v>14325</v>
      </c>
      <c r="K3843" s="31" t="s">
        <v>194</v>
      </c>
      <c r="L3843" s="31" t="s">
        <v>34</v>
      </c>
      <c r="M3843" s="31">
        <v>45</v>
      </c>
      <c r="N3843" s="31">
        <v>2008</v>
      </c>
      <c r="O3843" s="31">
        <v>222</v>
      </c>
      <c r="P3843" s="31"/>
      <c r="Q3843" s="31"/>
      <c r="R3843" s="33"/>
      <c r="S3843" s="34" t="str">
        <f>HYPERLINK("http://www.cnpol.ru/covers/8724.jpg","фото на сайте")</f>
        <v>фото на сайте</v>
      </c>
    </row>
    <row r="3844" spans="1:19" ht="50.1" customHeight="1">
      <c r="A3844" s="31"/>
      <c r="B3844" s="32" t="s">
        <v>14326</v>
      </c>
      <c r="C3844" s="31" t="s">
        <v>5199</v>
      </c>
      <c r="D3844" s="31" t="s">
        <v>5200</v>
      </c>
      <c r="E3844" s="31" t="s">
        <v>14327</v>
      </c>
      <c r="F3844" s="31" t="s">
        <v>31</v>
      </c>
      <c r="G3844" s="31">
        <v>539</v>
      </c>
      <c r="H3844" s="31">
        <v>10</v>
      </c>
      <c r="I3844" s="31">
        <v>10</v>
      </c>
      <c r="J3844" s="31" t="s">
        <v>14328</v>
      </c>
      <c r="K3844" s="31" t="s">
        <v>158</v>
      </c>
      <c r="L3844" s="31" t="s">
        <v>34</v>
      </c>
      <c r="M3844" s="31">
        <v>384</v>
      </c>
      <c r="N3844" s="31">
        <v>2021</v>
      </c>
      <c r="O3844" s="31">
        <v>316</v>
      </c>
      <c r="P3844" s="31"/>
      <c r="Q3844" s="31"/>
      <c r="R3844" s="33"/>
      <c r="S3844" s="34" t="str">
        <f>HYPERLINK("http://www.cnpol.ru/covers/19476.jpg","фото на сайте")</f>
        <v>фото на сайте</v>
      </c>
    </row>
    <row r="3845" spans="1:19" ht="50.1" customHeight="1">
      <c r="A3845" s="31"/>
      <c r="B3845" s="32" t="s">
        <v>14329</v>
      </c>
      <c r="C3845" s="31" t="s">
        <v>413</v>
      </c>
      <c r="D3845" s="31" t="s">
        <v>1805</v>
      </c>
      <c r="E3845" s="31" t="s">
        <v>14330</v>
      </c>
      <c r="F3845" s="31">
        <v>103</v>
      </c>
      <c r="G3845" s="31">
        <v>117</v>
      </c>
      <c r="H3845" s="31">
        <v>10</v>
      </c>
      <c r="I3845" s="31">
        <v>36</v>
      </c>
      <c r="J3845" s="31" t="s">
        <v>14331</v>
      </c>
      <c r="K3845" s="31" t="s">
        <v>123</v>
      </c>
      <c r="L3845" s="31" t="s">
        <v>56</v>
      </c>
      <c r="M3845" s="31">
        <v>192</v>
      </c>
      <c r="N3845" s="31">
        <v>2016</v>
      </c>
      <c r="O3845" s="31">
        <v>90</v>
      </c>
      <c r="P3845" s="31"/>
      <c r="Q3845" s="31"/>
      <c r="R3845" s="33"/>
      <c r="S3845" s="34" t="str">
        <f>HYPERLINK("http://www.cnpol.ru/covers/16709.jpg","фото на сайте")</f>
        <v>фото на сайте</v>
      </c>
    </row>
    <row r="3846" spans="1:19" ht="50.1" customHeight="1">
      <c r="A3846" s="31"/>
      <c r="B3846" s="32" t="s">
        <v>14332</v>
      </c>
      <c r="C3846" s="31" t="s">
        <v>546</v>
      </c>
      <c r="D3846" s="31" t="s">
        <v>1581</v>
      </c>
      <c r="E3846" s="31" t="s">
        <v>14333</v>
      </c>
      <c r="F3846" s="31">
        <v>126</v>
      </c>
      <c r="G3846" s="31">
        <v>93</v>
      </c>
      <c r="H3846" s="31">
        <v>10</v>
      </c>
      <c r="I3846" s="31">
        <v>30</v>
      </c>
      <c r="J3846" s="31" t="s">
        <v>14334</v>
      </c>
      <c r="K3846" s="31" t="s">
        <v>123</v>
      </c>
      <c r="L3846" s="31" t="s">
        <v>56</v>
      </c>
      <c r="M3846" s="31">
        <v>158</v>
      </c>
      <c r="N3846" s="31">
        <v>2015</v>
      </c>
      <c r="O3846" s="31">
        <v>76</v>
      </c>
      <c r="P3846" s="31"/>
      <c r="Q3846" s="31"/>
      <c r="R3846" s="33"/>
      <c r="S3846" s="34" t="str">
        <f>HYPERLINK("http://www.cnpol.ru/covers/16111.jpg","фото на сайте")</f>
        <v>фото на сайте</v>
      </c>
    </row>
    <row r="3847" spans="1:19" ht="50.1" customHeight="1">
      <c r="A3847" s="31" t="s">
        <v>43</v>
      </c>
      <c r="B3847" s="32" t="s">
        <v>14335</v>
      </c>
      <c r="C3847" s="31" t="s">
        <v>418</v>
      </c>
      <c r="D3847" s="31" t="s">
        <v>14336</v>
      </c>
      <c r="E3847" s="31" t="s">
        <v>14337</v>
      </c>
      <c r="F3847" s="31">
        <v>127</v>
      </c>
      <c r="G3847" s="31">
        <v>153</v>
      </c>
      <c r="H3847" s="31">
        <v>10</v>
      </c>
      <c r="I3847" s="31">
        <v>18</v>
      </c>
      <c r="J3847" s="31" t="s">
        <v>14338</v>
      </c>
      <c r="K3847" s="31" t="s">
        <v>123</v>
      </c>
      <c r="L3847" s="31" t="s">
        <v>56</v>
      </c>
      <c r="M3847" s="31">
        <v>255</v>
      </c>
      <c r="N3847" s="31">
        <v>2024</v>
      </c>
      <c r="O3847" s="31">
        <v>119</v>
      </c>
      <c r="P3847" s="31"/>
      <c r="Q3847" s="31"/>
      <c r="R3847" s="33" t="s">
        <v>14339</v>
      </c>
      <c r="S3847" s="34" t="str">
        <f>HYPERLINK("http://www.cnpol.ru/covers/21206.jpg","фото на сайте")</f>
        <v>фото на сайте</v>
      </c>
    </row>
    <row r="3848" spans="1:19" ht="50.1" customHeight="1">
      <c r="A3848" s="31"/>
      <c r="B3848" s="32" t="s">
        <v>14340</v>
      </c>
      <c r="C3848" s="31" t="s">
        <v>418</v>
      </c>
      <c r="D3848" s="31" t="s">
        <v>4074</v>
      </c>
      <c r="E3848" s="31" t="s">
        <v>14341</v>
      </c>
      <c r="F3848" s="31">
        <v>74</v>
      </c>
      <c r="G3848" s="31">
        <v>153</v>
      </c>
      <c r="H3848" s="31">
        <v>10</v>
      </c>
      <c r="I3848" s="31">
        <v>24</v>
      </c>
      <c r="J3848" s="31" t="s">
        <v>14342</v>
      </c>
      <c r="K3848" s="31" t="s">
        <v>123</v>
      </c>
      <c r="L3848" s="31" t="s">
        <v>56</v>
      </c>
      <c r="M3848" s="31">
        <v>288</v>
      </c>
      <c r="N3848" s="31">
        <v>2017</v>
      </c>
      <c r="O3848" s="31">
        <v>130</v>
      </c>
      <c r="P3848" s="31"/>
      <c r="Q3848" s="31"/>
      <c r="R3848" s="33"/>
      <c r="S3848" s="34" t="str">
        <f>HYPERLINK("http://www.cnpol.ru/covers/17497.jpg","фото на сайте")</f>
        <v>фото на сайте</v>
      </c>
    </row>
    <row r="3849" spans="1:19" ht="50.1" customHeight="1">
      <c r="A3849" s="31"/>
      <c r="B3849" s="32" t="s">
        <v>14343</v>
      </c>
      <c r="C3849" s="31" t="s">
        <v>390</v>
      </c>
      <c r="D3849" s="31" t="s">
        <v>3116</v>
      </c>
      <c r="E3849" s="31" t="s">
        <v>14344</v>
      </c>
      <c r="F3849" s="31">
        <v>764</v>
      </c>
      <c r="G3849" s="31">
        <v>86</v>
      </c>
      <c r="H3849" s="31">
        <v>10</v>
      </c>
      <c r="I3849" s="31">
        <v>30</v>
      </c>
      <c r="J3849" s="31" t="s">
        <v>14345</v>
      </c>
      <c r="K3849" s="31" t="s">
        <v>123</v>
      </c>
      <c r="L3849" s="31" t="s">
        <v>56</v>
      </c>
      <c r="M3849" s="31">
        <v>160</v>
      </c>
      <c r="N3849" s="31">
        <v>2017</v>
      </c>
      <c r="O3849" s="31">
        <v>76</v>
      </c>
      <c r="P3849" s="31"/>
      <c r="Q3849" s="31"/>
      <c r="R3849" s="33"/>
      <c r="S3849" s="34" t="str">
        <f>HYPERLINK("http://www.cnpol.ru/covers/17784.jpg","фото на сайте")</f>
        <v>фото на сайте</v>
      </c>
    </row>
    <row r="3850" spans="1:19" ht="50.1" customHeight="1">
      <c r="A3850" s="31"/>
      <c r="B3850" s="32" t="s">
        <v>14346</v>
      </c>
      <c r="C3850" s="31" t="s">
        <v>390</v>
      </c>
      <c r="D3850" s="31" t="s">
        <v>4657</v>
      </c>
      <c r="E3850" s="31" t="s">
        <v>14347</v>
      </c>
      <c r="F3850" s="31">
        <v>1034</v>
      </c>
      <c r="G3850" s="31">
        <v>86</v>
      </c>
      <c r="H3850" s="31">
        <v>10</v>
      </c>
      <c r="I3850" s="31">
        <v>30</v>
      </c>
      <c r="J3850" s="31" t="s">
        <v>14348</v>
      </c>
      <c r="K3850" s="31" t="s">
        <v>123</v>
      </c>
      <c r="L3850" s="31" t="s">
        <v>56</v>
      </c>
      <c r="M3850" s="31">
        <v>160</v>
      </c>
      <c r="N3850" s="31">
        <v>2021</v>
      </c>
      <c r="O3850" s="31">
        <v>76</v>
      </c>
      <c r="P3850" s="31"/>
      <c r="Q3850" s="31"/>
      <c r="R3850" s="33"/>
      <c r="S3850" s="34" t="str">
        <f>HYPERLINK("http://www.cnpol.ru/covers/19644.jpg","фото на сайте")</f>
        <v>фото на сайте</v>
      </c>
    </row>
    <row r="3851" spans="1:19" ht="50.1" customHeight="1">
      <c r="A3851" s="31"/>
      <c r="B3851" s="32" t="s">
        <v>14349</v>
      </c>
      <c r="C3851" s="31" t="s">
        <v>390</v>
      </c>
      <c r="D3851" s="31" t="s">
        <v>3986</v>
      </c>
      <c r="E3851" s="31" t="s">
        <v>14350</v>
      </c>
      <c r="F3851" s="31">
        <v>860</v>
      </c>
      <c r="G3851" s="31">
        <v>86</v>
      </c>
      <c r="H3851" s="31">
        <v>10</v>
      </c>
      <c r="I3851" s="31">
        <v>30</v>
      </c>
      <c r="J3851" s="31" t="s">
        <v>14351</v>
      </c>
      <c r="K3851" s="31" t="s">
        <v>123</v>
      </c>
      <c r="L3851" s="31" t="s">
        <v>56</v>
      </c>
      <c r="M3851" s="31">
        <v>160</v>
      </c>
      <c r="N3851" s="31">
        <v>2019</v>
      </c>
      <c r="O3851" s="31">
        <v>76</v>
      </c>
      <c r="P3851" s="31"/>
      <c r="Q3851" s="31"/>
      <c r="R3851" s="33"/>
      <c r="S3851" s="34" t="str">
        <f>HYPERLINK("http://www.cnpol.ru/covers/18451.jpg","фото на сайте")</f>
        <v>фото на сайте</v>
      </c>
    </row>
    <row r="3852" spans="1:19" ht="50.1" customHeight="1">
      <c r="A3852" s="31"/>
      <c r="B3852" s="32" t="s">
        <v>14352</v>
      </c>
      <c r="C3852" s="31" t="s">
        <v>390</v>
      </c>
      <c r="D3852" s="31" t="s">
        <v>4402</v>
      </c>
      <c r="E3852" s="31" t="s">
        <v>14353</v>
      </c>
      <c r="F3852" s="31">
        <v>1146</v>
      </c>
      <c r="G3852" s="31">
        <v>86</v>
      </c>
      <c r="H3852" s="31">
        <v>10</v>
      </c>
      <c r="I3852" s="31">
        <v>30</v>
      </c>
      <c r="J3852" s="31" t="s">
        <v>14354</v>
      </c>
      <c r="K3852" s="31" t="s">
        <v>123</v>
      </c>
      <c r="L3852" s="31" t="s">
        <v>56</v>
      </c>
      <c r="M3852" s="31">
        <v>159</v>
      </c>
      <c r="N3852" s="31">
        <v>2023</v>
      </c>
      <c r="O3852" s="31">
        <v>76</v>
      </c>
      <c r="P3852" s="31"/>
      <c r="Q3852" s="31"/>
      <c r="R3852" s="33" t="s">
        <v>14355</v>
      </c>
      <c r="S3852" s="34" t="str">
        <f>HYPERLINK("http://www.cnpol.ru/covers/20735.jpg","фото на сайте")</f>
        <v>фото на сайте</v>
      </c>
    </row>
    <row r="3853" spans="1:19" ht="50.1" customHeight="1">
      <c r="A3853" s="31"/>
      <c r="B3853" s="32" t="s">
        <v>14356</v>
      </c>
      <c r="C3853" s="31" t="s">
        <v>6139</v>
      </c>
      <c r="D3853" s="31" t="s">
        <v>14357</v>
      </c>
      <c r="E3853" s="31" t="s">
        <v>14358</v>
      </c>
      <c r="F3853" s="31" t="s">
        <v>31</v>
      </c>
      <c r="G3853" s="31">
        <v>56</v>
      </c>
      <c r="H3853" s="31">
        <v>10</v>
      </c>
      <c r="I3853" s="31">
        <v>40</v>
      </c>
      <c r="J3853" s="31" t="s">
        <v>14359</v>
      </c>
      <c r="K3853" s="31" t="s">
        <v>123</v>
      </c>
      <c r="L3853" s="31" t="s">
        <v>56</v>
      </c>
      <c r="M3853" s="31">
        <v>158</v>
      </c>
      <c r="N3853" s="31">
        <v>2009</v>
      </c>
      <c r="O3853" s="31">
        <v>78</v>
      </c>
      <c r="P3853" s="31"/>
      <c r="Q3853" s="31"/>
      <c r="R3853" s="33"/>
      <c r="S3853" s="34" t="str">
        <f>HYPERLINK("http://www.cnpol.ru/covers/11507.jpg","фото на сайте")</f>
        <v>фото на сайте</v>
      </c>
    </row>
    <row r="3854" spans="1:19" ht="50.1" customHeight="1">
      <c r="A3854" s="31"/>
      <c r="B3854" s="32" t="s">
        <v>14360</v>
      </c>
      <c r="C3854" s="31" t="s">
        <v>1668</v>
      </c>
      <c r="D3854" s="31" t="s">
        <v>1669</v>
      </c>
      <c r="E3854" s="31" t="s">
        <v>14361</v>
      </c>
      <c r="F3854" s="31" t="s">
        <v>31</v>
      </c>
      <c r="G3854" s="31">
        <v>575</v>
      </c>
      <c r="H3854" s="31">
        <v>10</v>
      </c>
      <c r="I3854" s="31">
        <v>10</v>
      </c>
      <c r="J3854" s="31" t="s">
        <v>14362</v>
      </c>
      <c r="K3854" s="31" t="s">
        <v>33</v>
      </c>
      <c r="L3854" s="31" t="s">
        <v>34</v>
      </c>
      <c r="M3854" s="31">
        <v>479</v>
      </c>
      <c r="N3854" s="31">
        <v>2023</v>
      </c>
      <c r="O3854" s="31">
        <v>369</v>
      </c>
      <c r="P3854" s="31"/>
      <c r="Q3854" s="31"/>
      <c r="R3854" s="33" t="s">
        <v>14363</v>
      </c>
      <c r="S3854" s="34" t="str">
        <f>HYPERLINK("http://www.cnpol.ru/covers/20845.jpg","фото на сайте")</f>
        <v>фото на сайте</v>
      </c>
    </row>
    <row r="3855" spans="1:19" ht="50.1" customHeight="1">
      <c r="A3855" s="31"/>
      <c r="B3855" s="32" t="s">
        <v>14364</v>
      </c>
      <c r="C3855" s="31" t="s">
        <v>630</v>
      </c>
      <c r="D3855" s="31" t="s">
        <v>14365</v>
      </c>
      <c r="E3855" s="31" t="s">
        <v>14366</v>
      </c>
      <c r="F3855" s="31" t="s">
        <v>31</v>
      </c>
      <c r="G3855" s="31">
        <v>96</v>
      </c>
      <c r="H3855" s="31">
        <v>10</v>
      </c>
      <c r="I3855" s="31">
        <v>40</v>
      </c>
      <c r="J3855" s="31" t="s">
        <v>14367</v>
      </c>
      <c r="K3855" s="31" t="s">
        <v>55</v>
      </c>
      <c r="L3855" s="31" t="s">
        <v>56</v>
      </c>
      <c r="M3855" s="31">
        <v>191</v>
      </c>
      <c r="N3855" s="31">
        <v>2005</v>
      </c>
      <c r="O3855" s="31">
        <v>82</v>
      </c>
      <c r="P3855" s="31"/>
      <c r="Q3855" s="31"/>
      <c r="R3855" s="33"/>
      <c r="S3855" s="34" t="str">
        <f>HYPERLINK("http://www.cnpol.ru/covers/5777.jpg","фото на сайте")</f>
        <v>фото на сайте</v>
      </c>
    </row>
    <row r="3856" spans="1:19" ht="50.1" customHeight="1">
      <c r="A3856" s="31"/>
      <c r="B3856" s="32" t="s">
        <v>14368</v>
      </c>
      <c r="C3856" s="31" t="s">
        <v>8765</v>
      </c>
      <c r="D3856" s="31" t="s">
        <v>1814</v>
      </c>
      <c r="E3856" s="31" t="s">
        <v>14369</v>
      </c>
      <c r="F3856" s="31" t="s">
        <v>31</v>
      </c>
      <c r="G3856" s="31">
        <v>579</v>
      </c>
      <c r="H3856" s="31">
        <v>10</v>
      </c>
      <c r="I3856" s="31">
        <v>15</v>
      </c>
      <c r="J3856" s="31" t="s">
        <v>14370</v>
      </c>
      <c r="K3856" s="31" t="s">
        <v>260</v>
      </c>
      <c r="L3856" s="31" t="s">
        <v>210</v>
      </c>
      <c r="M3856" s="31">
        <v>84</v>
      </c>
      <c r="N3856" s="31">
        <v>2020</v>
      </c>
      <c r="O3856" s="31">
        <v>266</v>
      </c>
      <c r="P3856" s="31"/>
      <c r="Q3856" s="31"/>
      <c r="R3856" s="33"/>
      <c r="S3856" s="34" t="str">
        <f>HYPERLINK("http://www.cnpol.ru/covers/19443.jpg","фото на сайте")</f>
        <v>фото на сайте</v>
      </c>
    </row>
    <row r="3857" spans="1:19" ht="50.1" customHeight="1">
      <c r="A3857" s="31"/>
      <c r="B3857" s="32" t="s">
        <v>14371</v>
      </c>
      <c r="C3857" s="31" t="s">
        <v>400</v>
      </c>
      <c r="D3857" s="31" t="s">
        <v>785</v>
      </c>
      <c r="E3857" s="31" t="s">
        <v>14372</v>
      </c>
      <c r="F3857" s="31" t="s">
        <v>31</v>
      </c>
      <c r="G3857" s="31">
        <v>503</v>
      </c>
      <c r="H3857" s="31">
        <v>10</v>
      </c>
      <c r="I3857" s="31">
        <v>14</v>
      </c>
      <c r="J3857" s="31" t="s">
        <v>14373</v>
      </c>
      <c r="K3857" s="31" t="s">
        <v>33</v>
      </c>
      <c r="L3857" s="31" t="s">
        <v>34</v>
      </c>
      <c r="M3857" s="31">
        <v>288</v>
      </c>
      <c r="N3857" s="31">
        <v>2017</v>
      </c>
      <c r="O3857" s="31">
        <v>252</v>
      </c>
      <c r="P3857" s="31"/>
      <c r="Q3857" s="31"/>
      <c r="R3857" s="33"/>
      <c r="S3857" s="34" t="str">
        <f>HYPERLINK("http://www.cnpol.ru/covers/17730.jpg","фото на сайте")</f>
        <v>фото на сайте</v>
      </c>
    </row>
    <row r="3858" spans="1:19" ht="50.1" customHeight="1">
      <c r="A3858" s="31"/>
      <c r="B3858" s="32" t="s">
        <v>14374</v>
      </c>
      <c r="C3858" s="31" t="s">
        <v>546</v>
      </c>
      <c r="D3858" s="31" t="s">
        <v>8290</v>
      </c>
      <c r="E3858" s="31" t="s">
        <v>14375</v>
      </c>
      <c r="F3858" s="31">
        <v>244</v>
      </c>
      <c r="G3858" s="31">
        <v>93</v>
      </c>
      <c r="H3858" s="31">
        <v>10</v>
      </c>
      <c r="I3858" s="31">
        <v>30</v>
      </c>
      <c r="J3858" s="31" t="s">
        <v>14376</v>
      </c>
      <c r="K3858" s="31" t="s">
        <v>123</v>
      </c>
      <c r="L3858" s="31" t="s">
        <v>56</v>
      </c>
      <c r="M3858" s="31">
        <v>160</v>
      </c>
      <c r="N3858" s="31">
        <v>2017</v>
      </c>
      <c r="O3858" s="31">
        <v>76</v>
      </c>
      <c r="P3858" s="31"/>
      <c r="Q3858" s="31"/>
      <c r="R3858" s="33"/>
      <c r="S3858" s="34" t="str">
        <f>HYPERLINK("http://www.cnpol.ru/covers/17797.jpg","фото на сайте")</f>
        <v>фото на сайте</v>
      </c>
    </row>
    <row r="3859" spans="1:19" ht="50.1" customHeight="1">
      <c r="A3859" s="31"/>
      <c r="B3859" s="32" t="s">
        <v>14377</v>
      </c>
      <c r="C3859" s="31" t="s">
        <v>4411</v>
      </c>
      <c r="D3859" s="31" t="s">
        <v>3754</v>
      </c>
      <c r="E3859" s="31" t="s">
        <v>14378</v>
      </c>
      <c r="F3859" s="31" t="s">
        <v>31</v>
      </c>
      <c r="G3859" s="31">
        <v>288</v>
      </c>
      <c r="H3859" s="31">
        <v>10</v>
      </c>
      <c r="I3859" s="31">
        <v>14</v>
      </c>
      <c r="J3859" s="31" t="s">
        <v>14379</v>
      </c>
      <c r="K3859" s="31" t="s">
        <v>123</v>
      </c>
      <c r="L3859" s="31" t="s">
        <v>56</v>
      </c>
      <c r="M3859" s="31">
        <v>378</v>
      </c>
      <c r="N3859" s="31">
        <v>2021</v>
      </c>
      <c r="O3859" s="31">
        <v>174</v>
      </c>
      <c r="P3859" s="31"/>
      <c r="Q3859" s="31"/>
      <c r="R3859" s="33"/>
      <c r="S3859" s="34" t="str">
        <f>HYPERLINK("http://www.cnpol.ru/covers/19918.jpg","фото на сайте")</f>
        <v>фото на сайте</v>
      </c>
    </row>
    <row r="3860" spans="1:19" ht="50.1" customHeight="1">
      <c r="A3860" s="31"/>
      <c r="B3860" s="32" t="s">
        <v>14380</v>
      </c>
      <c r="C3860" s="31" t="s">
        <v>14381</v>
      </c>
      <c r="D3860" s="31" t="s">
        <v>14382</v>
      </c>
      <c r="E3860" s="31" t="s">
        <v>14383</v>
      </c>
      <c r="F3860" s="31" t="s">
        <v>31</v>
      </c>
      <c r="G3860" s="31">
        <v>522</v>
      </c>
      <c r="H3860" s="31">
        <v>10</v>
      </c>
      <c r="I3860" s="31">
        <v>16</v>
      </c>
      <c r="J3860" s="31" t="s">
        <v>14384</v>
      </c>
      <c r="K3860" s="31" t="s">
        <v>33</v>
      </c>
      <c r="L3860" s="31" t="s">
        <v>34</v>
      </c>
      <c r="M3860" s="31">
        <v>255</v>
      </c>
      <c r="N3860" s="31">
        <v>2012</v>
      </c>
      <c r="O3860" s="31">
        <v>296</v>
      </c>
      <c r="P3860" s="31"/>
      <c r="Q3860" s="31"/>
      <c r="R3860" s="33" t="s">
        <v>14385</v>
      </c>
      <c r="S3860" s="34" t="str">
        <f>HYPERLINK("http://www.cnpol.ru/covers/13240.jpg","фото на сайте")</f>
        <v>фото на сайте</v>
      </c>
    </row>
    <row r="3861" spans="1:19" ht="50.1" customHeight="1">
      <c r="A3861" s="31"/>
      <c r="B3861" s="32" t="s">
        <v>14386</v>
      </c>
      <c r="C3861" s="31" t="s">
        <v>520</v>
      </c>
      <c r="D3861" s="31" t="s">
        <v>13534</v>
      </c>
      <c r="E3861" s="31" t="s">
        <v>14387</v>
      </c>
      <c r="F3861" s="31">
        <v>70</v>
      </c>
      <c r="G3861" s="31">
        <v>117</v>
      </c>
      <c r="H3861" s="31">
        <v>10</v>
      </c>
      <c r="I3861" s="31">
        <v>30</v>
      </c>
      <c r="J3861" s="31" t="s">
        <v>14388</v>
      </c>
      <c r="K3861" s="31" t="s">
        <v>123</v>
      </c>
      <c r="L3861" s="31" t="s">
        <v>56</v>
      </c>
      <c r="M3861" s="31">
        <v>192</v>
      </c>
      <c r="N3861" s="31">
        <v>2019</v>
      </c>
      <c r="O3861" s="31">
        <v>96</v>
      </c>
      <c r="P3861" s="31"/>
      <c r="Q3861" s="31"/>
      <c r="R3861" s="33"/>
      <c r="S3861" s="34" t="str">
        <f>HYPERLINK("http://www.cnpol.ru/covers/18836.jpg","фото на сайте")</f>
        <v>фото на сайте</v>
      </c>
    </row>
    <row r="3862" spans="1:19" ht="50.1" customHeight="1">
      <c r="A3862" s="31"/>
      <c r="B3862" s="32" t="s">
        <v>14389</v>
      </c>
      <c r="C3862" s="31" t="s">
        <v>390</v>
      </c>
      <c r="D3862" s="31" t="s">
        <v>391</v>
      </c>
      <c r="E3862" s="31" t="s">
        <v>14390</v>
      </c>
      <c r="F3862" s="31">
        <v>1147</v>
      </c>
      <c r="G3862" s="31">
        <v>86</v>
      </c>
      <c r="H3862" s="31">
        <v>10</v>
      </c>
      <c r="I3862" s="31">
        <v>30</v>
      </c>
      <c r="J3862" s="31" t="s">
        <v>14391</v>
      </c>
      <c r="K3862" s="31" t="s">
        <v>123</v>
      </c>
      <c r="L3862" s="31" t="s">
        <v>56</v>
      </c>
      <c r="M3862" s="31">
        <v>159</v>
      </c>
      <c r="N3862" s="31">
        <v>2023</v>
      </c>
      <c r="O3862" s="31">
        <v>76</v>
      </c>
      <c r="P3862" s="31"/>
      <c r="Q3862" s="31"/>
      <c r="R3862" s="33" t="s">
        <v>14392</v>
      </c>
      <c r="S3862" s="34" t="str">
        <f>HYPERLINK("http://www.cnpol.ru/covers/20736.jpg","фото на сайте")</f>
        <v>фото на сайте</v>
      </c>
    </row>
    <row r="3863" spans="1:19" ht="50.1" customHeight="1">
      <c r="A3863" s="31"/>
      <c r="B3863" s="32" t="s">
        <v>14393</v>
      </c>
      <c r="C3863" s="31" t="s">
        <v>413</v>
      </c>
      <c r="D3863" s="31" t="s">
        <v>6968</v>
      </c>
      <c r="E3863" s="31" t="s">
        <v>14394</v>
      </c>
      <c r="F3863" s="31">
        <v>76</v>
      </c>
      <c r="G3863" s="31">
        <v>117</v>
      </c>
      <c r="H3863" s="31">
        <v>10</v>
      </c>
      <c r="I3863" s="31">
        <v>36</v>
      </c>
      <c r="J3863" s="31" t="s">
        <v>14395</v>
      </c>
      <c r="K3863" s="31" t="s">
        <v>123</v>
      </c>
      <c r="L3863" s="31" t="s">
        <v>56</v>
      </c>
      <c r="M3863" s="31">
        <v>190</v>
      </c>
      <c r="N3863" s="31">
        <v>2015</v>
      </c>
      <c r="O3863" s="31">
        <v>90</v>
      </c>
      <c r="P3863" s="31"/>
      <c r="Q3863" s="31"/>
      <c r="R3863" s="33"/>
      <c r="S3863" s="34" t="str">
        <f>HYPERLINK("http://www.cnpol.ru/covers/16283.jpg","фото на сайте")</f>
        <v>фото на сайте</v>
      </c>
    </row>
    <row r="3864" spans="1:19" ht="50.1" customHeight="1">
      <c r="A3864" s="31"/>
      <c r="B3864" s="32" t="s">
        <v>14396</v>
      </c>
      <c r="C3864" s="31" t="s">
        <v>546</v>
      </c>
      <c r="D3864" s="31" t="s">
        <v>1356</v>
      </c>
      <c r="E3864" s="31" t="s">
        <v>14397</v>
      </c>
      <c r="F3864" s="31">
        <v>398</v>
      </c>
      <c r="G3864" s="31">
        <v>93</v>
      </c>
      <c r="H3864" s="31">
        <v>10</v>
      </c>
      <c r="I3864" s="31">
        <v>30</v>
      </c>
      <c r="J3864" s="31" t="s">
        <v>14398</v>
      </c>
      <c r="K3864" s="31" t="s">
        <v>123</v>
      </c>
      <c r="L3864" s="31" t="s">
        <v>56</v>
      </c>
      <c r="M3864" s="31">
        <v>159</v>
      </c>
      <c r="N3864" s="31">
        <v>2022</v>
      </c>
      <c r="O3864" s="31">
        <v>76</v>
      </c>
      <c r="P3864" s="31"/>
      <c r="Q3864" s="31"/>
      <c r="R3864" s="33"/>
      <c r="S3864" s="34" t="str">
        <f>HYPERLINK("http://www.cnpol.ru/covers/20110.jpg","фото на сайте")</f>
        <v>фото на сайте</v>
      </c>
    </row>
    <row r="3865" spans="1:19" ht="50.1" customHeight="1">
      <c r="A3865" s="31"/>
      <c r="B3865" s="32" t="s">
        <v>14399</v>
      </c>
      <c r="C3865" s="31" t="s">
        <v>8765</v>
      </c>
      <c r="D3865" s="31" t="s">
        <v>1814</v>
      </c>
      <c r="E3865" s="31" t="s">
        <v>14400</v>
      </c>
      <c r="F3865" s="31" t="s">
        <v>31</v>
      </c>
      <c r="G3865" s="31">
        <v>579</v>
      </c>
      <c r="H3865" s="31">
        <v>10</v>
      </c>
      <c r="I3865" s="31">
        <v>10</v>
      </c>
      <c r="J3865" s="31" t="s">
        <v>14401</v>
      </c>
      <c r="K3865" s="31" t="s">
        <v>260</v>
      </c>
      <c r="L3865" s="31" t="s">
        <v>210</v>
      </c>
      <c r="M3865" s="31">
        <v>84</v>
      </c>
      <c r="N3865" s="31">
        <v>2021</v>
      </c>
      <c r="O3865" s="31">
        <v>270</v>
      </c>
      <c r="P3865" s="31"/>
      <c r="Q3865" s="31"/>
      <c r="R3865" s="33"/>
      <c r="S3865" s="34" t="str">
        <f>HYPERLINK("http://www.cnpol.ru/covers/19921.jpg","фото на сайте")</f>
        <v>фото на сайте</v>
      </c>
    </row>
    <row r="3866" spans="1:19" ht="50.1" customHeight="1">
      <c r="A3866" s="31"/>
      <c r="B3866" s="32" t="s">
        <v>14402</v>
      </c>
      <c r="C3866" s="31" t="s">
        <v>13264</v>
      </c>
      <c r="D3866" s="31" t="s">
        <v>14403</v>
      </c>
      <c r="E3866" s="31" t="s">
        <v>14404</v>
      </c>
      <c r="F3866" s="31" t="s">
        <v>31</v>
      </c>
      <c r="G3866" s="31">
        <v>353</v>
      </c>
      <c r="H3866" s="31">
        <v>10</v>
      </c>
      <c r="I3866" s="31">
        <v>24</v>
      </c>
      <c r="J3866" s="31" t="s">
        <v>14405</v>
      </c>
      <c r="K3866" s="31" t="s">
        <v>33</v>
      </c>
      <c r="L3866" s="31" t="s">
        <v>34</v>
      </c>
      <c r="M3866" s="31">
        <v>222</v>
      </c>
      <c r="N3866" s="31">
        <v>2008</v>
      </c>
      <c r="O3866" s="31">
        <v>196</v>
      </c>
      <c r="P3866" s="31"/>
      <c r="Q3866" s="31"/>
      <c r="R3866" s="33"/>
      <c r="S3866" s="34" t="str">
        <f>HYPERLINK("http://www.cnpol.ru/covers/10625.jpg","фото на сайте")</f>
        <v>фото на сайте</v>
      </c>
    </row>
    <row r="3867" spans="1:19" ht="50.1" customHeight="1">
      <c r="A3867" s="31"/>
      <c r="B3867" s="32" t="s">
        <v>14406</v>
      </c>
      <c r="C3867" s="31" t="s">
        <v>546</v>
      </c>
      <c r="D3867" s="31" t="s">
        <v>3610</v>
      </c>
      <c r="E3867" s="31" t="s">
        <v>14407</v>
      </c>
      <c r="F3867" s="31">
        <v>362</v>
      </c>
      <c r="G3867" s="31">
        <v>93</v>
      </c>
      <c r="H3867" s="31">
        <v>10</v>
      </c>
      <c r="I3867" s="31">
        <v>30</v>
      </c>
      <c r="J3867" s="31" t="s">
        <v>14408</v>
      </c>
      <c r="K3867" s="31" t="s">
        <v>123</v>
      </c>
      <c r="L3867" s="31" t="s">
        <v>56</v>
      </c>
      <c r="M3867" s="31">
        <v>160</v>
      </c>
      <c r="N3867" s="31">
        <v>2020</v>
      </c>
      <c r="O3867" s="31">
        <v>76</v>
      </c>
      <c r="P3867" s="31"/>
      <c r="Q3867" s="31"/>
      <c r="R3867" s="33"/>
      <c r="S3867" s="34" t="str">
        <f>HYPERLINK("http://www.cnpol.ru/covers/19384.jpg","фото на сайте")</f>
        <v>фото на сайте</v>
      </c>
    </row>
    <row r="3868" spans="1:19" ht="50.1" customHeight="1">
      <c r="A3868" s="31"/>
      <c r="B3868" s="32" t="s">
        <v>14409</v>
      </c>
      <c r="C3868" s="31" t="s">
        <v>390</v>
      </c>
      <c r="D3868" s="31" t="s">
        <v>14410</v>
      </c>
      <c r="E3868" s="31" t="s">
        <v>14411</v>
      </c>
      <c r="F3868" s="31">
        <v>256</v>
      </c>
      <c r="G3868" s="31">
        <v>86</v>
      </c>
      <c r="H3868" s="31">
        <v>10</v>
      </c>
      <c r="I3868" s="31">
        <v>30</v>
      </c>
      <c r="J3868" s="31" t="s">
        <v>14412</v>
      </c>
      <c r="K3868" s="31" t="s">
        <v>123</v>
      </c>
      <c r="L3868" s="31" t="s">
        <v>56</v>
      </c>
      <c r="M3868" s="31">
        <v>158</v>
      </c>
      <c r="N3868" s="31">
        <v>2012</v>
      </c>
      <c r="O3868" s="31">
        <v>76</v>
      </c>
      <c r="P3868" s="31"/>
      <c r="Q3868" s="31"/>
      <c r="R3868" s="33"/>
      <c r="S3868" s="34" t="str">
        <f>HYPERLINK("http://www.cnpol.ru/covers/13741.jpg","фото на сайте")</f>
        <v>фото на сайте</v>
      </c>
    </row>
    <row r="3869" spans="1:19" ht="50.1" customHeight="1">
      <c r="A3869" s="31"/>
      <c r="B3869" s="32" t="s">
        <v>14413</v>
      </c>
      <c r="C3869" s="31" t="s">
        <v>418</v>
      </c>
      <c r="D3869" s="31" t="s">
        <v>3904</v>
      </c>
      <c r="E3869" s="31" t="s">
        <v>14414</v>
      </c>
      <c r="F3869" s="31">
        <v>73</v>
      </c>
      <c r="G3869" s="31">
        <v>153</v>
      </c>
      <c r="H3869" s="31">
        <v>10</v>
      </c>
      <c r="I3869" s="31">
        <v>24</v>
      </c>
      <c r="J3869" s="31" t="s">
        <v>14415</v>
      </c>
      <c r="K3869" s="31" t="s">
        <v>123</v>
      </c>
      <c r="L3869" s="31" t="s">
        <v>56</v>
      </c>
      <c r="M3869" s="31">
        <v>256</v>
      </c>
      <c r="N3869" s="31">
        <v>2017</v>
      </c>
      <c r="O3869" s="31">
        <v>116</v>
      </c>
      <c r="P3869" s="31"/>
      <c r="Q3869" s="31"/>
      <c r="R3869" s="33"/>
      <c r="S3869" s="34" t="str">
        <f>HYPERLINK("http://www.cnpol.ru/covers/17466.jpg","фото на сайте")</f>
        <v>фото на сайте</v>
      </c>
    </row>
    <row r="3870" spans="1:19" ht="50.1" customHeight="1">
      <c r="A3870" s="31" t="s">
        <v>43</v>
      </c>
      <c r="B3870" s="32" t="s">
        <v>14416</v>
      </c>
      <c r="C3870" s="31" t="s">
        <v>390</v>
      </c>
      <c r="D3870" s="31" t="s">
        <v>10815</v>
      </c>
      <c r="E3870" s="31" t="s">
        <v>14417</v>
      </c>
      <c r="F3870" s="31">
        <v>1183</v>
      </c>
      <c r="G3870" s="31">
        <v>86</v>
      </c>
      <c r="H3870" s="31">
        <v>10</v>
      </c>
      <c r="I3870" s="31">
        <v>30</v>
      </c>
      <c r="J3870" s="31" t="s">
        <v>14418</v>
      </c>
      <c r="K3870" s="31" t="s">
        <v>123</v>
      </c>
      <c r="L3870" s="31" t="s">
        <v>56</v>
      </c>
      <c r="M3870" s="31">
        <v>159</v>
      </c>
      <c r="N3870" s="31">
        <v>2024</v>
      </c>
      <c r="O3870" s="31">
        <v>76</v>
      </c>
      <c r="P3870" s="31"/>
      <c r="Q3870" s="31"/>
      <c r="R3870" s="33" t="s">
        <v>14419</v>
      </c>
      <c r="S3870" s="34" t="str">
        <f>HYPERLINK("http://www.cnpol.ru/covers/21320.jpg","фото на сайте")</f>
        <v>фото на сайте</v>
      </c>
    </row>
    <row r="3871" spans="1:19" ht="50.1" customHeight="1">
      <c r="A3871" s="31"/>
      <c r="B3871" s="32" t="s">
        <v>14420</v>
      </c>
      <c r="C3871" s="31" t="s">
        <v>390</v>
      </c>
      <c r="D3871" s="31" t="s">
        <v>2294</v>
      </c>
      <c r="E3871" s="31" t="s">
        <v>14421</v>
      </c>
      <c r="F3871" s="31">
        <v>801</v>
      </c>
      <c r="G3871" s="31">
        <v>86</v>
      </c>
      <c r="H3871" s="31">
        <v>10</v>
      </c>
      <c r="I3871" s="31">
        <v>30</v>
      </c>
      <c r="J3871" s="31" t="s">
        <v>14422</v>
      </c>
      <c r="K3871" s="31" t="s">
        <v>123</v>
      </c>
      <c r="L3871" s="31" t="s">
        <v>56</v>
      </c>
      <c r="M3871" s="31">
        <v>160</v>
      </c>
      <c r="N3871" s="31">
        <v>2018</v>
      </c>
      <c r="O3871" s="31">
        <v>76</v>
      </c>
      <c r="P3871" s="31"/>
      <c r="Q3871" s="31"/>
      <c r="R3871" s="33"/>
      <c r="S3871" s="34" t="str">
        <f>HYPERLINK("http://www.cnpol.ru/covers/18047.jpg","фото на сайте")</f>
        <v>фото на сайте</v>
      </c>
    </row>
    <row r="3872" spans="1:19" ht="50.1" customHeight="1">
      <c r="A3872" s="31"/>
      <c r="B3872" s="32" t="s">
        <v>14423</v>
      </c>
      <c r="C3872" s="31" t="s">
        <v>390</v>
      </c>
      <c r="D3872" s="31" t="s">
        <v>4657</v>
      </c>
      <c r="E3872" s="31" t="s">
        <v>14424</v>
      </c>
      <c r="F3872" s="31">
        <v>1131</v>
      </c>
      <c r="G3872" s="31">
        <v>86</v>
      </c>
      <c r="H3872" s="31">
        <v>10</v>
      </c>
      <c r="I3872" s="31">
        <v>30</v>
      </c>
      <c r="J3872" s="31" t="s">
        <v>14425</v>
      </c>
      <c r="K3872" s="31" t="s">
        <v>123</v>
      </c>
      <c r="L3872" s="31" t="s">
        <v>56</v>
      </c>
      <c r="M3872" s="31">
        <v>159</v>
      </c>
      <c r="N3872" s="31">
        <v>2023</v>
      </c>
      <c r="O3872" s="31">
        <v>76</v>
      </c>
      <c r="P3872" s="31"/>
      <c r="Q3872" s="31"/>
      <c r="R3872" s="33" t="s">
        <v>14426</v>
      </c>
      <c r="S3872" s="34" t="str">
        <f>HYPERLINK("http://www.cnpol.ru/covers/20543.jpg","фото на сайте")</f>
        <v>фото на сайте</v>
      </c>
    </row>
    <row r="3873" spans="1:19" ht="50.1" customHeight="1">
      <c r="A3873" s="31"/>
      <c r="B3873" s="32" t="s">
        <v>14427</v>
      </c>
      <c r="C3873" s="31" t="s">
        <v>390</v>
      </c>
      <c r="D3873" s="31" t="s">
        <v>14428</v>
      </c>
      <c r="E3873" s="31" t="s">
        <v>14429</v>
      </c>
      <c r="F3873" s="31">
        <v>1006</v>
      </c>
      <c r="G3873" s="31">
        <v>86</v>
      </c>
      <c r="H3873" s="31">
        <v>10</v>
      </c>
      <c r="I3873" s="31">
        <v>30</v>
      </c>
      <c r="J3873" s="31" t="s">
        <v>14430</v>
      </c>
      <c r="K3873" s="31" t="s">
        <v>123</v>
      </c>
      <c r="L3873" s="31" t="s">
        <v>56</v>
      </c>
      <c r="M3873" s="31">
        <v>160</v>
      </c>
      <c r="N3873" s="31">
        <v>2020</v>
      </c>
      <c r="O3873" s="31">
        <v>76</v>
      </c>
      <c r="P3873" s="31"/>
      <c r="Q3873" s="31"/>
      <c r="R3873" s="33"/>
      <c r="S3873" s="34" t="str">
        <f>HYPERLINK("http://www.cnpol.ru/covers/19422.jpg","фото на сайте")</f>
        <v>фото на сайте</v>
      </c>
    </row>
    <row r="3874" spans="1:19" ht="50.1" customHeight="1">
      <c r="A3874" s="31"/>
      <c r="B3874" s="32" t="s">
        <v>14431</v>
      </c>
      <c r="C3874" s="31" t="s">
        <v>3072</v>
      </c>
      <c r="D3874" s="31" t="s">
        <v>1560</v>
      </c>
      <c r="E3874" s="31" t="s">
        <v>14432</v>
      </c>
      <c r="F3874" s="31" t="s">
        <v>31</v>
      </c>
      <c r="G3874" s="31">
        <v>290</v>
      </c>
      <c r="H3874" s="31">
        <v>10</v>
      </c>
      <c r="I3874" s="31">
        <v>18</v>
      </c>
      <c r="J3874" s="31" t="s">
        <v>14433</v>
      </c>
      <c r="K3874" s="31" t="s">
        <v>33</v>
      </c>
      <c r="L3874" s="31" t="s">
        <v>34</v>
      </c>
      <c r="M3874" s="31">
        <v>239</v>
      </c>
      <c r="N3874" s="31">
        <v>2008</v>
      </c>
      <c r="O3874" s="31">
        <v>222</v>
      </c>
      <c r="P3874" s="31"/>
      <c r="Q3874" s="31"/>
      <c r="R3874" s="33"/>
      <c r="S3874" s="34" t="str">
        <f>HYPERLINK("http://www.cnpol.ru/covers/10029.jpg","фото на сайте")</f>
        <v>фото на сайте</v>
      </c>
    </row>
    <row r="3875" spans="1:19" ht="50.1" customHeight="1">
      <c r="A3875" s="31"/>
      <c r="B3875" s="32" t="s">
        <v>14434</v>
      </c>
      <c r="C3875" s="31" t="s">
        <v>546</v>
      </c>
      <c r="D3875" s="31" t="s">
        <v>391</v>
      </c>
      <c r="E3875" s="31" t="s">
        <v>14435</v>
      </c>
      <c r="F3875" s="31">
        <v>432</v>
      </c>
      <c r="G3875" s="31">
        <v>93</v>
      </c>
      <c r="H3875" s="31">
        <v>10</v>
      </c>
      <c r="I3875" s="31">
        <v>30</v>
      </c>
      <c r="J3875" s="31" t="s">
        <v>14436</v>
      </c>
      <c r="K3875" s="31" t="s">
        <v>123</v>
      </c>
      <c r="L3875" s="31" t="s">
        <v>56</v>
      </c>
      <c r="M3875" s="31">
        <v>159</v>
      </c>
      <c r="N3875" s="31">
        <v>2023</v>
      </c>
      <c r="O3875" s="31">
        <v>76</v>
      </c>
      <c r="P3875" s="31"/>
      <c r="Q3875" s="31"/>
      <c r="R3875" s="33" t="s">
        <v>14437</v>
      </c>
      <c r="S3875" s="34" t="str">
        <f>HYPERLINK("http://www.cnpol.ru/covers/20763.jpg","фото на сайте")</f>
        <v>фото на сайте</v>
      </c>
    </row>
    <row r="3876" spans="1:19" ht="50.1" customHeight="1">
      <c r="A3876" s="31"/>
      <c r="B3876" s="32" t="s">
        <v>14438</v>
      </c>
      <c r="C3876" s="31" t="s">
        <v>413</v>
      </c>
      <c r="D3876" s="31" t="s">
        <v>1581</v>
      </c>
      <c r="E3876" s="31" t="s">
        <v>14439</v>
      </c>
      <c r="F3876" s="31">
        <v>140</v>
      </c>
      <c r="G3876" s="31">
        <v>117</v>
      </c>
      <c r="H3876" s="31">
        <v>10</v>
      </c>
      <c r="I3876" s="31">
        <v>36</v>
      </c>
      <c r="J3876" s="31" t="s">
        <v>14440</v>
      </c>
      <c r="K3876" s="31" t="s">
        <v>123</v>
      </c>
      <c r="L3876" s="31" t="s">
        <v>56</v>
      </c>
      <c r="M3876" s="31">
        <v>192</v>
      </c>
      <c r="N3876" s="31">
        <v>2017</v>
      </c>
      <c r="O3876" s="31">
        <v>90</v>
      </c>
      <c r="P3876" s="31"/>
      <c r="Q3876" s="31"/>
      <c r="R3876" s="33"/>
      <c r="S3876" s="34" t="str">
        <f>HYPERLINK("http://www.cnpol.ru/covers/17341.jpg","фото на сайте")</f>
        <v>фото на сайте</v>
      </c>
    </row>
    <row r="3877" spans="1:19" ht="50.1" customHeight="1">
      <c r="A3877" s="31"/>
      <c r="B3877" s="32" t="s">
        <v>14441</v>
      </c>
      <c r="C3877" s="31" t="s">
        <v>423</v>
      </c>
      <c r="D3877" s="31" t="s">
        <v>8635</v>
      </c>
      <c r="E3877" s="31" t="s">
        <v>14442</v>
      </c>
      <c r="F3877" s="31" t="s">
        <v>31</v>
      </c>
      <c r="G3877" s="31">
        <v>154</v>
      </c>
      <c r="H3877" s="31">
        <v>10</v>
      </c>
      <c r="I3877" s="31">
        <v>32</v>
      </c>
      <c r="J3877" s="31" t="s">
        <v>14443</v>
      </c>
      <c r="K3877" s="31" t="s">
        <v>55</v>
      </c>
      <c r="L3877" s="31" t="s">
        <v>56</v>
      </c>
      <c r="M3877" s="31">
        <v>287</v>
      </c>
      <c r="N3877" s="31">
        <v>2010</v>
      </c>
      <c r="O3877" s="31">
        <v>122</v>
      </c>
      <c r="P3877" s="31"/>
      <c r="Q3877" s="31"/>
      <c r="R3877" s="33"/>
      <c r="S3877" s="34" t="str">
        <f>HYPERLINK("http://www.cnpol.ru/covers/12292.jpg","фото на сайте")</f>
        <v>фото на сайте</v>
      </c>
    </row>
    <row r="3878" spans="1:19" ht="50.1" customHeight="1">
      <c r="A3878" s="31"/>
      <c r="B3878" s="32" t="s">
        <v>14444</v>
      </c>
      <c r="C3878" s="31" t="s">
        <v>390</v>
      </c>
      <c r="D3878" s="31" t="s">
        <v>1801</v>
      </c>
      <c r="E3878" s="31" t="s">
        <v>14445</v>
      </c>
      <c r="F3878" s="31">
        <v>666</v>
      </c>
      <c r="G3878" s="31">
        <v>86</v>
      </c>
      <c r="H3878" s="31">
        <v>10</v>
      </c>
      <c r="I3878" s="31">
        <v>30</v>
      </c>
      <c r="J3878" s="31" t="s">
        <v>14446</v>
      </c>
      <c r="K3878" s="31" t="s">
        <v>123</v>
      </c>
      <c r="L3878" s="31" t="s">
        <v>56</v>
      </c>
      <c r="M3878" s="31">
        <v>160</v>
      </c>
      <c r="N3878" s="31">
        <v>2016</v>
      </c>
      <c r="O3878" s="31">
        <v>76</v>
      </c>
      <c r="P3878" s="31"/>
      <c r="Q3878" s="31"/>
      <c r="R3878" s="33"/>
      <c r="S3878" s="34" t="str">
        <f>HYPERLINK("http://www.cnpol.ru/covers/17116.jpg","фото на сайте")</f>
        <v>фото на сайте</v>
      </c>
    </row>
    <row r="3879" spans="1:19" ht="50.1" customHeight="1">
      <c r="A3879" s="31"/>
      <c r="B3879" s="32" t="s">
        <v>14447</v>
      </c>
      <c r="C3879" s="31" t="s">
        <v>390</v>
      </c>
      <c r="D3879" s="31" t="s">
        <v>1599</v>
      </c>
      <c r="E3879" s="31" t="s">
        <v>14448</v>
      </c>
      <c r="F3879" s="31">
        <v>997</v>
      </c>
      <c r="G3879" s="31">
        <v>86</v>
      </c>
      <c r="H3879" s="31">
        <v>10</v>
      </c>
      <c r="I3879" s="31">
        <v>30</v>
      </c>
      <c r="J3879" s="31" t="s">
        <v>14449</v>
      </c>
      <c r="K3879" s="31" t="s">
        <v>123</v>
      </c>
      <c r="L3879" s="31" t="s">
        <v>56</v>
      </c>
      <c r="M3879" s="31">
        <v>160</v>
      </c>
      <c r="N3879" s="31">
        <v>2020</v>
      </c>
      <c r="O3879" s="31">
        <v>76</v>
      </c>
      <c r="P3879" s="31"/>
      <c r="Q3879" s="31"/>
      <c r="R3879" s="33"/>
      <c r="S3879" s="34" t="str">
        <f>HYPERLINK("http://www.cnpol.ru/covers/19336.jpg","фото на сайте")</f>
        <v>фото на сайте</v>
      </c>
    </row>
    <row r="3880" spans="1:19" ht="50.1" customHeight="1">
      <c r="A3880" s="31"/>
      <c r="B3880" s="32" t="s">
        <v>14450</v>
      </c>
      <c r="C3880" s="31" t="s">
        <v>390</v>
      </c>
      <c r="D3880" s="31" t="s">
        <v>4657</v>
      </c>
      <c r="E3880" s="31" t="s">
        <v>14451</v>
      </c>
      <c r="F3880" s="31">
        <v>1011</v>
      </c>
      <c r="G3880" s="31">
        <v>86</v>
      </c>
      <c r="H3880" s="31">
        <v>10</v>
      </c>
      <c r="I3880" s="31">
        <v>30</v>
      </c>
      <c r="J3880" s="31" t="s">
        <v>14452</v>
      </c>
      <c r="K3880" s="31" t="s">
        <v>123</v>
      </c>
      <c r="L3880" s="31" t="s">
        <v>56</v>
      </c>
      <c r="M3880" s="31">
        <v>160</v>
      </c>
      <c r="N3880" s="31">
        <v>2020</v>
      </c>
      <c r="O3880" s="31">
        <v>76</v>
      </c>
      <c r="P3880" s="31"/>
      <c r="Q3880" s="31"/>
      <c r="R3880" s="33"/>
      <c r="S3880" s="34" t="str">
        <f>HYPERLINK("http://www.cnpol.ru/covers/19445.jpg","фото на сайте")</f>
        <v>фото на сайте</v>
      </c>
    </row>
    <row r="3881" spans="1:19" ht="50.1" customHeight="1">
      <c r="A3881" s="31" t="s">
        <v>35</v>
      </c>
      <c r="B3881" s="32" t="s">
        <v>14453</v>
      </c>
      <c r="C3881" s="31" t="s">
        <v>2434</v>
      </c>
      <c r="D3881" s="31" t="s">
        <v>2435</v>
      </c>
      <c r="E3881" s="31" t="s">
        <v>14454</v>
      </c>
      <c r="F3881" s="31" t="s">
        <v>31</v>
      </c>
      <c r="G3881" s="31">
        <v>771</v>
      </c>
      <c r="H3881" s="31">
        <v>10</v>
      </c>
      <c r="I3881" s="31">
        <v>10</v>
      </c>
      <c r="J3881" s="31" t="s">
        <v>14455</v>
      </c>
      <c r="K3881" s="31" t="s">
        <v>33</v>
      </c>
      <c r="L3881" s="31" t="s">
        <v>34</v>
      </c>
      <c r="M3881" s="31">
        <v>222</v>
      </c>
      <c r="N3881" s="31">
        <v>2025</v>
      </c>
      <c r="O3881" s="31" t="s">
        <v>220</v>
      </c>
      <c r="P3881" s="31"/>
      <c r="Q3881" s="31"/>
      <c r="R3881" s="33" t="s">
        <v>14456</v>
      </c>
      <c r="S3881" s="34" t="str">
        <f>HYPERLINK("http://www.cnpol.ru/covers/21845.jpg","фото на сайте")</f>
        <v>фото на сайте</v>
      </c>
    </row>
    <row r="3882" spans="1:19" ht="50.1" customHeight="1">
      <c r="A3882" s="31"/>
      <c r="B3882" s="32" t="s">
        <v>14457</v>
      </c>
      <c r="C3882" s="31" t="s">
        <v>479</v>
      </c>
      <c r="D3882" s="31" t="s">
        <v>7146</v>
      </c>
      <c r="E3882" s="31" t="s">
        <v>14458</v>
      </c>
      <c r="F3882" s="31" t="s">
        <v>31</v>
      </c>
      <c r="G3882" s="31">
        <v>675</v>
      </c>
      <c r="H3882" s="31">
        <v>10</v>
      </c>
      <c r="I3882" s="31">
        <v>10</v>
      </c>
      <c r="J3882" s="31" t="s">
        <v>14459</v>
      </c>
      <c r="K3882" s="31" t="s">
        <v>33</v>
      </c>
      <c r="L3882" s="31" t="s">
        <v>34</v>
      </c>
      <c r="M3882" s="31">
        <v>448</v>
      </c>
      <c r="N3882" s="31">
        <v>2017</v>
      </c>
      <c r="O3882" s="31">
        <v>450</v>
      </c>
      <c r="P3882" s="31"/>
      <c r="Q3882" s="31"/>
      <c r="R3882" s="33"/>
      <c r="S3882" s="34" t="str">
        <f>HYPERLINK("http://www.cnpol.ru/covers/17366.jpg","фото на сайте")</f>
        <v>фото на сайте</v>
      </c>
    </row>
    <row r="3883" spans="1:19" ht="50.1" customHeight="1">
      <c r="A3883" s="31"/>
      <c r="B3883" s="32" t="s">
        <v>14460</v>
      </c>
      <c r="C3883" s="31" t="s">
        <v>400</v>
      </c>
      <c r="D3883" s="31" t="s">
        <v>14461</v>
      </c>
      <c r="E3883" s="31" t="s">
        <v>14462</v>
      </c>
      <c r="F3883" s="31" t="s">
        <v>31</v>
      </c>
      <c r="G3883" s="31">
        <v>503</v>
      </c>
      <c r="H3883" s="31">
        <v>10</v>
      </c>
      <c r="I3883" s="31">
        <v>14</v>
      </c>
      <c r="J3883" s="31" t="s">
        <v>14463</v>
      </c>
      <c r="K3883" s="31" t="s">
        <v>33</v>
      </c>
      <c r="L3883" s="31" t="s">
        <v>34</v>
      </c>
      <c r="M3883" s="31">
        <v>320</v>
      </c>
      <c r="N3883" s="31">
        <v>2018</v>
      </c>
      <c r="O3883" s="31">
        <v>274</v>
      </c>
      <c r="P3883" s="31"/>
      <c r="Q3883" s="31"/>
      <c r="R3883" s="33"/>
      <c r="S3883" s="34" t="str">
        <f>HYPERLINK("http://www.cnpol.ru/covers/18080.jpg","фото на сайте")</f>
        <v>фото на сайте</v>
      </c>
    </row>
    <row r="3884" spans="1:19" ht="50.1" customHeight="1">
      <c r="A3884" s="31"/>
      <c r="B3884" s="32" t="s">
        <v>14464</v>
      </c>
      <c r="C3884" s="31" t="s">
        <v>2420</v>
      </c>
      <c r="D3884" s="31" t="s">
        <v>10892</v>
      </c>
      <c r="E3884" s="31" t="s">
        <v>14465</v>
      </c>
      <c r="F3884" s="31" t="s">
        <v>31</v>
      </c>
      <c r="G3884" s="31">
        <v>88</v>
      </c>
      <c r="H3884" s="31">
        <v>10</v>
      </c>
      <c r="I3884" s="31">
        <v>30</v>
      </c>
      <c r="J3884" s="31" t="s">
        <v>14466</v>
      </c>
      <c r="K3884" s="31" t="s">
        <v>123</v>
      </c>
      <c r="L3884" s="31" t="s">
        <v>56</v>
      </c>
      <c r="M3884" s="31">
        <v>159</v>
      </c>
      <c r="N3884" s="31">
        <v>2007</v>
      </c>
      <c r="O3884" s="31">
        <v>78</v>
      </c>
      <c r="P3884" s="31"/>
      <c r="Q3884" s="31"/>
      <c r="R3884" s="33"/>
      <c r="S3884" s="34" t="str">
        <f>HYPERLINK("http://www.cnpol.ru/covers/7394.jpg","фото на сайте")</f>
        <v>фото на сайте</v>
      </c>
    </row>
    <row r="3885" spans="1:19" ht="50.1" customHeight="1">
      <c r="A3885" s="31"/>
      <c r="B3885" s="32" t="s">
        <v>14467</v>
      </c>
      <c r="C3885" s="31" t="s">
        <v>390</v>
      </c>
      <c r="D3885" s="31" t="s">
        <v>989</v>
      </c>
      <c r="E3885" s="31" t="s">
        <v>14468</v>
      </c>
      <c r="F3885" s="31">
        <v>600</v>
      </c>
      <c r="G3885" s="31">
        <v>86</v>
      </c>
      <c r="H3885" s="31">
        <v>10</v>
      </c>
      <c r="I3885" s="31">
        <v>30</v>
      </c>
      <c r="J3885" s="31" t="s">
        <v>14469</v>
      </c>
      <c r="K3885" s="31" t="s">
        <v>123</v>
      </c>
      <c r="L3885" s="31" t="s">
        <v>56</v>
      </c>
      <c r="M3885" s="31">
        <v>160</v>
      </c>
      <c r="N3885" s="31">
        <v>2016</v>
      </c>
      <c r="O3885" s="31">
        <v>76</v>
      </c>
      <c r="P3885" s="31"/>
      <c r="Q3885" s="31"/>
      <c r="R3885" s="33"/>
      <c r="S3885" s="34" t="str">
        <f>HYPERLINK("http://www.cnpol.ru/covers/16628.jpg","фото на сайте")</f>
        <v>фото на сайте</v>
      </c>
    </row>
    <row r="3886" spans="1:19" ht="50.1" customHeight="1">
      <c r="A3886" s="31"/>
      <c r="B3886" s="32" t="s">
        <v>14470</v>
      </c>
      <c r="C3886" s="31" t="s">
        <v>37</v>
      </c>
      <c r="D3886" s="31" t="s">
        <v>14471</v>
      </c>
      <c r="E3886" s="31" t="s">
        <v>14472</v>
      </c>
      <c r="F3886" s="31" t="s">
        <v>31</v>
      </c>
      <c r="G3886" s="31">
        <v>392</v>
      </c>
      <c r="H3886" s="31">
        <v>10</v>
      </c>
      <c r="I3886" s="31">
        <v>20</v>
      </c>
      <c r="J3886" s="31" t="s">
        <v>14473</v>
      </c>
      <c r="K3886" s="31" t="s">
        <v>33</v>
      </c>
      <c r="L3886" s="31" t="s">
        <v>34</v>
      </c>
      <c r="M3886" s="31">
        <v>191</v>
      </c>
      <c r="N3886" s="31">
        <v>2023</v>
      </c>
      <c r="O3886" s="31">
        <v>245</v>
      </c>
      <c r="P3886" s="31"/>
      <c r="Q3886" s="31"/>
      <c r="R3886" s="33" t="s">
        <v>14474</v>
      </c>
      <c r="S3886" s="34" t="str">
        <f>HYPERLINK("http://www.cnpol.ru/covers/20776.jpg","фото на сайте")</f>
        <v>фото на сайте</v>
      </c>
    </row>
    <row r="3887" spans="1:19" ht="50.1" customHeight="1">
      <c r="A3887" s="31"/>
      <c r="B3887" s="32" t="s">
        <v>14475</v>
      </c>
      <c r="C3887" s="31" t="s">
        <v>8389</v>
      </c>
      <c r="D3887" s="31" t="s">
        <v>8390</v>
      </c>
      <c r="E3887" s="31" t="s">
        <v>14476</v>
      </c>
      <c r="F3887" s="31" t="s">
        <v>31</v>
      </c>
      <c r="G3887" s="31">
        <v>137</v>
      </c>
      <c r="H3887" s="31">
        <v>10</v>
      </c>
      <c r="I3887" s="31">
        <v>20</v>
      </c>
      <c r="J3887" s="31" t="s">
        <v>14477</v>
      </c>
      <c r="K3887" s="31" t="s">
        <v>123</v>
      </c>
      <c r="L3887" s="31" t="s">
        <v>56</v>
      </c>
      <c r="M3887" s="31">
        <v>160</v>
      </c>
      <c r="N3887" s="31">
        <v>2020</v>
      </c>
      <c r="O3887" s="31">
        <v>76</v>
      </c>
      <c r="P3887" s="31"/>
      <c r="Q3887" s="31"/>
      <c r="R3887" s="33"/>
      <c r="S3887" s="34" t="str">
        <f>HYPERLINK("http://www.cnpol.ru/covers/19177.jpg","фото на сайте")</f>
        <v>фото на сайте</v>
      </c>
    </row>
    <row r="3888" spans="1:19" ht="50.1" customHeight="1">
      <c r="A3888" s="31"/>
      <c r="B3888" s="32" t="s">
        <v>14478</v>
      </c>
      <c r="C3888" s="31" t="s">
        <v>533</v>
      </c>
      <c r="D3888" s="31" t="s">
        <v>8427</v>
      </c>
      <c r="E3888" s="31" t="s">
        <v>14479</v>
      </c>
      <c r="F3888" s="31" t="s">
        <v>31</v>
      </c>
      <c r="G3888" s="31">
        <v>236</v>
      </c>
      <c r="H3888" s="31">
        <v>10</v>
      </c>
      <c r="I3888" s="31">
        <v>10</v>
      </c>
      <c r="J3888" s="31" t="s">
        <v>14480</v>
      </c>
      <c r="K3888" s="31" t="s">
        <v>33</v>
      </c>
      <c r="L3888" s="31" t="s">
        <v>34</v>
      </c>
      <c r="M3888" s="31">
        <v>491</v>
      </c>
      <c r="N3888" s="31">
        <v>2001</v>
      </c>
      <c r="O3888" s="31">
        <v>388</v>
      </c>
      <c r="P3888" s="31"/>
      <c r="Q3888" s="31"/>
      <c r="R3888" s="33"/>
      <c r="S3888" s="34" t="str">
        <f>HYPERLINK("http://www.cnpol.ru/covers/2437.jpg","фото на сайте")</f>
        <v>фото на сайте</v>
      </c>
    </row>
    <row r="3889" spans="1:19" ht="50.1" customHeight="1">
      <c r="A3889" s="31"/>
      <c r="B3889" s="32" t="s">
        <v>14481</v>
      </c>
      <c r="C3889" s="31" t="s">
        <v>423</v>
      </c>
      <c r="D3889" s="31" t="s">
        <v>7403</v>
      </c>
      <c r="E3889" s="31" t="s">
        <v>14482</v>
      </c>
      <c r="F3889" s="31" t="s">
        <v>31</v>
      </c>
      <c r="G3889" s="31">
        <v>154</v>
      </c>
      <c r="H3889" s="31">
        <v>10</v>
      </c>
      <c r="I3889" s="31">
        <v>16</v>
      </c>
      <c r="J3889" s="31" t="s">
        <v>14483</v>
      </c>
      <c r="K3889" s="31" t="s">
        <v>55</v>
      </c>
      <c r="L3889" s="31" t="s">
        <v>56</v>
      </c>
      <c r="M3889" s="31">
        <v>447</v>
      </c>
      <c r="N3889" s="31">
        <v>2005</v>
      </c>
      <c r="O3889" s="31">
        <v>184</v>
      </c>
      <c r="P3889" s="31"/>
      <c r="Q3889" s="31"/>
      <c r="R3889" s="33"/>
      <c r="S3889" s="34" t="str">
        <f>HYPERLINK("http://www.cnpol.ru/covers/5899.jpg","фото на сайте")</f>
        <v>фото на сайте</v>
      </c>
    </row>
    <row r="3890" spans="1:19" ht="50.1" customHeight="1">
      <c r="A3890" s="31"/>
      <c r="B3890" s="32" t="s">
        <v>14484</v>
      </c>
      <c r="C3890" s="31" t="s">
        <v>546</v>
      </c>
      <c r="D3890" s="31" t="s">
        <v>2976</v>
      </c>
      <c r="E3890" s="31" t="s">
        <v>14485</v>
      </c>
      <c r="F3890" s="31">
        <v>372</v>
      </c>
      <c r="G3890" s="31">
        <v>93</v>
      </c>
      <c r="H3890" s="31">
        <v>10</v>
      </c>
      <c r="I3890" s="31">
        <v>30</v>
      </c>
      <c r="J3890" s="31" t="s">
        <v>14486</v>
      </c>
      <c r="K3890" s="31" t="s">
        <v>123</v>
      </c>
      <c r="L3890" s="31" t="s">
        <v>56</v>
      </c>
      <c r="M3890" s="31">
        <v>160</v>
      </c>
      <c r="N3890" s="31">
        <v>2021</v>
      </c>
      <c r="O3890" s="31">
        <v>76</v>
      </c>
      <c r="P3890" s="31"/>
      <c r="Q3890" s="31"/>
      <c r="R3890" s="33"/>
      <c r="S3890" s="34" t="str">
        <f>HYPERLINK("http://www.cnpol.ru/covers/19598.jpg","фото на сайте")</f>
        <v>фото на сайте</v>
      </c>
    </row>
    <row r="3891" spans="1:19" ht="50.1" customHeight="1">
      <c r="A3891" s="31"/>
      <c r="B3891" s="32" t="s">
        <v>14487</v>
      </c>
      <c r="C3891" s="31" t="s">
        <v>390</v>
      </c>
      <c r="D3891" s="31" t="s">
        <v>4374</v>
      </c>
      <c r="E3891" s="31" t="s">
        <v>14488</v>
      </c>
      <c r="F3891" s="31">
        <v>1081</v>
      </c>
      <c r="G3891" s="31">
        <v>86</v>
      </c>
      <c r="H3891" s="31">
        <v>10</v>
      </c>
      <c r="I3891" s="31">
        <v>30</v>
      </c>
      <c r="J3891" s="31" t="s">
        <v>14489</v>
      </c>
      <c r="K3891" s="31" t="s">
        <v>123</v>
      </c>
      <c r="L3891" s="31" t="s">
        <v>56</v>
      </c>
      <c r="M3891" s="31">
        <v>159</v>
      </c>
      <c r="N3891" s="31">
        <v>2022</v>
      </c>
      <c r="O3891" s="31">
        <v>76</v>
      </c>
      <c r="P3891" s="31"/>
      <c r="Q3891" s="31"/>
      <c r="R3891" s="33"/>
      <c r="S3891" s="34" t="str">
        <f>HYPERLINK("http://www.cnpol.ru/covers/20109.jpg","фото на сайте")</f>
        <v>фото на сайте</v>
      </c>
    </row>
    <row r="3892" spans="1:19" ht="50.1" customHeight="1">
      <c r="A3892" s="31"/>
      <c r="B3892" s="32" t="s">
        <v>14490</v>
      </c>
      <c r="C3892" s="31" t="s">
        <v>390</v>
      </c>
      <c r="D3892" s="31" t="s">
        <v>1846</v>
      </c>
      <c r="E3892" s="31" t="s">
        <v>14491</v>
      </c>
      <c r="F3892" s="31">
        <v>1132</v>
      </c>
      <c r="G3892" s="31">
        <v>86</v>
      </c>
      <c r="H3892" s="31">
        <v>10</v>
      </c>
      <c r="I3892" s="31">
        <v>30</v>
      </c>
      <c r="J3892" s="31" t="s">
        <v>14492</v>
      </c>
      <c r="K3892" s="31" t="s">
        <v>123</v>
      </c>
      <c r="L3892" s="31" t="s">
        <v>56</v>
      </c>
      <c r="M3892" s="31">
        <v>159</v>
      </c>
      <c r="N3892" s="31">
        <v>2023</v>
      </c>
      <c r="O3892" s="31">
        <v>76</v>
      </c>
      <c r="P3892" s="31"/>
      <c r="Q3892" s="31"/>
      <c r="R3892" s="33" t="s">
        <v>14493</v>
      </c>
      <c r="S3892" s="34" t="str">
        <f>HYPERLINK("http://www.cnpol.ru/covers/20575.jpg","фото на сайте")</f>
        <v>фото на сайте</v>
      </c>
    </row>
    <row r="3893" spans="1:19" ht="50.1" customHeight="1">
      <c r="A3893" s="31"/>
      <c r="B3893" s="32" t="s">
        <v>14494</v>
      </c>
      <c r="C3893" s="31" t="s">
        <v>418</v>
      </c>
      <c r="D3893" s="31" t="s">
        <v>1356</v>
      </c>
      <c r="E3893" s="31" t="s">
        <v>14495</v>
      </c>
      <c r="F3893" s="31">
        <v>75</v>
      </c>
      <c r="G3893" s="31">
        <v>153</v>
      </c>
      <c r="H3893" s="31">
        <v>10</v>
      </c>
      <c r="I3893" s="31">
        <v>24</v>
      </c>
      <c r="J3893" s="31" t="s">
        <v>14496</v>
      </c>
      <c r="K3893" s="31" t="s">
        <v>123</v>
      </c>
      <c r="L3893" s="31" t="s">
        <v>56</v>
      </c>
      <c r="M3893" s="31">
        <v>256</v>
      </c>
      <c r="N3893" s="31">
        <v>2017</v>
      </c>
      <c r="O3893" s="31">
        <v>116</v>
      </c>
      <c r="P3893" s="31"/>
      <c r="Q3893" s="31"/>
      <c r="R3893" s="33"/>
      <c r="S3893" s="34" t="str">
        <f>HYPERLINK("http://www.cnpol.ru/covers/17547.jpg","фото на сайте")</f>
        <v>фото на сайте</v>
      </c>
    </row>
    <row r="3894" spans="1:19" ht="50.1" customHeight="1">
      <c r="A3894" s="31"/>
      <c r="B3894" s="32" t="s">
        <v>14497</v>
      </c>
      <c r="C3894" s="31" t="s">
        <v>390</v>
      </c>
      <c r="D3894" s="31" t="s">
        <v>1805</v>
      </c>
      <c r="E3894" s="31" t="s">
        <v>14498</v>
      </c>
      <c r="F3894" s="31">
        <v>747</v>
      </c>
      <c r="G3894" s="31">
        <v>86</v>
      </c>
      <c r="H3894" s="31">
        <v>10</v>
      </c>
      <c r="I3894" s="31">
        <v>30</v>
      </c>
      <c r="J3894" s="31" t="s">
        <v>14499</v>
      </c>
      <c r="K3894" s="31" t="s">
        <v>123</v>
      </c>
      <c r="L3894" s="31" t="s">
        <v>56</v>
      </c>
      <c r="M3894" s="31">
        <v>160</v>
      </c>
      <c r="N3894" s="31">
        <v>2017</v>
      </c>
      <c r="O3894" s="31">
        <v>76</v>
      </c>
      <c r="P3894" s="31"/>
      <c r="Q3894" s="31"/>
      <c r="R3894" s="33"/>
      <c r="S3894" s="34" t="str">
        <f>HYPERLINK("http://www.cnpol.ru/covers/17656.jpg","фото на сайте")</f>
        <v>фото на сайте</v>
      </c>
    </row>
    <row r="3895" spans="1:19" ht="50.1" customHeight="1">
      <c r="A3895" s="31"/>
      <c r="B3895" s="32" t="s">
        <v>14500</v>
      </c>
      <c r="C3895" s="31" t="s">
        <v>390</v>
      </c>
      <c r="D3895" s="31" t="s">
        <v>1356</v>
      </c>
      <c r="E3895" s="31" t="s">
        <v>14501</v>
      </c>
      <c r="F3895" s="31">
        <v>513</v>
      </c>
      <c r="G3895" s="31">
        <v>86</v>
      </c>
      <c r="H3895" s="31">
        <v>10</v>
      </c>
      <c r="I3895" s="31">
        <v>30</v>
      </c>
      <c r="J3895" s="31" t="s">
        <v>14502</v>
      </c>
      <c r="K3895" s="31" t="s">
        <v>123</v>
      </c>
      <c r="L3895" s="31" t="s">
        <v>56</v>
      </c>
      <c r="M3895" s="31">
        <v>158</v>
      </c>
      <c r="N3895" s="31">
        <v>2015</v>
      </c>
      <c r="O3895" s="31">
        <v>78</v>
      </c>
      <c r="P3895" s="31"/>
      <c r="Q3895" s="31"/>
      <c r="R3895" s="33"/>
      <c r="S3895" s="34" t="str">
        <f>HYPERLINK("http://www.cnpol.ru/covers/15968.jpg","фото на сайте")</f>
        <v>фото на сайте</v>
      </c>
    </row>
    <row r="3896" spans="1:19" ht="50.1" customHeight="1">
      <c r="A3896" s="31"/>
      <c r="B3896" s="32" t="s">
        <v>14503</v>
      </c>
      <c r="C3896" s="31" t="s">
        <v>390</v>
      </c>
      <c r="D3896" s="31" t="s">
        <v>8024</v>
      </c>
      <c r="E3896" s="31" t="s">
        <v>14504</v>
      </c>
      <c r="F3896" s="31">
        <v>505</v>
      </c>
      <c r="G3896" s="31">
        <v>86</v>
      </c>
      <c r="H3896" s="31">
        <v>10</v>
      </c>
      <c r="I3896" s="31">
        <v>30</v>
      </c>
      <c r="J3896" s="31" t="s">
        <v>14505</v>
      </c>
      <c r="K3896" s="31" t="s">
        <v>123</v>
      </c>
      <c r="L3896" s="31" t="s">
        <v>56</v>
      </c>
      <c r="M3896" s="31">
        <v>158</v>
      </c>
      <c r="N3896" s="31">
        <v>2015</v>
      </c>
      <c r="O3896" s="31">
        <v>78</v>
      </c>
      <c r="P3896" s="31"/>
      <c r="Q3896" s="31"/>
      <c r="R3896" s="33"/>
      <c r="S3896" s="34" t="str">
        <f>HYPERLINK("http://www.cnpol.ru/covers/15914.jpg","фото на сайте")</f>
        <v>фото на сайте</v>
      </c>
    </row>
    <row r="3897" spans="1:19" ht="50.1" customHeight="1">
      <c r="A3897" s="31"/>
      <c r="B3897" s="32" t="s">
        <v>14506</v>
      </c>
      <c r="C3897" s="31" t="s">
        <v>390</v>
      </c>
      <c r="D3897" s="31" t="s">
        <v>10259</v>
      </c>
      <c r="E3897" s="31" t="s">
        <v>14507</v>
      </c>
      <c r="F3897" s="31">
        <v>432</v>
      </c>
      <c r="G3897" s="31">
        <v>86</v>
      </c>
      <c r="H3897" s="31">
        <v>10</v>
      </c>
      <c r="I3897" s="31">
        <v>30</v>
      </c>
      <c r="J3897" s="31" t="s">
        <v>14508</v>
      </c>
      <c r="K3897" s="31" t="s">
        <v>123</v>
      </c>
      <c r="L3897" s="31" t="s">
        <v>56</v>
      </c>
      <c r="M3897" s="31">
        <v>158</v>
      </c>
      <c r="N3897" s="31">
        <v>2014</v>
      </c>
      <c r="O3897" s="31">
        <v>76</v>
      </c>
      <c r="P3897" s="31"/>
      <c r="Q3897" s="31"/>
      <c r="R3897" s="33"/>
      <c r="S3897" s="34" t="str">
        <f>HYPERLINK("http://www.cnpol.ru/covers/15364.jpg","фото на сайте")</f>
        <v>фото на сайте</v>
      </c>
    </row>
    <row r="3898" spans="1:19" ht="50.1" customHeight="1">
      <c r="A3898" s="31"/>
      <c r="B3898" s="32" t="s">
        <v>14509</v>
      </c>
      <c r="C3898" s="31" t="s">
        <v>520</v>
      </c>
      <c r="D3898" s="31" t="s">
        <v>12572</v>
      </c>
      <c r="E3898" s="31" t="s">
        <v>14510</v>
      </c>
      <c r="F3898" s="31">
        <v>48</v>
      </c>
      <c r="G3898" s="31">
        <v>117</v>
      </c>
      <c r="H3898" s="31">
        <v>10</v>
      </c>
      <c r="I3898" s="31">
        <v>30</v>
      </c>
      <c r="J3898" s="31" t="s">
        <v>14511</v>
      </c>
      <c r="K3898" s="31" t="s">
        <v>123</v>
      </c>
      <c r="L3898" s="31" t="s">
        <v>56</v>
      </c>
      <c r="M3898" s="31">
        <v>192</v>
      </c>
      <c r="N3898" s="31">
        <v>2017</v>
      </c>
      <c r="O3898" s="31">
        <v>90</v>
      </c>
      <c r="P3898" s="31"/>
      <c r="Q3898" s="31"/>
      <c r="R3898" s="33"/>
      <c r="S3898" s="34" t="str">
        <f>HYPERLINK("http://www.cnpol.ru/covers/17659.jpg","фото на сайте")</f>
        <v>фото на сайте</v>
      </c>
    </row>
    <row r="3899" spans="1:19" ht="50.1" customHeight="1">
      <c r="A3899" s="31"/>
      <c r="B3899" s="32" t="s">
        <v>14512</v>
      </c>
      <c r="C3899" s="31" t="s">
        <v>390</v>
      </c>
      <c r="D3899" s="31" t="s">
        <v>14513</v>
      </c>
      <c r="E3899" s="31" t="s">
        <v>14514</v>
      </c>
      <c r="F3899" s="31">
        <v>677</v>
      </c>
      <c r="G3899" s="31">
        <v>86</v>
      </c>
      <c r="H3899" s="31">
        <v>10</v>
      </c>
      <c r="I3899" s="31">
        <v>30</v>
      </c>
      <c r="J3899" s="31" t="s">
        <v>14515</v>
      </c>
      <c r="K3899" s="31" t="s">
        <v>123</v>
      </c>
      <c r="L3899" s="31" t="s">
        <v>56</v>
      </c>
      <c r="M3899" s="31">
        <v>160</v>
      </c>
      <c r="N3899" s="31">
        <v>2016</v>
      </c>
      <c r="O3899" s="31">
        <v>76</v>
      </c>
      <c r="P3899" s="31"/>
      <c r="Q3899" s="31"/>
      <c r="R3899" s="33"/>
      <c r="S3899" s="34" t="str">
        <f>HYPERLINK("http://www.cnpol.ru/covers/17201.jpg","фото на сайте")</f>
        <v>фото на сайте</v>
      </c>
    </row>
    <row r="3900" spans="1:19" ht="50.1" customHeight="1">
      <c r="A3900" s="31"/>
      <c r="B3900" s="32" t="s">
        <v>14516</v>
      </c>
      <c r="C3900" s="31" t="s">
        <v>546</v>
      </c>
      <c r="D3900" s="31" t="s">
        <v>1656</v>
      </c>
      <c r="E3900" s="31" t="s">
        <v>14517</v>
      </c>
      <c r="F3900" s="31">
        <v>327</v>
      </c>
      <c r="G3900" s="31">
        <v>93</v>
      </c>
      <c r="H3900" s="31">
        <v>10</v>
      </c>
      <c r="I3900" s="31">
        <v>30</v>
      </c>
      <c r="J3900" s="31" t="s">
        <v>14518</v>
      </c>
      <c r="K3900" s="31" t="s">
        <v>123</v>
      </c>
      <c r="L3900" s="31" t="s">
        <v>56</v>
      </c>
      <c r="M3900" s="31">
        <v>160</v>
      </c>
      <c r="N3900" s="31">
        <v>2019</v>
      </c>
      <c r="O3900" s="31">
        <v>76</v>
      </c>
      <c r="P3900" s="31"/>
      <c r="Q3900" s="31"/>
      <c r="R3900" s="33"/>
      <c r="S3900" s="34" t="str">
        <f>HYPERLINK("http://www.cnpol.ru/covers/18909.jpg","фото на сайте")</f>
        <v>фото на сайте</v>
      </c>
    </row>
    <row r="3901" spans="1:19" ht="50.1" customHeight="1">
      <c r="A3901" s="31"/>
      <c r="B3901" s="32" t="s">
        <v>14519</v>
      </c>
      <c r="C3901" s="31" t="s">
        <v>520</v>
      </c>
      <c r="D3901" s="31" t="s">
        <v>4006</v>
      </c>
      <c r="E3901" s="31" t="s">
        <v>14520</v>
      </c>
      <c r="F3901" s="31">
        <v>73</v>
      </c>
      <c r="G3901" s="31">
        <v>117</v>
      </c>
      <c r="H3901" s="31">
        <v>10</v>
      </c>
      <c r="I3901" s="31">
        <v>30</v>
      </c>
      <c r="J3901" s="31" t="s">
        <v>14521</v>
      </c>
      <c r="K3901" s="31" t="s">
        <v>123</v>
      </c>
      <c r="L3901" s="31" t="s">
        <v>56</v>
      </c>
      <c r="M3901" s="31">
        <v>192</v>
      </c>
      <c r="N3901" s="31">
        <v>2019</v>
      </c>
      <c r="O3901" s="31">
        <v>90</v>
      </c>
      <c r="P3901" s="31"/>
      <c r="Q3901" s="31"/>
      <c r="R3901" s="33"/>
      <c r="S3901" s="34" t="str">
        <f>HYPERLINK("http://www.cnpol.ru/covers/18965.jpg","фото на сайте")</f>
        <v>фото на сайте</v>
      </c>
    </row>
    <row r="3902" spans="1:19" ht="50.1" customHeight="1">
      <c r="A3902" s="31"/>
      <c r="B3902" s="32" t="s">
        <v>14522</v>
      </c>
      <c r="C3902" s="31" t="s">
        <v>14161</v>
      </c>
      <c r="D3902" s="31" t="s">
        <v>14523</v>
      </c>
      <c r="E3902" s="31" t="s">
        <v>14524</v>
      </c>
      <c r="F3902" s="31" t="s">
        <v>31</v>
      </c>
      <c r="G3902" s="31">
        <v>254</v>
      </c>
      <c r="H3902" s="31">
        <v>10</v>
      </c>
      <c r="I3902" s="31">
        <v>10</v>
      </c>
      <c r="J3902" s="31" t="s">
        <v>14525</v>
      </c>
      <c r="K3902" s="31" t="s">
        <v>2231</v>
      </c>
      <c r="L3902" s="31" t="s">
        <v>34</v>
      </c>
      <c r="M3902" s="31">
        <v>480</v>
      </c>
      <c r="N3902" s="31">
        <v>2003</v>
      </c>
      <c r="O3902" s="31">
        <v>398</v>
      </c>
      <c r="P3902" s="31"/>
      <c r="Q3902" s="31"/>
      <c r="R3902" s="33"/>
      <c r="S3902" s="34" t="str">
        <f>HYPERLINK("http://www.cnpol.ru/covers/4409.jpg","фото на сайте")</f>
        <v>фото на сайте</v>
      </c>
    </row>
    <row r="3903" spans="1:19" ht="50.1" customHeight="1">
      <c r="A3903" s="31" t="s">
        <v>35</v>
      </c>
      <c r="B3903" s="32" t="s">
        <v>14526</v>
      </c>
      <c r="C3903" s="31" t="s">
        <v>297</v>
      </c>
      <c r="D3903" s="31" t="s">
        <v>5474</v>
      </c>
      <c r="E3903" s="31" t="s">
        <v>14527</v>
      </c>
      <c r="F3903" s="31" t="s">
        <v>31</v>
      </c>
      <c r="G3903" s="31">
        <v>300</v>
      </c>
      <c r="H3903" s="31">
        <v>10</v>
      </c>
      <c r="I3903" s="31">
        <v>10</v>
      </c>
      <c r="J3903" s="31" t="s">
        <v>14528</v>
      </c>
      <c r="K3903" s="31" t="s">
        <v>300</v>
      </c>
      <c r="L3903" s="31" t="s">
        <v>56</v>
      </c>
      <c r="M3903" s="31">
        <v>255</v>
      </c>
      <c r="N3903" s="31">
        <v>2024</v>
      </c>
      <c r="O3903" s="31">
        <v>130</v>
      </c>
      <c r="P3903" s="31"/>
      <c r="Q3903" s="31"/>
      <c r="R3903" s="33" t="s">
        <v>14529</v>
      </c>
      <c r="S3903" s="34" t="str">
        <f>HYPERLINK("http://www.cnpol.ru/covers/21262.jpg","фото на сайте")</f>
        <v>фото на сайте</v>
      </c>
    </row>
    <row r="3904" spans="1:19" ht="50.1" customHeight="1">
      <c r="A3904" s="31"/>
      <c r="B3904" s="32" t="s">
        <v>14530</v>
      </c>
      <c r="C3904" s="31" t="s">
        <v>998</v>
      </c>
      <c r="D3904" s="31" t="s">
        <v>14531</v>
      </c>
      <c r="E3904" s="31" t="s">
        <v>14532</v>
      </c>
      <c r="F3904" s="31" t="s">
        <v>31</v>
      </c>
      <c r="G3904" s="31">
        <v>389</v>
      </c>
      <c r="H3904" s="31">
        <v>10</v>
      </c>
      <c r="I3904" s="31">
        <v>20</v>
      </c>
      <c r="J3904" s="31" t="s">
        <v>14533</v>
      </c>
      <c r="K3904" s="31" t="s">
        <v>33</v>
      </c>
      <c r="L3904" s="31" t="s">
        <v>34</v>
      </c>
      <c r="M3904" s="31">
        <v>191</v>
      </c>
      <c r="N3904" s="31">
        <v>2008</v>
      </c>
      <c r="O3904" s="31">
        <v>218</v>
      </c>
      <c r="P3904" s="31"/>
      <c r="Q3904" s="31"/>
      <c r="R3904" s="33"/>
      <c r="S3904" s="34" t="str">
        <f>HYPERLINK("http://www.cnpol.ru/covers/10488.jpg","фото на сайте")</f>
        <v>фото на сайте</v>
      </c>
    </row>
    <row r="3905" spans="1:19" ht="50.1" customHeight="1">
      <c r="A3905" s="31"/>
      <c r="B3905" s="32" t="s">
        <v>14534</v>
      </c>
      <c r="C3905" s="31" t="s">
        <v>390</v>
      </c>
      <c r="D3905" s="31" t="s">
        <v>2892</v>
      </c>
      <c r="E3905" s="31" t="s">
        <v>14535</v>
      </c>
      <c r="F3905" s="31">
        <v>440</v>
      </c>
      <c r="G3905" s="31">
        <v>86</v>
      </c>
      <c r="H3905" s="31">
        <v>10</v>
      </c>
      <c r="I3905" s="31">
        <v>30</v>
      </c>
      <c r="J3905" s="31" t="s">
        <v>14536</v>
      </c>
      <c r="K3905" s="31" t="s">
        <v>123</v>
      </c>
      <c r="L3905" s="31" t="s">
        <v>56</v>
      </c>
      <c r="M3905" s="31">
        <v>158</v>
      </c>
      <c r="N3905" s="31">
        <v>2014</v>
      </c>
      <c r="O3905" s="31">
        <v>78</v>
      </c>
      <c r="P3905" s="31"/>
      <c r="Q3905" s="31"/>
      <c r="R3905" s="33"/>
      <c r="S3905" s="34" t="str">
        <f>HYPERLINK("http://www.cnpol.ru/covers/15430.jpg","фото на сайте")</f>
        <v>фото на сайте</v>
      </c>
    </row>
    <row r="3906" spans="1:19" ht="50.1" customHeight="1">
      <c r="A3906" s="31"/>
      <c r="B3906" s="32" t="s">
        <v>14537</v>
      </c>
      <c r="C3906" s="31" t="s">
        <v>479</v>
      </c>
      <c r="D3906" s="31" t="s">
        <v>7146</v>
      </c>
      <c r="E3906" s="31" t="s">
        <v>14538</v>
      </c>
      <c r="F3906" s="31" t="s">
        <v>31</v>
      </c>
      <c r="G3906" s="31">
        <v>575</v>
      </c>
      <c r="H3906" s="31">
        <v>10</v>
      </c>
      <c r="I3906" s="31">
        <v>18</v>
      </c>
      <c r="J3906" s="31" t="s">
        <v>14539</v>
      </c>
      <c r="K3906" s="31" t="s">
        <v>33</v>
      </c>
      <c r="L3906" s="31" t="s">
        <v>34</v>
      </c>
      <c r="M3906" s="31">
        <v>288</v>
      </c>
      <c r="N3906" s="31">
        <v>2018</v>
      </c>
      <c r="O3906" s="31">
        <v>322</v>
      </c>
      <c r="P3906" s="31"/>
      <c r="Q3906" s="31"/>
      <c r="R3906" s="33"/>
      <c r="S3906" s="34" t="str">
        <f>HYPERLINK("http://www.cnpol.ru/covers/18031.jpg","фото на сайте")</f>
        <v>фото на сайте</v>
      </c>
    </row>
    <row r="3907" spans="1:19" ht="50.1" customHeight="1">
      <c r="A3907" s="31"/>
      <c r="B3907" s="32" t="s">
        <v>14540</v>
      </c>
      <c r="C3907" s="31" t="s">
        <v>390</v>
      </c>
      <c r="D3907" s="31" t="s">
        <v>1599</v>
      </c>
      <c r="E3907" s="31" t="s">
        <v>14541</v>
      </c>
      <c r="F3907" s="31">
        <v>640</v>
      </c>
      <c r="G3907" s="31">
        <v>86</v>
      </c>
      <c r="H3907" s="31">
        <v>10</v>
      </c>
      <c r="I3907" s="31">
        <v>30</v>
      </c>
      <c r="J3907" s="31" t="s">
        <v>14542</v>
      </c>
      <c r="K3907" s="31" t="s">
        <v>123</v>
      </c>
      <c r="L3907" s="31" t="s">
        <v>56</v>
      </c>
      <c r="M3907" s="31">
        <v>160</v>
      </c>
      <c r="N3907" s="31">
        <v>2016</v>
      </c>
      <c r="O3907" s="31">
        <v>76</v>
      </c>
      <c r="P3907" s="31"/>
      <c r="Q3907" s="31"/>
      <c r="R3907" s="33"/>
      <c r="S3907" s="34" t="str">
        <f>HYPERLINK("http://www.cnpol.ru/covers/16933.jpg","фото на сайте")</f>
        <v>фото на сайте</v>
      </c>
    </row>
    <row r="3908" spans="1:19" ht="50.1" customHeight="1">
      <c r="A3908" s="31"/>
      <c r="B3908" s="32" t="s">
        <v>14543</v>
      </c>
      <c r="C3908" s="31" t="s">
        <v>390</v>
      </c>
      <c r="D3908" s="31" t="s">
        <v>961</v>
      </c>
      <c r="E3908" s="31" t="s">
        <v>14544</v>
      </c>
      <c r="F3908" s="31">
        <v>960</v>
      </c>
      <c r="G3908" s="31">
        <v>86</v>
      </c>
      <c r="H3908" s="31">
        <v>10</v>
      </c>
      <c r="I3908" s="31">
        <v>30</v>
      </c>
      <c r="J3908" s="31" t="s">
        <v>14545</v>
      </c>
      <c r="K3908" s="31" t="s">
        <v>123</v>
      </c>
      <c r="L3908" s="31" t="s">
        <v>56</v>
      </c>
      <c r="M3908" s="31">
        <v>160</v>
      </c>
      <c r="N3908" s="31">
        <v>2020</v>
      </c>
      <c r="O3908" s="31">
        <v>76</v>
      </c>
      <c r="P3908" s="31"/>
      <c r="Q3908" s="31"/>
      <c r="R3908" s="33"/>
      <c r="S3908" s="34" t="str">
        <f>HYPERLINK("http://www.cnpol.ru/covers/19049.jpg","фото на сайте")</f>
        <v>фото на сайте</v>
      </c>
    </row>
    <row r="3909" spans="1:19" ht="50.1" customHeight="1">
      <c r="A3909" s="31"/>
      <c r="B3909" s="32" t="s">
        <v>14546</v>
      </c>
      <c r="C3909" s="31" t="s">
        <v>4411</v>
      </c>
      <c r="D3909" s="31" t="s">
        <v>3754</v>
      </c>
      <c r="E3909" s="31" t="s">
        <v>14547</v>
      </c>
      <c r="F3909" s="31" t="s">
        <v>31</v>
      </c>
      <c r="G3909" s="31">
        <v>288</v>
      </c>
      <c r="H3909" s="31">
        <v>10</v>
      </c>
      <c r="I3909" s="31">
        <v>8</v>
      </c>
      <c r="J3909" s="31" t="s">
        <v>14548</v>
      </c>
      <c r="K3909" s="31" t="s">
        <v>123</v>
      </c>
      <c r="L3909" s="31" t="s">
        <v>56</v>
      </c>
      <c r="M3909" s="31">
        <v>352</v>
      </c>
      <c r="N3909" s="31">
        <v>2023</v>
      </c>
      <c r="O3909" s="31">
        <v>166</v>
      </c>
      <c r="P3909" s="31"/>
      <c r="Q3909" s="31"/>
      <c r="R3909" s="33" t="s">
        <v>14549</v>
      </c>
      <c r="S3909" s="34" t="str">
        <f>HYPERLINK("http://www.cnpol.ru/covers/20739.jpg","фото на сайте")</f>
        <v>фото на сайте</v>
      </c>
    </row>
    <row r="3910" spans="1:19" ht="50.1" customHeight="1">
      <c r="A3910" s="31"/>
      <c r="B3910" s="32" t="s">
        <v>14550</v>
      </c>
      <c r="C3910" s="31" t="s">
        <v>10493</v>
      </c>
      <c r="D3910" s="31" t="s">
        <v>70</v>
      </c>
      <c r="E3910" s="31" t="s">
        <v>14551</v>
      </c>
      <c r="F3910" s="31" t="s">
        <v>31</v>
      </c>
      <c r="G3910" s="31">
        <v>486</v>
      </c>
      <c r="H3910" s="31">
        <v>10</v>
      </c>
      <c r="I3910" s="31">
        <v>12</v>
      </c>
      <c r="J3910" s="31" t="s">
        <v>14552</v>
      </c>
      <c r="K3910" s="31" t="s">
        <v>33</v>
      </c>
      <c r="L3910" s="31" t="s">
        <v>34</v>
      </c>
      <c r="M3910" s="31">
        <v>320</v>
      </c>
      <c r="N3910" s="31">
        <v>2016</v>
      </c>
      <c r="O3910" s="31">
        <v>260</v>
      </c>
      <c r="P3910" s="31"/>
      <c r="Q3910" s="31"/>
      <c r="R3910" s="33"/>
      <c r="S3910" s="34" t="str">
        <f>HYPERLINK("http://www.cnpol.ru/covers/17002.jpg","фото на сайте")</f>
        <v>фото на сайте</v>
      </c>
    </row>
    <row r="3911" spans="1:19" ht="50.1" customHeight="1">
      <c r="A3911" s="31"/>
      <c r="B3911" s="32" t="s">
        <v>14553</v>
      </c>
      <c r="C3911" s="31" t="s">
        <v>28</v>
      </c>
      <c r="D3911" s="31" t="s">
        <v>14554</v>
      </c>
      <c r="E3911" s="31" t="s">
        <v>14555</v>
      </c>
      <c r="F3911" s="31" t="s">
        <v>31</v>
      </c>
      <c r="G3911" s="31">
        <v>826</v>
      </c>
      <c r="H3911" s="31">
        <v>10</v>
      </c>
      <c r="I3911" s="31">
        <v>10</v>
      </c>
      <c r="J3911" s="31" t="s">
        <v>14556</v>
      </c>
      <c r="K3911" s="31" t="s">
        <v>41</v>
      </c>
      <c r="L3911" s="31" t="s">
        <v>34</v>
      </c>
      <c r="M3911" s="31">
        <v>384</v>
      </c>
      <c r="N3911" s="31">
        <v>2017</v>
      </c>
      <c r="O3911" s="31">
        <v>446</v>
      </c>
      <c r="P3911" s="31"/>
      <c r="Q3911" s="31"/>
      <c r="R3911" s="33"/>
      <c r="S3911" s="34" t="str">
        <f>HYPERLINK("http://www.cnpol.ru/covers/17253.jpg","фото на сайте")</f>
        <v>фото на сайте</v>
      </c>
    </row>
    <row r="3912" spans="1:19" ht="50.1" customHeight="1">
      <c r="A3912" s="31"/>
      <c r="B3912" s="32" t="s">
        <v>14557</v>
      </c>
      <c r="C3912" s="31" t="s">
        <v>3048</v>
      </c>
      <c r="D3912" s="31" t="s">
        <v>14558</v>
      </c>
      <c r="E3912" s="31" t="s">
        <v>14559</v>
      </c>
      <c r="F3912" s="31" t="s">
        <v>31</v>
      </c>
      <c r="G3912" s="35">
        <v>1588</v>
      </c>
      <c r="H3912" s="31">
        <v>10</v>
      </c>
      <c r="I3912" s="31">
        <v>6</v>
      </c>
      <c r="J3912" s="31" t="s">
        <v>14560</v>
      </c>
      <c r="K3912" s="31" t="s">
        <v>41</v>
      </c>
      <c r="L3912" s="31" t="s">
        <v>34</v>
      </c>
      <c r="M3912" s="31">
        <v>735</v>
      </c>
      <c r="N3912" s="31">
        <v>2022</v>
      </c>
      <c r="O3912" s="31">
        <v>740</v>
      </c>
      <c r="P3912" s="31"/>
      <c r="Q3912" s="31"/>
      <c r="R3912" s="33" t="s">
        <v>14561</v>
      </c>
      <c r="S3912" s="34" t="str">
        <f>HYPERLINK("http://www.cnpol.ru/covers/20468.jpg","фото на сайте")</f>
        <v>фото на сайте</v>
      </c>
    </row>
    <row r="3913" spans="1:19" ht="50.1" customHeight="1">
      <c r="A3913" s="31"/>
      <c r="B3913" s="32" t="s">
        <v>14562</v>
      </c>
      <c r="C3913" s="31" t="s">
        <v>3048</v>
      </c>
      <c r="D3913" s="31" t="s">
        <v>14558</v>
      </c>
      <c r="E3913" s="31" t="s">
        <v>14563</v>
      </c>
      <c r="F3913" s="31" t="s">
        <v>31</v>
      </c>
      <c r="G3913" s="35">
        <v>1588</v>
      </c>
      <c r="H3913" s="31">
        <v>10</v>
      </c>
      <c r="I3913" s="31">
        <v>6</v>
      </c>
      <c r="J3913" s="31" t="s">
        <v>14564</v>
      </c>
      <c r="K3913" s="31" t="s">
        <v>41</v>
      </c>
      <c r="L3913" s="31" t="s">
        <v>34</v>
      </c>
      <c r="M3913" s="31">
        <v>735</v>
      </c>
      <c r="N3913" s="31">
        <v>2022</v>
      </c>
      <c r="O3913" s="31">
        <v>740</v>
      </c>
      <c r="P3913" s="31"/>
      <c r="Q3913" s="31"/>
      <c r="R3913" s="33" t="s">
        <v>14561</v>
      </c>
      <c r="S3913" s="34" t="str">
        <f>HYPERLINK("http://www.cnpol.ru/covers/20467.jpg","фото на сайте")</f>
        <v>фото на сайте</v>
      </c>
    </row>
    <row r="3914" spans="1:19" ht="50.1" customHeight="1">
      <c r="A3914" s="31"/>
      <c r="B3914" s="32" t="s">
        <v>14565</v>
      </c>
      <c r="C3914" s="31" t="s">
        <v>37</v>
      </c>
      <c r="D3914" s="31" t="s">
        <v>9078</v>
      </c>
      <c r="E3914" s="31" t="s">
        <v>14566</v>
      </c>
      <c r="F3914" s="31" t="s">
        <v>31</v>
      </c>
      <c r="G3914" s="31">
        <v>575</v>
      </c>
      <c r="H3914" s="31">
        <v>10</v>
      </c>
      <c r="I3914" s="31">
        <v>10</v>
      </c>
      <c r="J3914" s="31" t="s">
        <v>14567</v>
      </c>
      <c r="K3914" s="31" t="s">
        <v>33</v>
      </c>
      <c r="L3914" s="31" t="s">
        <v>34</v>
      </c>
      <c r="M3914" s="31">
        <v>447</v>
      </c>
      <c r="N3914" s="31">
        <v>2023</v>
      </c>
      <c r="O3914" s="31">
        <v>366</v>
      </c>
      <c r="P3914" s="31"/>
      <c r="Q3914" s="31"/>
      <c r="R3914" s="33" t="s">
        <v>14568</v>
      </c>
      <c r="S3914" s="34" t="str">
        <f>HYPERLINK("http://www.cnpol.ru/covers/20840.jpg","фото на сайте")</f>
        <v>фото на сайте</v>
      </c>
    </row>
    <row r="3915" spans="1:19" ht="50.1" customHeight="1">
      <c r="A3915" s="31"/>
      <c r="B3915" s="32" t="s">
        <v>14569</v>
      </c>
      <c r="C3915" s="31" t="s">
        <v>37</v>
      </c>
      <c r="D3915" s="31" t="s">
        <v>14570</v>
      </c>
      <c r="E3915" s="31" t="s">
        <v>14571</v>
      </c>
      <c r="F3915" s="31" t="s">
        <v>31</v>
      </c>
      <c r="G3915" s="31">
        <v>942</v>
      </c>
      <c r="H3915" s="31">
        <v>10</v>
      </c>
      <c r="I3915" s="31">
        <v>8</v>
      </c>
      <c r="J3915" s="31" t="s">
        <v>14572</v>
      </c>
      <c r="K3915" s="31" t="s">
        <v>147</v>
      </c>
      <c r="L3915" s="31" t="s">
        <v>34</v>
      </c>
      <c r="M3915" s="31">
        <v>416</v>
      </c>
      <c r="N3915" s="31">
        <v>2016</v>
      </c>
      <c r="O3915" s="31">
        <v>582</v>
      </c>
      <c r="P3915" s="31"/>
      <c r="Q3915" s="31"/>
      <c r="R3915" s="33"/>
      <c r="S3915" s="34" t="str">
        <f>HYPERLINK("http://www.cnpol.ru/covers/16663.jpg","фото на сайте")</f>
        <v>фото на сайте</v>
      </c>
    </row>
    <row r="3916" spans="1:19" ht="50.1" customHeight="1">
      <c r="A3916" s="31"/>
      <c r="B3916" s="32" t="s">
        <v>14573</v>
      </c>
      <c r="C3916" s="31" t="s">
        <v>385</v>
      </c>
      <c r="D3916" s="31" t="s">
        <v>386</v>
      </c>
      <c r="E3916" s="31" t="s">
        <v>14574</v>
      </c>
      <c r="F3916" s="31" t="s">
        <v>31</v>
      </c>
      <c r="G3916" s="31">
        <v>162</v>
      </c>
      <c r="H3916" s="31">
        <v>10</v>
      </c>
      <c r="I3916" s="31">
        <v>32</v>
      </c>
      <c r="J3916" s="31" t="s">
        <v>14575</v>
      </c>
      <c r="K3916" s="31" t="s">
        <v>55</v>
      </c>
      <c r="L3916" s="31" t="s">
        <v>56</v>
      </c>
      <c r="M3916" s="31">
        <v>224</v>
      </c>
      <c r="N3916" s="31">
        <v>2016</v>
      </c>
      <c r="O3916" s="31">
        <v>108</v>
      </c>
      <c r="P3916" s="31"/>
      <c r="Q3916" s="31"/>
      <c r="R3916" s="33"/>
      <c r="S3916" s="34" t="str">
        <f>HYPERLINK("http://www.cnpol.ru/covers/0175.jpg","фото на сайте")</f>
        <v>фото на сайте</v>
      </c>
    </row>
    <row r="3917" spans="1:19" ht="50.1" customHeight="1">
      <c r="A3917" s="31"/>
      <c r="B3917" s="32" t="s">
        <v>14576</v>
      </c>
      <c r="C3917" s="31" t="s">
        <v>390</v>
      </c>
      <c r="D3917" s="31" t="s">
        <v>3610</v>
      </c>
      <c r="E3917" s="31" t="s">
        <v>14577</v>
      </c>
      <c r="F3917" s="31">
        <v>1009</v>
      </c>
      <c r="G3917" s="31">
        <v>86</v>
      </c>
      <c r="H3917" s="31">
        <v>10</v>
      </c>
      <c r="I3917" s="31">
        <v>30</v>
      </c>
      <c r="J3917" s="31" t="s">
        <v>14578</v>
      </c>
      <c r="K3917" s="31" t="s">
        <v>123</v>
      </c>
      <c r="L3917" s="31" t="s">
        <v>56</v>
      </c>
      <c r="M3917" s="31">
        <v>160</v>
      </c>
      <c r="N3917" s="31">
        <v>2020</v>
      </c>
      <c r="O3917" s="31">
        <v>76</v>
      </c>
      <c r="P3917" s="31"/>
      <c r="Q3917" s="31"/>
      <c r="R3917" s="33"/>
      <c r="S3917" s="34" t="str">
        <f>HYPERLINK("http://www.cnpol.ru/covers/19427.jpg","фото на сайте")</f>
        <v>фото на сайте</v>
      </c>
    </row>
    <row r="3918" spans="1:19" ht="50.1" customHeight="1">
      <c r="A3918" s="31"/>
      <c r="B3918" s="32" t="s">
        <v>14579</v>
      </c>
      <c r="C3918" s="31" t="s">
        <v>390</v>
      </c>
      <c r="D3918" s="31" t="s">
        <v>2674</v>
      </c>
      <c r="E3918" s="31" t="s">
        <v>14580</v>
      </c>
      <c r="F3918" s="31">
        <v>509</v>
      </c>
      <c r="G3918" s="31">
        <v>86</v>
      </c>
      <c r="H3918" s="31">
        <v>10</v>
      </c>
      <c r="I3918" s="31">
        <v>30</v>
      </c>
      <c r="J3918" s="31" t="s">
        <v>14581</v>
      </c>
      <c r="K3918" s="31" t="s">
        <v>123</v>
      </c>
      <c r="L3918" s="31" t="s">
        <v>56</v>
      </c>
      <c r="M3918" s="31">
        <v>158</v>
      </c>
      <c r="N3918" s="31">
        <v>2015</v>
      </c>
      <c r="O3918" s="31">
        <v>78</v>
      </c>
      <c r="P3918" s="31"/>
      <c r="Q3918" s="31"/>
      <c r="R3918" s="33"/>
      <c r="S3918" s="34" t="str">
        <f>HYPERLINK("http://www.cnpol.ru/covers/15953.jpg","фото на сайте")</f>
        <v>фото на сайте</v>
      </c>
    </row>
    <row r="3919" spans="1:19" ht="50.1" customHeight="1">
      <c r="A3919" s="31"/>
      <c r="B3919" s="32" t="s">
        <v>14582</v>
      </c>
      <c r="C3919" s="31" t="s">
        <v>390</v>
      </c>
      <c r="D3919" s="31" t="s">
        <v>1356</v>
      </c>
      <c r="E3919" s="31" t="s">
        <v>14583</v>
      </c>
      <c r="F3919" s="31">
        <v>504</v>
      </c>
      <c r="G3919" s="31">
        <v>86</v>
      </c>
      <c r="H3919" s="31">
        <v>10</v>
      </c>
      <c r="I3919" s="31">
        <v>30</v>
      </c>
      <c r="J3919" s="31" t="s">
        <v>14584</v>
      </c>
      <c r="K3919" s="31" t="s">
        <v>123</v>
      </c>
      <c r="L3919" s="31" t="s">
        <v>56</v>
      </c>
      <c r="M3919" s="31">
        <v>158</v>
      </c>
      <c r="N3919" s="31">
        <v>2015</v>
      </c>
      <c r="O3919" s="31">
        <v>78</v>
      </c>
      <c r="P3919" s="31"/>
      <c r="Q3919" s="31"/>
      <c r="R3919" s="33"/>
      <c r="S3919" s="34" t="str">
        <f>HYPERLINK("http://www.cnpol.ru/covers/15913.jpg","фото на сайте")</f>
        <v>фото на сайте</v>
      </c>
    </row>
    <row r="3920" spans="1:19" ht="50.1" customHeight="1">
      <c r="A3920" s="31"/>
      <c r="B3920" s="32" t="s">
        <v>14585</v>
      </c>
      <c r="C3920" s="31" t="s">
        <v>400</v>
      </c>
      <c r="D3920" s="31" t="s">
        <v>14586</v>
      </c>
      <c r="E3920" s="31" t="s">
        <v>14587</v>
      </c>
      <c r="F3920" s="31" t="s">
        <v>31</v>
      </c>
      <c r="G3920" s="31">
        <v>503</v>
      </c>
      <c r="H3920" s="31">
        <v>10</v>
      </c>
      <c r="I3920" s="31">
        <v>14</v>
      </c>
      <c r="J3920" s="31" t="s">
        <v>14588</v>
      </c>
      <c r="K3920" s="31" t="s">
        <v>33</v>
      </c>
      <c r="L3920" s="31" t="s">
        <v>34</v>
      </c>
      <c r="M3920" s="31">
        <v>288</v>
      </c>
      <c r="N3920" s="31">
        <v>2020</v>
      </c>
      <c r="O3920" s="31">
        <v>256</v>
      </c>
      <c r="P3920" s="31"/>
      <c r="Q3920" s="31"/>
      <c r="R3920" s="33"/>
      <c r="S3920" s="34" t="str">
        <f>HYPERLINK("http://www.cnpol.ru/covers/19144.jpg","фото на сайте")</f>
        <v>фото на сайте</v>
      </c>
    </row>
    <row r="3921" spans="1:19" ht="50.1" customHeight="1">
      <c r="A3921" s="31"/>
      <c r="B3921" s="32" t="s">
        <v>14589</v>
      </c>
      <c r="C3921" s="31" t="s">
        <v>400</v>
      </c>
      <c r="D3921" s="31" t="s">
        <v>1369</v>
      </c>
      <c r="E3921" s="31" t="s">
        <v>14590</v>
      </c>
      <c r="F3921" s="31" t="s">
        <v>31</v>
      </c>
      <c r="G3921" s="31">
        <v>503</v>
      </c>
      <c r="H3921" s="31">
        <v>10</v>
      </c>
      <c r="I3921" s="31">
        <v>12</v>
      </c>
      <c r="J3921" s="31" t="s">
        <v>14591</v>
      </c>
      <c r="K3921" s="31" t="s">
        <v>33</v>
      </c>
      <c r="L3921" s="31" t="s">
        <v>34</v>
      </c>
      <c r="M3921" s="31">
        <v>288</v>
      </c>
      <c r="N3921" s="31">
        <v>2016</v>
      </c>
      <c r="O3921" s="31">
        <v>260</v>
      </c>
      <c r="P3921" s="31"/>
      <c r="Q3921" s="31"/>
      <c r="R3921" s="33"/>
      <c r="S3921" s="34" t="str">
        <f>HYPERLINK("http://www.cnpol.ru/covers/16765.jpg","фото на сайте")</f>
        <v>фото на сайте</v>
      </c>
    </row>
    <row r="3922" spans="1:19" ht="50.1" customHeight="1">
      <c r="A3922" s="31" t="s">
        <v>43</v>
      </c>
      <c r="B3922" s="32" t="s">
        <v>14592</v>
      </c>
      <c r="C3922" s="31" t="s">
        <v>13999</v>
      </c>
      <c r="D3922" s="31" t="s">
        <v>5169</v>
      </c>
      <c r="E3922" s="31" t="s">
        <v>14593</v>
      </c>
      <c r="F3922" s="31" t="s">
        <v>31</v>
      </c>
      <c r="G3922" s="31">
        <v>722</v>
      </c>
      <c r="H3922" s="31">
        <v>10</v>
      </c>
      <c r="I3922" s="31">
        <v>10</v>
      </c>
      <c r="J3922" s="31" t="s">
        <v>14594</v>
      </c>
      <c r="K3922" s="31" t="s">
        <v>33</v>
      </c>
      <c r="L3922" s="31" t="s">
        <v>34</v>
      </c>
      <c r="M3922" s="31">
        <v>479</v>
      </c>
      <c r="N3922" s="31">
        <v>2025</v>
      </c>
      <c r="O3922" s="31">
        <v>387</v>
      </c>
      <c r="P3922" s="31"/>
      <c r="Q3922" s="31"/>
      <c r="R3922" s="33" t="s">
        <v>14595</v>
      </c>
      <c r="S3922" s="34" t="str">
        <f>HYPERLINK("http://www.cnpol.ru/covers/21574.jpg","фото на сайте")</f>
        <v>фото на сайте</v>
      </c>
    </row>
    <row r="3923" spans="1:19" ht="50.1" customHeight="1">
      <c r="A3923" s="31" t="s">
        <v>43</v>
      </c>
      <c r="B3923" s="32" t="s">
        <v>14596</v>
      </c>
      <c r="C3923" s="31" t="s">
        <v>13999</v>
      </c>
      <c r="D3923" s="31" t="s">
        <v>5169</v>
      </c>
      <c r="E3923" s="31" t="s">
        <v>14597</v>
      </c>
      <c r="F3923" s="31" t="s">
        <v>31</v>
      </c>
      <c r="G3923" s="35">
        <v>3219</v>
      </c>
      <c r="H3923" s="31">
        <v>10</v>
      </c>
      <c r="I3923" s="31">
        <v>4</v>
      </c>
      <c r="J3923" s="31" t="s">
        <v>14598</v>
      </c>
      <c r="K3923" s="31" t="s">
        <v>2495</v>
      </c>
      <c r="L3923" s="31" t="s">
        <v>34</v>
      </c>
      <c r="M3923" s="31">
        <v>479</v>
      </c>
      <c r="N3923" s="31">
        <v>2025</v>
      </c>
      <c r="O3923" s="31" t="s">
        <v>220</v>
      </c>
      <c r="P3923" s="31"/>
      <c r="Q3923" s="31"/>
      <c r="R3923" s="33" t="s">
        <v>14599</v>
      </c>
      <c r="S3923" s="34" t="str">
        <f>HYPERLINK("http://www.cnpol.ru/covers/21909.jpg","фото на сайте")</f>
        <v>фото на сайте</v>
      </c>
    </row>
    <row r="3924" spans="1:19" ht="50.1" customHeight="1">
      <c r="A3924" s="31"/>
      <c r="B3924" s="32" t="s">
        <v>14600</v>
      </c>
      <c r="C3924" s="31" t="s">
        <v>1016</v>
      </c>
      <c r="D3924" s="31" t="s">
        <v>14601</v>
      </c>
      <c r="E3924" s="31" t="s">
        <v>14602</v>
      </c>
      <c r="F3924" s="31" t="s">
        <v>31</v>
      </c>
      <c r="G3924" s="31">
        <v>832</v>
      </c>
      <c r="H3924" s="31">
        <v>10</v>
      </c>
      <c r="I3924" s="31">
        <v>14</v>
      </c>
      <c r="J3924" s="31" t="s">
        <v>14603</v>
      </c>
      <c r="K3924" s="31" t="s">
        <v>33</v>
      </c>
      <c r="L3924" s="31" t="s">
        <v>34</v>
      </c>
      <c r="M3924" s="31">
        <v>255</v>
      </c>
      <c r="N3924" s="31">
        <v>2022</v>
      </c>
      <c r="O3924" s="31">
        <v>264</v>
      </c>
      <c r="P3924" s="31"/>
      <c r="Q3924" s="31"/>
      <c r="R3924" s="33" t="s">
        <v>14604</v>
      </c>
      <c r="S3924" s="34" t="str">
        <f>HYPERLINK("http://www.cnpol.ru/covers/20328.jpg","фото на сайте")</f>
        <v>фото на сайте</v>
      </c>
    </row>
    <row r="3925" spans="1:19" ht="50.1" customHeight="1">
      <c r="A3925" s="31"/>
      <c r="B3925" s="32" t="s">
        <v>14605</v>
      </c>
      <c r="C3925" s="31" t="s">
        <v>37</v>
      </c>
      <c r="D3925" s="31" t="s">
        <v>14606</v>
      </c>
      <c r="E3925" s="31" t="s">
        <v>14607</v>
      </c>
      <c r="F3925" s="31" t="s">
        <v>31</v>
      </c>
      <c r="G3925" s="31">
        <v>630</v>
      </c>
      <c r="H3925" s="31">
        <v>10</v>
      </c>
      <c r="I3925" s="31">
        <v>12</v>
      </c>
      <c r="J3925" s="31" t="s">
        <v>14608</v>
      </c>
      <c r="K3925" s="31" t="s">
        <v>33</v>
      </c>
      <c r="L3925" s="31" t="s">
        <v>34</v>
      </c>
      <c r="M3925" s="31">
        <v>480</v>
      </c>
      <c r="N3925" s="31">
        <v>2021</v>
      </c>
      <c r="O3925" s="31">
        <v>416</v>
      </c>
      <c r="P3925" s="31"/>
      <c r="Q3925" s="31"/>
      <c r="R3925" s="33"/>
      <c r="S3925" s="34" t="str">
        <f>HYPERLINK("http://www.cnpol.ru/covers/19651.jpg","фото на сайте")</f>
        <v>фото на сайте</v>
      </c>
    </row>
    <row r="3926" spans="1:19" ht="50.1" customHeight="1">
      <c r="A3926" s="31"/>
      <c r="B3926" s="32" t="s">
        <v>14609</v>
      </c>
      <c r="C3926" s="31" t="s">
        <v>400</v>
      </c>
      <c r="D3926" s="31" t="s">
        <v>14610</v>
      </c>
      <c r="E3926" s="31" t="s">
        <v>14611</v>
      </c>
      <c r="F3926" s="31" t="s">
        <v>31</v>
      </c>
      <c r="G3926" s="31">
        <v>503</v>
      </c>
      <c r="H3926" s="31">
        <v>10</v>
      </c>
      <c r="I3926" s="31">
        <v>14</v>
      </c>
      <c r="J3926" s="31" t="s">
        <v>14612</v>
      </c>
      <c r="K3926" s="31" t="s">
        <v>33</v>
      </c>
      <c r="L3926" s="31" t="s">
        <v>34</v>
      </c>
      <c r="M3926" s="31">
        <v>288</v>
      </c>
      <c r="N3926" s="31">
        <v>2019</v>
      </c>
      <c r="O3926" s="31">
        <v>252</v>
      </c>
      <c r="P3926" s="31"/>
      <c r="Q3926" s="31"/>
      <c r="R3926" s="33"/>
      <c r="S3926" s="34" t="str">
        <f>HYPERLINK("http://www.cnpol.ru/covers/18979.jpg","фото на сайте")</f>
        <v>фото на сайте</v>
      </c>
    </row>
    <row r="3927" spans="1:19" ht="50.1" customHeight="1">
      <c r="A3927" s="31"/>
      <c r="B3927" s="32" t="s">
        <v>14613</v>
      </c>
      <c r="C3927" s="31" t="s">
        <v>390</v>
      </c>
      <c r="D3927" s="31" t="s">
        <v>3798</v>
      </c>
      <c r="E3927" s="31" t="s">
        <v>14614</v>
      </c>
      <c r="F3927" s="31">
        <v>624</v>
      </c>
      <c r="G3927" s="31">
        <v>86</v>
      </c>
      <c r="H3927" s="31">
        <v>10</v>
      </c>
      <c r="I3927" s="31">
        <v>30</v>
      </c>
      <c r="J3927" s="31" t="s">
        <v>14615</v>
      </c>
      <c r="K3927" s="31" t="s">
        <v>123</v>
      </c>
      <c r="L3927" s="31" t="s">
        <v>56</v>
      </c>
      <c r="M3927" s="31">
        <v>160</v>
      </c>
      <c r="N3927" s="31">
        <v>2016</v>
      </c>
      <c r="O3927" s="31">
        <v>76</v>
      </c>
      <c r="P3927" s="31"/>
      <c r="Q3927" s="31"/>
      <c r="R3927" s="33"/>
      <c r="S3927" s="34" t="str">
        <f>HYPERLINK("http://www.cnpol.ru/covers/16807.jpg","фото на сайте")</f>
        <v>фото на сайте</v>
      </c>
    </row>
    <row r="3928" spans="1:19" ht="50.1" customHeight="1">
      <c r="A3928" s="31"/>
      <c r="B3928" s="32" t="s">
        <v>14616</v>
      </c>
      <c r="C3928" s="31" t="s">
        <v>390</v>
      </c>
      <c r="D3928" s="31" t="s">
        <v>1801</v>
      </c>
      <c r="E3928" s="31" t="s">
        <v>14617</v>
      </c>
      <c r="F3928" s="31">
        <v>592</v>
      </c>
      <c r="G3928" s="31">
        <v>86</v>
      </c>
      <c r="H3928" s="31">
        <v>10</v>
      </c>
      <c r="I3928" s="31">
        <v>30</v>
      </c>
      <c r="J3928" s="31" t="s">
        <v>14618</v>
      </c>
      <c r="K3928" s="31" t="s">
        <v>123</v>
      </c>
      <c r="L3928" s="31" t="s">
        <v>56</v>
      </c>
      <c r="M3928" s="31">
        <v>160</v>
      </c>
      <c r="N3928" s="31">
        <v>2016</v>
      </c>
      <c r="O3928" s="31">
        <v>76</v>
      </c>
      <c r="P3928" s="31"/>
      <c r="Q3928" s="31"/>
      <c r="R3928" s="33"/>
      <c r="S3928" s="34" t="str">
        <f>HYPERLINK("http://www.cnpol.ru/covers/16572.jpg","фото на сайте")</f>
        <v>фото на сайте</v>
      </c>
    </row>
    <row r="3929" spans="1:19" ht="50.1" customHeight="1">
      <c r="A3929" s="31"/>
      <c r="B3929" s="32" t="s">
        <v>14619</v>
      </c>
      <c r="C3929" s="31" t="s">
        <v>546</v>
      </c>
      <c r="D3929" s="31" t="s">
        <v>1581</v>
      </c>
      <c r="E3929" s="31" t="s">
        <v>14620</v>
      </c>
      <c r="F3929" s="31">
        <v>133</v>
      </c>
      <c r="G3929" s="31">
        <v>93</v>
      </c>
      <c r="H3929" s="31">
        <v>10</v>
      </c>
      <c r="I3929" s="31">
        <v>30</v>
      </c>
      <c r="J3929" s="31" t="s">
        <v>14621</v>
      </c>
      <c r="K3929" s="31" t="s">
        <v>123</v>
      </c>
      <c r="L3929" s="31" t="s">
        <v>56</v>
      </c>
      <c r="M3929" s="31">
        <v>158</v>
      </c>
      <c r="N3929" s="31">
        <v>2015</v>
      </c>
      <c r="O3929" s="31">
        <v>76</v>
      </c>
      <c r="P3929" s="31"/>
      <c r="Q3929" s="31"/>
      <c r="R3929" s="33"/>
      <c r="S3929" s="34" t="str">
        <f>HYPERLINK("http://www.cnpol.ru/covers/16177.jpg","фото на сайте")</f>
        <v>фото на сайте</v>
      </c>
    </row>
    <row r="3930" spans="1:19" ht="50.1" customHeight="1">
      <c r="A3930" s="31"/>
      <c r="B3930" s="32" t="s">
        <v>14622</v>
      </c>
      <c r="C3930" s="31" t="s">
        <v>390</v>
      </c>
      <c r="D3930" s="31" t="s">
        <v>2359</v>
      </c>
      <c r="E3930" s="31" t="s">
        <v>14623</v>
      </c>
      <c r="F3930" s="31">
        <v>548</v>
      </c>
      <c r="G3930" s="31">
        <v>86</v>
      </c>
      <c r="H3930" s="31">
        <v>10</v>
      </c>
      <c r="I3930" s="31">
        <v>30</v>
      </c>
      <c r="J3930" s="31" t="s">
        <v>14624</v>
      </c>
      <c r="K3930" s="31" t="s">
        <v>123</v>
      </c>
      <c r="L3930" s="31" t="s">
        <v>56</v>
      </c>
      <c r="M3930" s="31">
        <v>158</v>
      </c>
      <c r="N3930" s="31">
        <v>2015</v>
      </c>
      <c r="O3930" s="31">
        <v>76</v>
      </c>
      <c r="P3930" s="31"/>
      <c r="Q3930" s="31"/>
      <c r="R3930" s="33"/>
      <c r="S3930" s="34" t="str">
        <f>HYPERLINK("http://www.cnpol.ru/covers/16222.jpg","фото на сайте")</f>
        <v>фото на сайте</v>
      </c>
    </row>
    <row r="3931" spans="1:19" ht="50.1" customHeight="1">
      <c r="A3931" s="31"/>
      <c r="B3931" s="32" t="s">
        <v>14625</v>
      </c>
      <c r="C3931" s="31" t="s">
        <v>390</v>
      </c>
      <c r="D3931" s="31" t="s">
        <v>594</v>
      </c>
      <c r="E3931" s="31" t="s">
        <v>14626</v>
      </c>
      <c r="F3931" s="31">
        <v>1041</v>
      </c>
      <c r="G3931" s="31">
        <v>86</v>
      </c>
      <c r="H3931" s="31">
        <v>10</v>
      </c>
      <c r="I3931" s="31">
        <v>30</v>
      </c>
      <c r="J3931" s="31" t="s">
        <v>14627</v>
      </c>
      <c r="K3931" s="31" t="s">
        <v>123</v>
      </c>
      <c r="L3931" s="31" t="s">
        <v>56</v>
      </c>
      <c r="M3931" s="31">
        <v>160</v>
      </c>
      <c r="N3931" s="31">
        <v>2021</v>
      </c>
      <c r="O3931" s="31">
        <v>76</v>
      </c>
      <c r="P3931" s="31"/>
      <c r="Q3931" s="31"/>
      <c r="R3931" s="33"/>
      <c r="S3931" s="34" t="str">
        <f>HYPERLINK("http://www.cnpol.ru/covers/19710.jpg","фото на сайте")</f>
        <v>фото на сайте</v>
      </c>
    </row>
    <row r="3932" spans="1:19" ht="50.1" customHeight="1">
      <c r="A3932" s="31" t="s">
        <v>35</v>
      </c>
      <c r="B3932" s="32" t="s">
        <v>14628</v>
      </c>
      <c r="C3932" s="31" t="s">
        <v>4411</v>
      </c>
      <c r="D3932" s="31" t="s">
        <v>3754</v>
      </c>
      <c r="E3932" s="31" t="s">
        <v>14629</v>
      </c>
      <c r="F3932" s="31" t="s">
        <v>31</v>
      </c>
      <c r="G3932" s="31">
        <v>288</v>
      </c>
      <c r="H3932" s="31">
        <v>10</v>
      </c>
      <c r="I3932" s="31">
        <v>6</v>
      </c>
      <c r="J3932" s="31" t="s">
        <v>14630</v>
      </c>
      <c r="K3932" s="31" t="s">
        <v>123</v>
      </c>
      <c r="L3932" s="31" t="s">
        <v>56</v>
      </c>
      <c r="M3932" s="31">
        <v>378</v>
      </c>
      <c r="N3932" s="31">
        <v>2025</v>
      </c>
      <c r="O3932" s="31" t="s">
        <v>220</v>
      </c>
      <c r="P3932" s="31"/>
      <c r="Q3932" s="31"/>
      <c r="R3932" s="33" t="s">
        <v>14631</v>
      </c>
      <c r="S3932" s="34" t="str">
        <f>HYPERLINK("http://www.cnpol.ru/covers/21538.jpg","фото на сайте")</f>
        <v>фото на сайте</v>
      </c>
    </row>
    <row r="3933" spans="1:19" ht="50.1" customHeight="1">
      <c r="A3933" s="31"/>
      <c r="B3933" s="32" t="s">
        <v>14632</v>
      </c>
      <c r="C3933" s="31" t="s">
        <v>1781</v>
      </c>
      <c r="D3933" s="31" t="s">
        <v>14633</v>
      </c>
      <c r="E3933" s="31" t="s">
        <v>14634</v>
      </c>
      <c r="F3933" s="31" t="s">
        <v>31</v>
      </c>
      <c r="G3933" s="31">
        <v>640</v>
      </c>
      <c r="H3933" s="31">
        <v>10</v>
      </c>
      <c r="I3933" s="31">
        <v>12</v>
      </c>
      <c r="J3933" s="31" t="s">
        <v>14635</v>
      </c>
      <c r="K3933" s="31" t="s">
        <v>33</v>
      </c>
      <c r="L3933" s="31" t="s">
        <v>34</v>
      </c>
      <c r="M3933" s="31">
        <v>544</v>
      </c>
      <c r="N3933" s="31">
        <v>2022</v>
      </c>
      <c r="O3933" s="31">
        <v>378</v>
      </c>
      <c r="P3933" s="31"/>
      <c r="Q3933" s="31"/>
      <c r="R3933" s="33"/>
      <c r="S3933" s="34" t="str">
        <f>HYPERLINK("http://www.cnpol.ru/covers/20304.jpg","фото на сайте")</f>
        <v>фото на сайте</v>
      </c>
    </row>
    <row r="3934" spans="1:19" ht="50.1" customHeight="1">
      <c r="A3934" s="31"/>
      <c r="B3934" s="32" t="s">
        <v>14636</v>
      </c>
      <c r="C3934" s="31" t="s">
        <v>520</v>
      </c>
      <c r="D3934" s="31" t="s">
        <v>4134</v>
      </c>
      <c r="E3934" s="31" t="s">
        <v>14637</v>
      </c>
      <c r="F3934" s="31">
        <v>32</v>
      </c>
      <c r="G3934" s="31">
        <v>117</v>
      </c>
      <c r="H3934" s="31">
        <v>10</v>
      </c>
      <c r="I3934" s="31">
        <v>30</v>
      </c>
      <c r="J3934" s="31" t="s">
        <v>14638</v>
      </c>
      <c r="K3934" s="31" t="s">
        <v>123</v>
      </c>
      <c r="L3934" s="31" t="s">
        <v>56</v>
      </c>
      <c r="M3934" s="31">
        <v>192</v>
      </c>
      <c r="N3934" s="31">
        <v>2016</v>
      </c>
      <c r="O3934" s="31">
        <v>90</v>
      </c>
      <c r="P3934" s="31"/>
      <c r="Q3934" s="31"/>
      <c r="R3934" s="33"/>
      <c r="S3934" s="34" t="str">
        <f>HYPERLINK("http://www.cnpol.ru/covers/16908.jpg","фото на сайте")</f>
        <v>фото на сайте</v>
      </c>
    </row>
    <row r="3935" spans="1:19" ht="50.1" customHeight="1">
      <c r="A3935" s="31"/>
      <c r="B3935" s="32" t="s">
        <v>14639</v>
      </c>
      <c r="C3935" s="31" t="s">
        <v>390</v>
      </c>
      <c r="D3935" s="31" t="s">
        <v>3610</v>
      </c>
      <c r="E3935" s="31" t="s">
        <v>14640</v>
      </c>
      <c r="F3935" s="31">
        <v>983</v>
      </c>
      <c r="G3935" s="31">
        <v>86</v>
      </c>
      <c r="H3935" s="31">
        <v>10</v>
      </c>
      <c r="I3935" s="31">
        <v>30</v>
      </c>
      <c r="J3935" s="31" t="s">
        <v>14641</v>
      </c>
      <c r="K3935" s="31" t="s">
        <v>123</v>
      </c>
      <c r="L3935" s="31" t="s">
        <v>56</v>
      </c>
      <c r="M3935" s="31">
        <v>160</v>
      </c>
      <c r="N3935" s="31">
        <v>2020</v>
      </c>
      <c r="O3935" s="31">
        <v>76</v>
      </c>
      <c r="P3935" s="31"/>
      <c r="Q3935" s="31"/>
      <c r="R3935" s="33"/>
      <c r="S3935" s="34" t="str">
        <f>HYPERLINK("http://www.cnpol.ru/covers/19193.jpg","фото на сайте")</f>
        <v>фото на сайте</v>
      </c>
    </row>
    <row r="3936" spans="1:19" ht="50.1" customHeight="1">
      <c r="A3936" s="31"/>
      <c r="B3936" s="32" t="s">
        <v>14642</v>
      </c>
      <c r="C3936" s="31" t="s">
        <v>37</v>
      </c>
      <c r="D3936" s="31" t="s">
        <v>14643</v>
      </c>
      <c r="E3936" s="31" t="s">
        <v>14644</v>
      </c>
      <c r="F3936" s="31" t="s">
        <v>31</v>
      </c>
      <c r="G3936" s="35">
        <v>1235</v>
      </c>
      <c r="H3936" s="31">
        <v>10</v>
      </c>
      <c r="I3936" s="31">
        <v>8</v>
      </c>
      <c r="J3936" s="31" t="s">
        <v>14645</v>
      </c>
      <c r="K3936" s="31" t="s">
        <v>33</v>
      </c>
      <c r="L3936" s="31" t="s">
        <v>34</v>
      </c>
      <c r="M3936" s="31">
        <v>510</v>
      </c>
      <c r="N3936" s="31">
        <v>2024</v>
      </c>
      <c r="O3936" s="31">
        <v>520</v>
      </c>
      <c r="P3936" s="31"/>
      <c r="Q3936" s="31"/>
      <c r="R3936" s="33" t="s">
        <v>14646</v>
      </c>
      <c r="S3936" s="34" t="str">
        <f>HYPERLINK("http://www.cnpol.ru/covers/20982.jpg","фото на сайте")</f>
        <v>фото на сайте</v>
      </c>
    </row>
    <row r="3937" spans="1:19" ht="50.1" customHeight="1">
      <c r="A3937" s="31"/>
      <c r="B3937" s="32" t="s">
        <v>14647</v>
      </c>
      <c r="C3937" s="31" t="s">
        <v>1237</v>
      </c>
      <c r="D3937" s="31" t="s">
        <v>1238</v>
      </c>
      <c r="E3937" s="31" t="s">
        <v>14648</v>
      </c>
      <c r="F3937" s="31" t="s">
        <v>31</v>
      </c>
      <c r="G3937" s="31">
        <v>961</v>
      </c>
      <c r="H3937" s="31">
        <v>10</v>
      </c>
      <c r="I3937" s="31">
        <v>10</v>
      </c>
      <c r="J3937" s="31" t="s">
        <v>14649</v>
      </c>
      <c r="K3937" s="31" t="s">
        <v>33</v>
      </c>
      <c r="L3937" s="31" t="s">
        <v>34</v>
      </c>
      <c r="M3937" s="31">
        <v>512</v>
      </c>
      <c r="N3937" s="31">
        <v>2019</v>
      </c>
      <c r="O3937" s="31">
        <v>510</v>
      </c>
      <c r="P3937" s="31"/>
      <c r="Q3937" s="31"/>
      <c r="R3937" s="33"/>
      <c r="S3937" s="34" t="str">
        <f>HYPERLINK("http://www.cnpol.ru/covers/18953.jpg","фото на сайте")</f>
        <v>фото на сайте</v>
      </c>
    </row>
    <row r="3938" spans="1:19" ht="50.1" customHeight="1">
      <c r="A3938" s="31"/>
      <c r="B3938" s="32" t="s">
        <v>14650</v>
      </c>
      <c r="C3938" s="31" t="s">
        <v>37</v>
      </c>
      <c r="D3938" s="31" t="s">
        <v>14651</v>
      </c>
      <c r="E3938" s="31" t="s">
        <v>14652</v>
      </c>
      <c r="F3938" s="31" t="s">
        <v>31</v>
      </c>
      <c r="G3938" s="35">
        <v>1046</v>
      </c>
      <c r="H3938" s="31">
        <v>10</v>
      </c>
      <c r="I3938" s="31">
        <v>10</v>
      </c>
      <c r="J3938" s="31" t="s">
        <v>14653</v>
      </c>
      <c r="K3938" s="31" t="s">
        <v>33</v>
      </c>
      <c r="L3938" s="31" t="s">
        <v>34</v>
      </c>
      <c r="M3938" s="31">
        <v>399</v>
      </c>
      <c r="N3938" s="31">
        <v>2022</v>
      </c>
      <c r="O3938" s="31">
        <v>388</v>
      </c>
      <c r="P3938" s="31"/>
      <c r="Q3938" s="31"/>
      <c r="R3938" s="33" t="s">
        <v>14654</v>
      </c>
      <c r="S3938" s="34" t="str">
        <f>HYPERLINK("http://www.cnpol.ru/covers/20322.jpg","фото на сайте")</f>
        <v>фото на сайте</v>
      </c>
    </row>
    <row r="3939" spans="1:19" ht="50.1" customHeight="1">
      <c r="A3939" s="31"/>
      <c r="B3939" s="32" t="s">
        <v>14655</v>
      </c>
      <c r="C3939" s="31" t="s">
        <v>418</v>
      </c>
      <c r="D3939" s="31" t="s">
        <v>4074</v>
      </c>
      <c r="E3939" s="31" t="s">
        <v>14656</v>
      </c>
      <c r="F3939" s="31">
        <v>63</v>
      </c>
      <c r="G3939" s="31">
        <v>153</v>
      </c>
      <c r="H3939" s="31">
        <v>10</v>
      </c>
      <c r="I3939" s="31">
        <v>32</v>
      </c>
      <c r="J3939" s="31" t="s">
        <v>14657</v>
      </c>
      <c r="K3939" s="31" t="s">
        <v>123</v>
      </c>
      <c r="L3939" s="31" t="s">
        <v>56</v>
      </c>
      <c r="M3939" s="31">
        <v>254</v>
      </c>
      <c r="N3939" s="31">
        <v>2015</v>
      </c>
      <c r="O3939" s="31">
        <v>118</v>
      </c>
      <c r="P3939" s="31"/>
      <c r="Q3939" s="31"/>
      <c r="R3939" s="33"/>
      <c r="S3939" s="34" t="str">
        <f>HYPERLINK("http://www.cnpol.ru/covers/15856.jpg","фото на сайте")</f>
        <v>фото на сайте</v>
      </c>
    </row>
    <row r="3940" spans="1:19" ht="50.1" customHeight="1">
      <c r="A3940" s="31"/>
      <c r="B3940" s="32" t="s">
        <v>14658</v>
      </c>
      <c r="C3940" s="31" t="s">
        <v>1003</v>
      </c>
      <c r="D3940" s="31" t="s">
        <v>1004</v>
      </c>
      <c r="E3940" s="31" t="s">
        <v>14659</v>
      </c>
      <c r="F3940" s="31" t="s">
        <v>31</v>
      </c>
      <c r="G3940" s="31">
        <v>122</v>
      </c>
      <c r="H3940" s="31">
        <v>10</v>
      </c>
      <c r="I3940" s="31">
        <v>20</v>
      </c>
      <c r="J3940" s="31" t="s">
        <v>14660</v>
      </c>
      <c r="K3940" s="31" t="s">
        <v>123</v>
      </c>
      <c r="L3940" s="31" t="s">
        <v>56</v>
      </c>
      <c r="M3940" s="31">
        <v>128</v>
      </c>
      <c r="N3940" s="31">
        <v>2016</v>
      </c>
      <c r="O3940" s="31">
        <v>60</v>
      </c>
      <c r="P3940" s="31"/>
      <c r="Q3940" s="31"/>
      <c r="R3940" s="33"/>
      <c r="S3940" s="34" t="str">
        <f>HYPERLINK("http://www.cnpol.ru/covers/16834.jpg","фото на сайте")</f>
        <v>фото на сайте</v>
      </c>
    </row>
    <row r="3941" spans="1:19" ht="50.1" customHeight="1">
      <c r="A3941" s="31"/>
      <c r="B3941" s="32" t="s">
        <v>14661</v>
      </c>
      <c r="C3941" s="31" t="s">
        <v>6615</v>
      </c>
      <c r="D3941" s="31" t="s">
        <v>14662</v>
      </c>
      <c r="E3941" s="31" t="s">
        <v>14663</v>
      </c>
      <c r="F3941" s="31" t="s">
        <v>31</v>
      </c>
      <c r="G3941" s="31">
        <v>128</v>
      </c>
      <c r="H3941" s="31">
        <v>10</v>
      </c>
      <c r="I3941" s="31">
        <v>24</v>
      </c>
      <c r="J3941" s="31" t="s">
        <v>14664</v>
      </c>
      <c r="K3941" s="31" t="s">
        <v>130</v>
      </c>
      <c r="L3941" s="31" t="s">
        <v>56</v>
      </c>
      <c r="M3941" s="31">
        <v>206</v>
      </c>
      <c r="N3941" s="31">
        <v>2008</v>
      </c>
      <c r="O3941" s="31">
        <v>134</v>
      </c>
      <c r="P3941" s="31"/>
      <c r="Q3941" s="31"/>
      <c r="R3941" s="33"/>
      <c r="S3941" s="34" t="str">
        <f>HYPERLINK("http://www.cnpol.ru/covers/10784.jpg","фото на сайте")</f>
        <v>фото на сайте</v>
      </c>
    </row>
    <row r="3942" spans="1:19" ht="50.1" customHeight="1">
      <c r="A3942" s="31"/>
      <c r="B3942" s="32" t="s">
        <v>14665</v>
      </c>
      <c r="C3942" s="31" t="s">
        <v>6870</v>
      </c>
      <c r="D3942" s="31" t="s">
        <v>14666</v>
      </c>
      <c r="E3942" s="31" t="s">
        <v>14667</v>
      </c>
      <c r="F3942" s="31" t="s">
        <v>31</v>
      </c>
      <c r="G3942" s="31">
        <v>39</v>
      </c>
      <c r="H3942" s="31">
        <v>10</v>
      </c>
      <c r="I3942" s="31">
        <v>38</v>
      </c>
      <c r="J3942" s="31" t="s">
        <v>14668</v>
      </c>
      <c r="K3942" s="31" t="s">
        <v>130</v>
      </c>
      <c r="L3942" s="31" t="s">
        <v>56</v>
      </c>
      <c r="M3942" s="31" t="s">
        <v>431</v>
      </c>
      <c r="N3942" s="31" t="s">
        <v>431</v>
      </c>
      <c r="O3942" s="31">
        <v>134</v>
      </c>
      <c r="P3942" s="31"/>
      <c r="Q3942" s="31"/>
      <c r="R3942" s="33"/>
      <c r="S3942" s="34" t="str">
        <f>HYPERLINK("http://www.cnpol.ru/covers/2589.jpg","фото на сайте")</f>
        <v>фото на сайте</v>
      </c>
    </row>
    <row r="3943" spans="1:19" ht="50.1" customHeight="1">
      <c r="A3943" s="31"/>
      <c r="B3943" s="32" t="s">
        <v>14669</v>
      </c>
      <c r="C3943" s="31" t="s">
        <v>14670</v>
      </c>
      <c r="D3943" s="31" t="s">
        <v>14671</v>
      </c>
      <c r="E3943" s="31" t="s">
        <v>14672</v>
      </c>
      <c r="F3943" s="31" t="s">
        <v>31</v>
      </c>
      <c r="G3943" s="31">
        <v>353</v>
      </c>
      <c r="H3943" s="31">
        <v>10</v>
      </c>
      <c r="I3943" s="31">
        <v>16</v>
      </c>
      <c r="J3943" s="31" t="s">
        <v>14673</v>
      </c>
      <c r="K3943" s="31" t="s">
        <v>33</v>
      </c>
      <c r="L3943" s="31" t="s">
        <v>34</v>
      </c>
      <c r="M3943" s="31">
        <v>253</v>
      </c>
      <c r="N3943" s="31">
        <v>2010</v>
      </c>
      <c r="O3943" s="31">
        <v>282</v>
      </c>
      <c r="P3943" s="31"/>
      <c r="Q3943" s="31"/>
      <c r="R3943" s="33" t="s">
        <v>14674</v>
      </c>
      <c r="S3943" s="34" t="str">
        <f>HYPERLINK("http://www.cnpol.ru/covers/12402.jpg","фото на сайте")</f>
        <v>фото на сайте</v>
      </c>
    </row>
    <row r="3944" spans="1:19" ht="50.1" customHeight="1">
      <c r="A3944" s="31"/>
      <c r="B3944" s="32" t="s">
        <v>14675</v>
      </c>
      <c r="C3944" s="31" t="s">
        <v>413</v>
      </c>
      <c r="D3944" s="31" t="s">
        <v>1431</v>
      </c>
      <c r="E3944" s="31" t="s">
        <v>14676</v>
      </c>
      <c r="F3944" s="31">
        <v>188</v>
      </c>
      <c r="G3944" s="31">
        <v>117</v>
      </c>
      <c r="H3944" s="31">
        <v>10</v>
      </c>
      <c r="I3944" s="31">
        <v>20</v>
      </c>
      <c r="J3944" s="31" t="s">
        <v>14677</v>
      </c>
      <c r="K3944" s="31" t="s">
        <v>123</v>
      </c>
      <c r="L3944" s="31" t="s">
        <v>56</v>
      </c>
      <c r="M3944" s="31">
        <v>191</v>
      </c>
      <c r="N3944" s="31">
        <v>2022</v>
      </c>
      <c r="O3944" s="31">
        <v>90</v>
      </c>
      <c r="P3944" s="31"/>
      <c r="Q3944" s="31"/>
      <c r="R3944" s="33"/>
      <c r="S3944" s="34" t="str">
        <f>HYPERLINK("http://www.cnpol.ru/covers/20369.jpg","фото на сайте")</f>
        <v>фото на сайте</v>
      </c>
    </row>
    <row r="3945" spans="1:19" ht="50.1" customHeight="1">
      <c r="A3945" s="31"/>
      <c r="B3945" s="32" t="s">
        <v>14678</v>
      </c>
      <c r="C3945" s="31" t="s">
        <v>528</v>
      </c>
      <c r="D3945" s="31" t="s">
        <v>529</v>
      </c>
      <c r="E3945" s="31" t="s">
        <v>14679</v>
      </c>
      <c r="F3945" s="31" t="s">
        <v>31</v>
      </c>
      <c r="G3945" s="31">
        <v>137</v>
      </c>
      <c r="H3945" s="31">
        <v>10</v>
      </c>
      <c r="I3945" s="31">
        <v>60</v>
      </c>
      <c r="J3945" s="31" t="s">
        <v>14680</v>
      </c>
      <c r="K3945" s="31" t="s">
        <v>55</v>
      </c>
      <c r="L3945" s="31" t="s">
        <v>56</v>
      </c>
      <c r="M3945" s="31">
        <v>125</v>
      </c>
      <c r="N3945" s="31">
        <v>2008</v>
      </c>
      <c r="O3945" s="31">
        <v>58</v>
      </c>
      <c r="P3945" s="31"/>
      <c r="Q3945" s="31"/>
      <c r="R3945" s="33"/>
      <c r="S3945" s="34" t="str">
        <f>HYPERLINK("http://www.cnpol.ru/covers/10827.jpg","фото на сайте")</f>
        <v>фото на сайте</v>
      </c>
    </row>
    <row r="3946" spans="1:19" ht="50.1" customHeight="1">
      <c r="A3946" s="31"/>
      <c r="B3946" s="32" t="s">
        <v>14681</v>
      </c>
      <c r="C3946" s="31" t="s">
        <v>528</v>
      </c>
      <c r="D3946" s="31" t="s">
        <v>529</v>
      </c>
      <c r="E3946" s="31" t="s">
        <v>14679</v>
      </c>
      <c r="F3946" s="31" t="s">
        <v>31</v>
      </c>
      <c r="G3946" s="31">
        <v>137</v>
      </c>
      <c r="H3946" s="31">
        <v>10</v>
      </c>
      <c r="I3946" s="31">
        <v>60</v>
      </c>
      <c r="J3946" s="31" t="s">
        <v>14682</v>
      </c>
      <c r="K3946" s="31" t="s">
        <v>55</v>
      </c>
      <c r="L3946" s="31" t="s">
        <v>56</v>
      </c>
      <c r="M3946" s="31">
        <v>125</v>
      </c>
      <c r="N3946" s="31">
        <v>2009</v>
      </c>
      <c r="O3946" s="31">
        <v>58</v>
      </c>
      <c r="P3946" s="31"/>
      <c r="Q3946" s="31"/>
      <c r="R3946" s="33"/>
      <c r="S3946" s="34" t="str">
        <f>HYPERLINK("http://www.cnpol.ru/covers/11229.jpg","фото на сайте")</f>
        <v>фото на сайте</v>
      </c>
    </row>
    <row r="3947" spans="1:19" ht="50.1" customHeight="1">
      <c r="A3947" s="31"/>
      <c r="B3947" s="32" t="s">
        <v>14683</v>
      </c>
      <c r="C3947" s="31" t="s">
        <v>14684</v>
      </c>
      <c r="D3947" s="31" t="s">
        <v>14685</v>
      </c>
      <c r="E3947" s="31" t="s">
        <v>14686</v>
      </c>
      <c r="F3947" s="31" t="s">
        <v>31</v>
      </c>
      <c r="G3947" s="31">
        <v>325</v>
      </c>
      <c r="H3947" s="31">
        <v>20</v>
      </c>
      <c r="I3947" s="31">
        <v>24</v>
      </c>
      <c r="J3947" s="31" t="s">
        <v>14687</v>
      </c>
      <c r="K3947" s="31" t="s">
        <v>33</v>
      </c>
      <c r="L3947" s="31" t="s">
        <v>34</v>
      </c>
      <c r="M3947" s="31">
        <v>192</v>
      </c>
      <c r="N3947" s="31">
        <v>2008</v>
      </c>
      <c r="O3947" s="31">
        <v>224</v>
      </c>
      <c r="P3947" s="31"/>
      <c r="Q3947" s="31"/>
      <c r="R3947" s="33"/>
      <c r="S3947" s="34" t="str">
        <f>HYPERLINK("http://www.cnpol.ru/covers/10018.jpg","фото на сайте")</f>
        <v>фото на сайте</v>
      </c>
    </row>
    <row r="3948" spans="1:19" ht="50.1" customHeight="1">
      <c r="A3948" s="31"/>
      <c r="B3948" s="32" t="s">
        <v>14688</v>
      </c>
      <c r="C3948" s="31" t="s">
        <v>37</v>
      </c>
      <c r="D3948" s="31" t="s">
        <v>14689</v>
      </c>
      <c r="E3948" s="31" t="s">
        <v>14690</v>
      </c>
      <c r="F3948" s="31" t="s">
        <v>31</v>
      </c>
      <c r="G3948" s="35">
        <v>1125</v>
      </c>
      <c r="H3948" s="31">
        <v>10</v>
      </c>
      <c r="I3948" s="31">
        <v>8</v>
      </c>
      <c r="J3948" s="31" t="s">
        <v>14691</v>
      </c>
      <c r="K3948" s="31" t="s">
        <v>33</v>
      </c>
      <c r="L3948" s="31" t="s">
        <v>34</v>
      </c>
      <c r="M3948" s="31">
        <v>431</v>
      </c>
      <c r="N3948" s="31">
        <v>2023</v>
      </c>
      <c r="O3948" s="31">
        <v>408</v>
      </c>
      <c r="P3948" s="31"/>
      <c r="Q3948" s="31"/>
      <c r="R3948" s="33" t="s">
        <v>14692</v>
      </c>
      <c r="S3948" s="34" t="str">
        <f>HYPERLINK("http://www.cnpol.ru/covers/20493.jpg","фото на сайте")</f>
        <v>фото на сайте</v>
      </c>
    </row>
    <row r="3949" spans="1:19" ht="50.1" customHeight="1">
      <c r="A3949" s="31"/>
      <c r="B3949" s="32" t="s">
        <v>14693</v>
      </c>
      <c r="C3949" s="31" t="s">
        <v>12711</v>
      </c>
      <c r="D3949" s="31" t="s">
        <v>9471</v>
      </c>
      <c r="E3949" s="31" t="s">
        <v>14694</v>
      </c>
      <c r="F3949" s="31" t="s">
        <v>31</v>
      </c>
      <c r="G3949" s="31">
        <v>380</v>
      </c>
      <c r="H3949" s="31">
        <v>10</v>
      </c>
      <c r="I3949" s="31">
        <v>14</v>
      </c>
      <c r="J3949" s="31" t="s">
        <v>14695</v>
      </c>
      <c r="K3949" s="31" t="s">
        <v>33</v>
      </c>
      <c r="L3949" s="31" t="s">
        <v>34</v>
      </c>
      <c r="M3949" s="31">
        <v>346</v>
      </c>
      <c r="N3949" s="31">
        <v>2011</v>
      </c>
      <c r="O3949" s="31">
        <v>304</v>
      </c>
      <c r="P3949" s="31"/>
      <c r="Q3949" s="31"/>
      <c r="R3949" s="33"/>
      <c r="S3949" s="34" t="str">
        <f>HYPERLINK("http://www.cnpol.ru/covers/12969.jpg","фото на сайте")</f>
        <v>фото на сайте</v>
      </c>
    </row>
    <row r="3950" spans="1:19" ht="50.1" customHeight="1">
      <c r="A3950" s="31"/>
      <c r="B3950" s="32" t="s">
        <v>14696</v>
      </c>
      <c r="C3950" s="31" t="s">
        <v>528</v>
      </c>
      <c r="D3950" s="31" t="s">
        <v>529</v>
      </c>
      <c r="E3950" s="31" t="s">
        <v>14697</v>
      </c>
      <c r="F3950" s="31" t="s">
        <v>31</v>
      </c>
      <c r="G3950" s="31">
        <v>137</v>
      </c>
      <c r="H3950" s="31">
        <v>10</v>
      </c>
      <c r="I3950" s="31">
        <v>20</v>
      </c>
      <c r="J3950" s="31" t="s">
        <v>14698</v>
      </c>
      <c r="K3950" s="31" t="s">
        <v>55</v>
      </c>
      <c r="L3950" s="31" t="s">
        <v>56</v>
      </c>
      <c r="M3950" s="31">
        <v>159</v>
      </c>
      <c r="N3950" s="31">
        <v>2015</v>
      </c>
      <c r="O3950" s="31">
        <v>68</v>
      </c>
      <c r="P3950" s="31"/>
      <c r="Q3950" s="31"/>
      <c r="R3950" s="33"/>
      <c r="S3950" s="34" t="str">
        <f>HYPERLINK("http://www.cnpol.ru/covers/16188.jpg","фото на сайте")</f>
        <v>фото на сайте</v>
      </c>
    </row>
    <row r="3951" spans="1:19" ht="50.1" customHeight="1">
      <c r="A3951" s="31" t="s">
        <v>35</v>
      </c>
      <c r="B3951" s="32" t="s">
        <v>14699</v>
      </c>
      <c r="C3951" s="31" t="s">
        <v>37</v>
      </c>
      <c r="D3951" s="31" t="s">
        <v>14700</v>
      </c>
      <c r="E3951" s="31" t="s">
        <v>14701</v>
      </c>
      <c r="F3951" s="31" t="s">
        <v>31</v>
      </c>
      <c r="G3951" s="31">
        <v>832</v>
      </c>
      <c r="H3951" s="31">
        <v>10</v>
      </c>
      <c r="I3951" s="31">
        <v>14</v>
      </c>
      <c r="J3951" s="31" t="s">
        <v>14702</v>
      </c>
      <c r="K3951" s="31" t="s">
        <v>33</v>
      </c>
      <c r="L3951" s="31" t="s">
        <v>34</v>
      </c>
      <c r="M3951" s="31">
        <v>255</v>
      </c>
      <c r="N3951" s="31">
        <v>2025</v>
      </c>
      <c r="O3951" s="31">
        <v>301</v>
      </c>
      <c r="P3951" s="31"/>
      <c r="Q3951" s="31"/>
      <c r="R3951" s="33" t="s">
        <v>14703</v>
      </c>
      <c r="S3951" s="34" t="str">
        <f>HYPERLINK("http://www.cnpol.ru/covers/21683.jpg","фото на сайте")</f>
        <v>фото на сайте</v>
      </c>
    </row>
    <row r="3952" spans="1:19" ht="50.1" customHeight="1">
      <c r="A3952" s="31"/>
      <c r="B3952" s="32" t="s">
        <v>14704</v>
      </c>
      <c r="C3952" s="31" t="s">
        <v>297</v>
      </c>
      <c r="D3952" s="31" t="s">
        <v>7349</v>
      </c>
      <c r="E3952" s="31" t="s">
        <v>14705</v>
      </c>
      <c r="F3952" s="31" t="s">
        <v>31</v>
      </c>
      <c r="G3952" s="31">
        <v>300</v>
      </c>
      <c r="H3952" s="31">
        <v>10</v>
      </c>
      <c r="I3952" s="31">
        <v>16</v>
      </c>
      <c r="J3952" s="31" t="s">
        <v>14706</v>
      </c>
      <c r="K3952" s="31" t="s">
        <v>300</v>
      </c>
      <c r="L3952" s="31" t="s">
        <v>56</v>
      </c>
      <c r="M3952" s="31">
        <v>416</v>
      </c>
      <c r="N3952" s="31">
        <v>2018</v>
      </c>
      <c r="O3952" s="31">
        <v>206</v>
      </c>
      <c r="P3952" s="31"/>
      <c r="Q3952" s="31"/>
      <c r="R3952" s="33"/>
      <c r="S3952" s="34" t="str">
        <f>HYPERLINK("http://www.cnpol.ru/covers/18024.jpg","фото на сайте")</f>
        <v>фото на сайте</v>
      </c>
    </row>
    <row r="3953" spans="1:19" ht="50.1" customHeight="1">
      <c r="A3953" s="31"/>
      <c r="B3953" s="32" t="s">
        <v>14707</v>
      </c>
      <c r="C3953" s="31" t="s">
        <v>385</v>
      </c>
      <c r="D3953" s="31" t="s">
        <v>386</v>
      </c>
      <c r="E3953" s="31" t="s">
        <v>14708</v>
      </c>
      <c r="F3953" s="31" t="s">
        <v>31</v>
      </c>
      <c r="G3953" s="31">
        <v>162</v>
      </c>
      <c r="H3953" s="31">
        <v>10</v>
      </c>
      <c r="I3953" s="31">
        <v>32</v>
      </c>
      <c r="J3953" s="31" t="s">
        <v>14709</v>
      </c>
      <c r="K3953" s="31" t="s">
        <v>55</v>
      </c>
      <c r="L3953" s="31" t="s">
        <v>56</v>
      </c>
      <c r="M3953" s="31">
        <v>256</v>
      </c>
      <c r="N3953" s="31">
        <v>2016</v>
      </c>
      <c r="O3953" s="31">
        <v>110</v>
      </c>
      <c r="P3953" s="31"/>
      <c r="Q3953" s="31"/>
      <c r="R3953" s="33"/>
      <c r="S3953" s="34" t="str">
        <f>HYPERLINK("http://www.cnpol.ru/covers/0165.jpg","фото на сайте")</f>
        <v>фото на сайте</v>
      </c>
    </row>
    <row r="3954" spans="1:19" ht="50.1" customHeight="1">
      <c r="A3954" s="31"/>
      <c r="B3954" s="32" t="s">
        <v>14710</v>
      </c>
      <c r="C3954" s="31" t="s">
        <v>28</v>
      </c>
      <c r="D3954" s="31" t="s">
        <v>10088</v>
      </c>
      <c r="E3954" s="31" t="s">
        <v>14711</v>
      </c>
      <c r="F3954" s="31" t="s">
        <v>31</v>
      </c>
      <c r="G3954" s="31">
        <v>461</v>
      </c>
      <c r="H3954" s="31">
        <v>10</v>
      </c>
      <c r="I3954" s="31">
        <v>12</v>
      </c>
      <c r="J3954" s="31" t="s">
        <v>14712</v>
      </c>
      <c r="K3954" s="31" t="s">
        <v>33</v>
      </c>
      <c r="L3954" s="31" t="s">
        <v>34</v>
      </c>
      <c r="M3954" s="31">
        <v>349</v>
      </c>
      <c r="N3954" s="31">
        <v>2014</v>
      </c>
      <c r="O3954" s="31">
        <v>272</v>
      </c>
      <c r="P3954" s="31"/>
      <c r="Q3954" s="31"/>
      <c r="R3954" s="33"/>
      <c r="S3954" s="34" t="str">
        <f>HYPERLINK("http://www.cnpol.ru/covers/14982.jpg","фото на сайте")</f>
        <v>фото на сайте</v>
      </c>
    </row>
    <row r="3955" spans="1:19" ht="50.1" customHeight="1">
      <c r="A3955" s="31"/>
      <c r="B3955" s="32" t="s">
        <v>14713</v>
      </c>
      <c r="C3955" s="31" t="s">
        <v>28</v>
      </c>
      <c r="D3955" s="31" t="s">
        <v>10088</v>
      </c>
      <c r="E3955" s="31" t="s">
        <v>14711</v>
      </c>
      <c r="F3955" s="31" t="s">
        <v>31</v>
      </c>
      <c r="G3955" s="31">
        <v>353</v>
      </c>
      <c r="H3955" s="31">
        <v>10</v>
      </c>
      <c r="I3955" s="31">
        <v>10</v>
      </c>
      <c r="J3955" s="31" t="s">
        <v>14712</v>
      </c>
      <c r="K3955" s="31" t="s">
        <v>33</v>
      </c>
      <c r="L3955" s="31" t="s">
        <v>34</v>
      </c>
      <c r="M3955" s="31">
        <v>349</v>
      </c>
      <c r="N3955" s="31">
        <v>2014</v>
      </c>
      <c r="O3955" s="31">
        <v>334</v>
      </c>
      <c r="P3955" s="31"/>
      <c r="Q3955" s="31"/>
      <c r="R3955" s="33"/>
      <c r="S3955" s="34" t="str">
        <f>HYPERLINK("http://www.cnpol.ru/covers/15422.jpg","фото на сайте")</f>
        <v>фото на сайте</v>
      </c>
    </row>
    <row r="3956" spans="1:19" ht="50.1" customHeight="1">
      <c r="A3956" s="31"/>
      <c r="B3956" s="32" t="s">
        <v>14714</v>
      </c>
      <c r="C3956" s="31" t="s">
        <v>7939</v>
      </c>
      <c r="D3956" s="31" t="s">
        <v>14715</v>
      </c>
      <c r="E3956" s="31" t="s">
        <v>14716</v>
      </c>
      <c r="F3956" s="31" t="s">
        <v>31</v>
      </c>
      <c r="G3956" s="35">
        <v>3258</v>
      </c>
      <c r="H3956" s="31">
        <v>10</v>
      </c>
      <c r="I3956" s="31">
        <v>5</v>
      </c>
      <c r="J3956" s="31" t="s">
        <v>14717</v>
      </c>
      <c r="K3956" s="31" t="s">
        <v>319</v>
      </c>
      <c r="L3956" s="31" t="s">
        <v>34</v>
      </c>
      <c r="M3956" s="31">
        <v>254</v>
      </c>
      <c r="N3956" s="31">
        <v>2009</v>
      </c>
      <c r="O3956" s="31">
        <v>682</v>
      </c>
      <c r="P3956" s="31"/>
      <c r="Q3956" s="31"/>
      <c r="R3956" s="33"/>
      <c r="S3956" s="34" t="str">
        <f>HYPERLINK("http://www.cnpol.ru/covers/11045.jpg","фото на сайте")</f>
        <v>фото на сайте</v>
      </c>
    </row>
    <row r="3957" spans="1:19" ht="50.1" customHeight="1">
      <c r="A3957" s="31"/>
      <c r="B3957" s="32" t="s">
        <v>14718</v>
      </c>
      <c r="C3957" s="31" t="s">
        <v>1516</v>
      </c>
      <c r="D3957" s="31" t="s">
        <v>1454</v>
      </c>
      <c r="E3957" s="31" t="s">
        <v>14719</v>
      </c>
      <c r="F3957" s="31">
        <v>43</v>
      </c>
      <c r="G3957" s="31">
        <v>106</v>
      </c>
      <c r="H3957" s="31">
        <v>10</v>
      </c>
      <c r="I3957" s="31">
        <v>30</v>
      </c>
      <c r="J3957" s="31" t="s">
        <v>14720</v>
      </c>
      <c r="K3957" s="31" t="s">
        <v>123</v>
      </c>
      <c r="L3957" s="31" t="s">
        <v>56</v>
      </c>
      <c r="M3957" s="31">
        <v>159</v>
      </c>
      <c r="N3957" s="31">
        <v>2023</v>
      </c>
      <c r="O3957" s="31">
        <v>76</v>
      </c>
      <c r="P3957" s="31"/>
      <c r="Q3957" s="31"/>
      <c r="R3957" s="33" t="s">
        <v>14721</v>
      </c>
      <c r="S3957" s="34" t="str">
        <f>HYPERLINK("http://www.cnpol.ru/covers/20721.jpg","фото на сайте")</f>
        <v>фото на сайте</v>
      </c>
    </row>
    <row r="3958" spans="1:19" ht="50.1" customHeight="1">
      <c r="A3958" s="31"/>
      <c r="B3958" s="32" t="s">
        <v>14722</v>
      </c>
      <c r="C3958" s="31" t="s">
        <v>390</v>
      </c>
      <c r="D3958" s="31" t="s">
        <v>2976</v>
      </c>
      <c r="E3958" s="31" t="s">
        <v>14723</v>
      </c>
      <c r="F3958" s="31">
        <v>639</v>
      </c>
      <c r="G3958" s="31">
        <v>86</v>
      </c>
      <c r="H3958" s="31">
        <v>10</v>
      </c>
      <c r="I3958" s="31">
        <v>30</v>
      </c>
      <c r="J3958" s="31" t="s">
        <v>14724</v>
      </c>
      <c r="K3958" s="31" t="s">
        <v>123</v>
      </c>
      <c r="L3958" s="31" t="s">
        <v>56</v>
      </c>
      <c r="M3958" s="31">
        <v>160</v>
      </c>
      <c r="N3958" s="31">
        <v>2016</v>
      </c>
      <c r="O3958" s="31">
        <v>76</v>
      </c>
      <c r="P3958" s="31"/>
      <c r="Q3958" s="31"/>
      <c r="R3958" s="33"/>
      <c r="S3958" s="34" t="str">
        <f>HYPERLINK("http://www.cnpol.ru/covers/16919.jpg","фото на сайте")</f>
        <v>фото на сайте</v>
      </c>
    </row>
    <row r="3959" spans="1:19" ht="50.1" customHeight="1">
      <c r="A3959" s="31"/>
      <c r="B3959" s="32" t="s">
        <v>14725</v>
      </c>
      <c r="C3959" s="31" t="s">
        <v>390</v>
      </c>
      <c r="D3959" s="31" t="s">
        <v>414</v>
      </c>
      <c r="E3959" s="31" t="s">
        <v>14726</v>
      </c>
      <c r="F3959" s="31">
        <v>1158</v>
      </c>
      <c r="G3959" s="31">
        <v>86</v>
      </c>
      <c r="H3959" s="31">
        <v>10</v>
      </c>
      <c r="I3959" s="31">
        <v>30</v>
      </c>
      <c r="J3959" s="31" t="s">
        <v>14727</v>
      </c>
      <c r="K3959" s="31" t="s">
        <v>123</v>
      </c>
      <c r="L3959" s="31" t="s">
        <v>56</v>
      </c>
      <c r="M3959" s="31">
        <v>159</v>
      </c>
      <c r="N3959" s="31">
        <v>2023</v>
      </c>
      <c r="O3959" s="31">
        <v>76</v>
      </c>
      <c r="P3959" s="31"/>
      <c r="Q3959" s="31"/>
      <c r="R3959" s="33" t="s">
        <v>14728</v>
      </c>
      <c r="S3959" s="34" t="str">
        <f>HYPERLINK("http://www.cnpol.ru/covers/20925.jpg","фото на сайте")</f>
        <v>фото на сайте</v>
      </c>
    </row>
    <row r="3960" spans="1:19" ht="50.1" customHeight="1">
      <c r="A3960" s="31"/>
      <c r="B3960" s="32" t="s">
        <v>14729</v>
      </c>
      <c r="C3960" s="31" t="s">
        <v>546</v>
      </c>
      <c r="D3960" s="31" t="s">
        <v>961</v>
      </c>
      <c r="E3960" s="31" t="s">
        <v>14730</v>
      </c>
      <c r="F3960" s="31">
        <v>132</v>
      </c>
      <c r="G3960" s="31">
        <v>93</v>
      </c>
      <c r="H3960" s="31">
        <v>10</v>
      </c>
      <c r="I3960" s="31">
        <v>30</v>
      </c>
      <c r="J3960" s="31" t="s">
        <v>14731</v>
      </c>
      <c r="K3960" s="31" t="s">
        <v>123</v>
      </c>
      <c r="L3960" s="31" t="s">
        <v>56</v>
      </c>
      <c r="M3960" s="31">
        <v>158</v>
      </c>
      <c r="N3960" s="31">
        <v>2015</v>
      </c>
      <c r="O3960" s="31">
        <v>76</v>
      </c>
      <c r="P3960" s="31"/>
      <c r="Q3960" s="31"/>
      <c r="R3960" s="33"/>
      <c r="S3960" s="34" t="str">
        <f>HYPERLINK("http://www.cnpol.ru/covers/16172.jpg","фото на сайте")</f>
        <v>фото на сайте</v>
      </c>
    </row>
    <row r="3961" spans="1:19" ht="50.1" customHeight="1">
      <c r="A3961" s="31"/>
      <c r="B3961" s="32" t="s">
        <v>14732</v>
      </c>
      <c r="C3961" s="31" t="s">
        <v>413</v>
      </c>
      <c r="D3961" s="31" t="s">
        <v>10484</v>
      </c>
      <c r="E3961" s="31" t="s">
        <v>14733</v>
      </c>
      <c r="F3961" s="31">
        <v>146</v>
      </c>
      <c r="G3961" s="31">
        <v>117</v>
      </c>
      <c r="H3961" s="31">
        <v>10</v>
      </c>
      <c r="I3961" s="31">
        <v>36</v>
      </c>
      <c r="J3961" s="31" t="s">
        <v>14734</v>
      </c>
      <c r="K3961" s="31" t="s">
        <v>123</v>
      </c>
      <c r="L3961" s="31" t="s">
        <v>56</v>
      </c>
      <c r="M3961" s="31">
        <v>192</v>
      </c>
      <c r="N3961" s="31">
        <v>2017</v>
      </c>
      <c r="O3961" s="31">
        <v>90</v>
      </c>
      <c r="P3961" s="31"/>
      <c r="Q3961" s="31"/>
      <c r="R3961" s="33"/>
      <c r="S3961" s="34" t="str">
        <f>HYPERLINK("http://www.cnpol.ru/covers/17658.jpg","фото на сайте")</f>
        <v>фото на сайте</v>
      </c>
    </row>
    <row r="3962" spans="1:19" ht="50.1" customHeight="1">
      <c r="A3962" s="31"/>
      <c r="B3962" s="32" t="s">
        <v>14735</v>
      </c>
      <c r="C3962" s="31" t="s">
        <v>390</v>
      </c>
      <c r="D3962" s="31" t="s">
        <v>2674</v>
      </c>
      <c r="E3962" s="31" t="s">
        <v>14736</v>
      </c>
      <c r="F3962" s="31">
        <v>865</v>
      </c>
      <c r="G3962" s="31">
        <v>86</v>
      </c>
      <c r="H3962" s="31">
        <v>10</v>
      </c>
      <c r="I3962" s="31">
        <v>30</v>
      </c>
      <c r="J3962" s="31" t="s">
        <v>14737</v>
      </c>
      <c r="K3962" s="31" t="s">
        <v>123</v>
      </c>
      <c r="L3962" s="31" t="s">
        <v>56</v>
      </c>
      <c r="M3962" s="31">
        <v>160</v>
      </c>
      <c r="N3962" s="31">
        <v>2019</v>
      </c>
      <c r="O3962" s="31">
        <v>76</v>
      </c>
      <c r="P3962" s="31"/>
      <c r="Q3962" s="31"/>
      <c r="R3962" s="33"/>
      <c r="S3962" s="34" t="str">
        <f>HYPERLINK("http://www.cnpol.ru/covers/18480.jpg","фото на сайте")</f>
        <v>фото на сайте</v>
      </c>
    </row>
    <row r="3963" spans="1:19" ht="50.1" customHeight="1">
      <c r="A3963" s="31"/>
      <c r="B3963" s="32" t="s">
        <v>14738</v>
      </c>
      <c r="C3963" s="31" t="s">
        <v>390</v>
      </c>
      <c r="D3963" s="31" t="s">
        <v>1427</v>
      </c>
      <c r="E3963" s="31" t="s">
        <v>14739</v>
      </c>
      <c r="F3963" s="31">
        <v>1043</v>
      </c>
      <c r="G3963" s="31">
        <v>86</v>
      </c>
      <c r="H3963" s="31">
        <v>10</v>
      </c>
      <c r="I3963" s="31">
        <v>30</v>
      </c>
      <c r="J3963" s="31" t="s">
        <v>14740</v>
      </c>
      <c r="K3963" s="31" t="s">
        <v>123</v>
      </c>
      <c r="L3963" s="31" t="s">
        <v>56</v>
      </c>
      <c r="M3963" s="31">
        <v>160</v>
      </c>
      <c r="N3963" s="31">
        <v>2021</v>
      </c>
      <c r="O3963" s="31">
        <v>76</v>
      </c>
      <c r="P3963" s="31"/>
      <c r="Q3963" s="31"/>
      <c r="R3963" s="33"/>
      <c r="S3963" s="34" t="str">
        <f>HYPERLINK("http://www.cnpol.ru/covers/19730.jpg","фото на сайте")</f>
        <v>фото на сайте</v>
      </c>
    </row>
    <row r="3964" spans="1:19" ht="50.1" customHeight="1">
      <c r="A3964" s="31"/>
      <c r="B3964" s="32" t="s">
        <v>14741</v>
      </c>
      <c r="C3964" s="31" t="s">
        <v>390</v>
      </c>
      <c r="D3964" s="31" t="s">
        <v>3691</v>
      </c>
      <c r="E3964" s="31" t="s">
        <v>14742</v>
      </c>
      <c r="F3964" s="31">
        <v>1028</v>
      </c>
      <c r="G3964" s="31">
        <v>86</v>
      </c>
      <c r="H3964" s="31">
        <v>10</v>
      </c>
      <c r="I3964" s="31">
        <v>30</v>
      </c>
      <c r="J3964" s="31" t="s">
        <v>14743</v>
      </c>
      <c r="K3964" s="31" t="s">
        <v>123</v>
      </c>
      <c r="L3964" s="31" t="s">
        <v>56</v>
      </c>
      <c r="M3964" s="31">
        <v>160</v>
      </c>
      <c r="N3964" s="31">
        <v>2021</v>
      </c>
      <c r="O3964" s="31">
        <v>76</v>
      </c>
      <c r="P3964" s="31"/>
      <c r="Q3964" s="31"/>
      <c r="R3964" s="33"/>
      <c r="S3964" s="34" t="str">
        <f>HYPERLINK("http://www.cnpol.ru/covers/19596.jpg","фото на сайте")</f>
        <v>фото на сайте</v>
      </c>
    </row>
    <row r="3965" spans="1:19" ht="50.1" customHeight="1">
      <c r="A3965" s="31"/>
      <c r="B3965" s="32" t="s">
        <v>14744</v>
      </c>
      <c r="C3965" s="31" t="s">
        <v>1390</v>
      </c>
      <c r="D3965" s="31" t="s">
        <v>14745</v>
      </c>
      <c r="E3965" s="31" t="s">
        <v>14746</v>
      </c>
      <c r="F3965" s="31" t="s">
        <v>31</v>
      </c>
      <c r="G3965" s="31">
        <v>843</v>
      </c>
      <c r="H3965" s="31">
        <v>10</v>
      </c>
      <c r="I3965" s="31">
        <v>10</v>
      </c>
      <c r="J3965" s="31" t="s">
        <v>14747</v>
      </c>
      <c r="K3965" s="31" t="s">
        <v>41</v>
      </c>
      <c r="L3965" s="31" t="s">
        <v>34</v>
      </c>
      <c r="M3965" s="31">
        <v>559</v>
      </c>
      <c r="N3965" s="31">
        <v>2013</v>
      </c>
      <c r="O3965" s="31">
        <v>622</v>
      </c>
      <c r="P3965" s="31"/>
      <c r="Q3965" s="31"/>
      <c r="R3965" s="33"/>
      <c r="S3965" s="34" t="str">
        <f>HYPERLINK("http://www.cnpol.ru/covers/14614.jpg","фото на сайте")</f>
        <v>фото на сайте</v>
      </c>
    </row>
    <row r="3966" spans="1:19" ht="50.1" customHeight="1">
      <c r="A3966" s="31"/>
      <c r="B3966" s="32" t="s">
        <v>14748</v>
      </c>
      <c r="C3966" s="31" t="s">
        <v>1390</v>
      </c>
      <c r="D3966" s="31" t="s">
        <v>14745</v>
      </c>
      <c r="E3966" s="31" t="s">
        <v>14746</v>
      </c>
      <c r="F3966" s="31" t="s">
        <v>31</v>
      </c>
      <c r="G3966" s="31">
        <v>998</v>
      </c>
      <c r="H3966" s="31">
        <v>10</v>
      </c>
      <c r="I3966" s="31">
        <v>10</v>
      </c>
      <c r="J3966" s="31" t="s">
        <v>14749</v>
      </c>
      <c r="K3966" s="31" t="s">
        <v>41</v>
      </c>
      <c r="L3966" s="31" t="s">
        <v>34</v>
      </c>
      <c r="M3966" s="31">
        <v>560</v>
      </c>
      <c r="N3966" s="31">
        <v>2016</v>
      </c>
      <c r="O3966" s="31">
        <v>602</v>
      </c>
      <c r="P3966" s="31"/>
      <c r="Q3966" s="31"/>
      <c r="R3966" s="33"/>
      <c r="S3966" s="34" t="str">
        <f>HYPERLINK("http://www.cnpol.ru/covers/16811.jpg","фото на сайте")</f>
        <v>фото на сайте</v>
      </c>
    </row>
    <row r="3967" spans="1:19" ht="50.1" customHeight="1">
      <c r="A3967" s="31"/>
      <c r="B3967" s="32" t="s">
        <v>14750</v>
      </c>
      <c r="C3967" s="31" t="s">
        <v>390</v>
      </c>
      <c r="D3967" s="31" t="s">
        <v>2141</v>
      </c>
      <c r="E3967" s="31" t="s">
        <v>14751</v>
      </c>
      <c r="F3967" s="31">
        <v>852</v>
      </c>
      <c r="G3967" s="31">
        <v>86</v>
      </c>
      <c r="H3967" s="31">
        <v>10</v>
      </c>
      <c r="I3967" s="31">
        <v>30</v>
      </c>
      <c r="J3967" s="31" t="s">
        <v>14752</v>
      </c>
      <c r="K3967" s="31" t="s">
        <v>123</v>
      </c>
      <c r="L3967" s="31" t="s">
        <v>56</v>
      </c>
      <c r="M3967" s="31">
        <v>160</v>
      </c>
      <c r="N3967" s="31">
        <v>2018</v>
      </c>
      <c r="O3967" s="31">
        <v>76</v>
      </c>
      <c r="P3967" s="31"/>
      <c r="Q3967" s="31"/>
      <c r="R3967" s="33"/>
      <c r="S3967" s="34" t="str">
        <f>HYPERLINK("http://www.cnpol.ru/covers/18409.jpg","фото на сайте")</f>
        <v>фото на сайте</v>
      </c>
    </row>
    <row r="3968" spans="1:19" ht="50.1" customHeight="1">
      <c r="A3968" s="31"/>
      <c r="B3968" s="32" t="s">
        <v>14753</v>
      </c>
      <c r="C3968" s="31" t="s">
        <v>390</v>
      </c>
      <c r="D3968" s="31" t="s">
        <v>1698</v>
      </c>
      <c r="E3968" s="31" t="s">
        <v>14754</v>
      </c>
      <c r="F3968" s="31">
        <v>959</v>
      </c>
      <c r="G3968" s="31">
        <v>86</v>
      </c>
      <c r="H3968" s="31">
        <v>10</v>
      </c>
      <c r="I3968" s="31">
        <v>30</v>
      </c>
      <c r="J3968" s="31" t="s">
        <v>14755</v>
      </c>
      <c r="K3968" s="31" t="s">
        <v>123</v>
      </c>
      <c r="L3968" s="31" t="s">
        <v>56</v>
      </c>
      <c r="M3968" s="31">
        <v>160</v>
      </c>
      <c r="N3968" s="31">
        <v>2020</v>
      </c>
      <c r="O3968" s="31">
        <v>76</v>
      </c>
      <c r="P3968" s="31"/>
      <c r="Q3968" s="31"/>
      <c r="R3968" s="33"/>
      <c r="S3968" s="34" t="str">
        <f>HYPERLINK("http://www.cnpol.ru/covers/19036.jpg","фото на сайте")</f>
        <v>фото на сайте</v>
      </c>
    </row>
    <row r="3969" spans="1:19" ht="50.1" customHeight="1">
      <c r="A3969" s="31"/>
      <c r="B3969" s="32" t="s">
        <v>14756</v>
      </c>
      <c r="C3969" s="31" t="s">
        <v>390</v>
      </c>
      <c r="D3969" s="31" t="s">
        <v>649</v>
      </c>
      <c r="E3969" s="31" t="s">
        <v>14757</v>
      </c>
      <c r="F3969" s="31">
        <v>950</v>
      </c>
      <c r="G3969" s="31">
        <v>86</v>
      </c>
      <c r="H3969" s="31">
        <v>10</v>
      </c>
      <c r="I3969" s="31">
        <v>30</v>
      </c>
      <c r="J3969" s="31" t="s">
        <v>14758</v>
      </c>
      <c r="K3969" s="31" t="s">
        <v>123</v>
      </c>
      <c r="L3969" s="31" t="s">
        <v>56</v>
      </c>
      <c r="M3969" s="31">
        <v>160</v>
      </c>
      <c r="N3969" s="31">
        <v>2019</v>
      </c>
      <c r="O3969" s="31">
        <v>76</v>
      </c>
      <c r="P3969" s="31"/>
      <c r="Q3969" s="31"/>
      <c r="R3969" s="33"/>
      <c r="S3969" s="34" t="str">
        <f>HYPERLINK("http://www.cnpol.ru/covers/18993.jpg","фото на сайте")</f>
        <v>фото на сайте</v>
      </c>
    </row>
    <row r="3970" spans="1:19" ht="50.1" customHeight="1">
      <c r="A3970" s="31"/>
      <c r="B3970" s="32" t="s">
        <v>14759</v>
      </c>
      <c r="C3970" s="31" t="s">
        <v>546</v>
      </c>
      <c r="D3970" s="31" t="s">
        <v>653</v>
      </c>
      <c r="E3970" s="31" t="s">
        <v>14760</v>
      </c>
      <c r="F3970" s="31">
        <v>231</v>
      </c>
      <c r="G3970" s="31">
        <v>93</v>
      </c>
      <c r="H3970" s="31">
        <v>10</v>
      </c>
      <c r="I3970" s="31">
        <v>30</v>
      </c>
      <c r="J3970" s="31" t="s">
        <v>14761</v>
      </c>
      <c r="K3970" s="31" t="s">
        <v>123</v>
      </c>
      <c r="L3970" s="31" t="s">
        <v>56</v>
      </c>
      <c r="M3970" s="31">
        <v>160</v>
      </c>
      <c r="N3970" s="31">
        <v>2017</v>
      </c>
      <c r="O3970" s="31">
        <v>76</v>
      </c>
      <c r="P3970" s="31"/>
      <c r="Q3970" s="31"/>
      <c r="R3970" s="33"/>
      <c r="S3970" s="34" t="str">
        <f>HYPERLINK("http://www.cnpol.ru/covers/17622.jpg","фото на сайте")</f>
        <v>фото на сайте</v>
      </c>
    </row>
    <row r="3971" spans="1:19" ht="50.1" customHeight="1">
      <c r="A3971" s="31"/>
      <c r="B3971" s="32" t="s">
        <v>14762</v>
      </c>
      <c r="C3971" s="31" t="s">
        <v>28</v>
      </c>
      <c r="D3971" s="31" t="s">
        <v>14763</v>
      </c>
      <c r="E3971" s="31" t="s">
        <v>14764</v>
      </c>
      <c r="F3971" s="31" t="s">
        <v>31</v>
      </c>
      <c r="G3971" s="31">
        <v>559</v>
      </c>
      <c r="H3971" s="31">
        <v>10</v>
      </c>
      <c r="I3971" s="31">
        <v>10</v>
      </c>
      <c r="J3971" s="31" t="s">
        <v>14765</v>
      </c>
      <c r="K3971" s="31" t="s">
        <v>33</v>
      </c>
      <c r="L3971" s="31" t="s">
        <v>34</v>
      </c>
      <c r="M3971" s="31">
        <v>416</v>
      </c>
      <c r="N3971" s="31">
        <v>2016</v>
      </c>
      <c r="O3971" s="31">
        <v>406</v>
      </c>
      <c r="P3971" s="31"/>
      <c r="Q3971" s="31"/>
      <c r="R3971" s="33"/>
      <c r="S3971" s="34" t="str">
        <f>HYPERLINK("http://www.cnpol.ru/covers/17067.jpg","фото на сайте")</f>
        <v>фото на сайте</v>
      </c>
    </row>
    <row r="3972" spans="1:19" ht="50.1" customHeight="1">
      <c r="A3972" s="31"/>
      <c r="B3972" s="32" t="s">
        <v>14766</v>
      </c>
      <c r="C3972" s="31" t="s">
        <v>28</v>
      </c>
      <c r="D3972" s="31" t="s">
        <v>14767</v>
      </c>
      <c r="E3972" s="31" t="s">
        <v>14768</v>
      </c>
      <c r="F3972" s="31" t="s">
        <v>31</v>
      </c>
      <c r="G3972" s="31">
        <v>353</v>
      </c>
      <c r="H3972" s="31">
        <v>10</v>
      </c>
      <c r="I3972" s="31">
        <v>12</v>
      </c>
      <c r="J3972" s="31" t="s">
        <v>14769</v>
      </c>
      <c r="K3972" s="31" t="s">
        <v>33</v>
      </c>
      <c r="L3972" s="31" t="s">
        <v>34</v>
      </c>
      <c r="M3972" s="31">
        <v>254</v>
      </c>
      <c r="N3972" s="31">
        <v>2015</v>
      </c>
      <c r="O3972" s="31">
        <v>234</v>
      </c>
      <c r="P3972" s="31"/>
      <c r="Q3972" s="31"/>
      <c r="R3972" s="33"/>
      <c r="S3972" s="34" t="str">
        <f>HYPERLINK("http://www.cnpol.ru/covers/15881.jpg","фото на сайте")</f>
        <v>фото на сайте</v>
      </c>
    </row>
    <row r="3973" spans="1:19" ht="50.1" customHeight="1">
      <c r="A3973" s="31"/>
      <c r="B3973" s="32" t="s">
        <v>14770</v>
      </c>
      <c r="C3973" s="31" t="s">
        <v>2233</v>
      </c>
      <c r="D3973" s="31" t="s">
        <v>2234</v>
      </c>
      <c r="E3973" s="31" t="s">
        <v>14771</v>
      </c>
      <c r="F3973" s="31" t="s">
        <v>31</v>
      </c>
      <c r="G3973" s="31">
        <v>137</v>
      </c>
      <c r="H3973" s="31">
        <v>10</v>
      </c>
      <c r="I3973" s="31">
        <v>20</v>
      </c>
      <c r="J3973" s="31" t="s">
        <v>14772</v>
      </c>
      <c r="K3973" s="31" t="s">
        <v>55</v>
      </c>
      <c r="L3973" s="31" t="s">
        <v>56</v>
      </c>
      <c r="M3973" s="31">
        <v>287</v>
      </c>
      <c r="N3973" s="31">
        <v>2008</v>
      </c>
      <c r="O3973" s="31">
        <v>118</v>
      </c>
      <c r="P3973" s="31"/>
      <c r="Q3973" s="31"/>
      <c r="R3973" s="33"/>
      <c r="S3973" s="34" t="str">
        <f>HYPERLINK("http://www.cnpol.ru/covers/10455.jpg","фото на сайте")</f>
        <v>фото на сайте</v>
      </c>
    </row>
    <row r="3974" spans="1:19" ht="50.1" customHeight="1">
      <c r="A3974" s="31"/>
      <c r="B3974" s="32" t="s">
        <v>14773</v>
      </c>
      <c r="C3974" s="31" t="s">
        <v>975</v>
      </c>
      <c r="D3974" s="31" t="s">
        <v>12967</v>
      </c>
      <c r="E3974" s="31" t="s">
        <v>14774</v>
      </c>
      <c r="F3974" s="31" t="s">
        <v>31</v>
      </c>
      <c r="G3974" s="31">
        <v>154</v>
      </c>
      <c r="H3974" s="31">
        <v>10</v>
      </c>
      <c r="I3974" s="31">
        <v>20</v>
      </c>
      <c r="J3974" s="31" t="s">
        <v>14775</v>
      </c>
      <c r="K3974" s="31" t="s">
        <v>55</v>
      </c>
      <c r="L3974" s="31" t="s">
        <v>56</v>
      </c>
      <c r="M3974" s="31">
        <v>351</v>
      </c>
      <c r="N3974" s="31">
        <v>2008</v>
      </c>
      <c r="O3974" s="31">
        <v>142</v>
      </c>
      <c r="P3974" s="31"/>
      <c r="Q3974" s="31"/>
      <c r="R3974" s="33"/>
      <c r="S3974" s="34" t="str">
        <f>HYPERLINK("http://www.cnpol.ru/covers/10626.jpg","фото на сайте")</f>
        <v>фото на сайте</v>
      </c>
    </row>
    <row r="3975" spans="1:19" ht="50.1" customHeight="1">
      <c r="A3975" s="31"/>
      <c r="B3975" s="32" t="s">
        <v>14776</v>
      </c>
      <c r="C3975" s="31" t="s">
        <v>400</v>
      </c>
      <c r="D3975" s="31" t="s">
        <v>14777</v>
      </c>
      <c r="E3975" s="31" t="s">
        <v>14778</v>
      </c>
      <c r="F3975" s="31" t="s">
        <v>31</v>
      </c>
      <c r="G3975" s="31">
        <v>503</v>
      </c>
      <c r="H3975" s="31">
        <v>10</v>
      </c>
      <c r="I3975" s="31">
        <v>10</v>
      </c>
      <c r="J3975" s="31" t="s">
        <v>14779</v>
      </c>
      <c r="K3975" s="31" t="s">
        <v>33</v>
      </c>
      <c r="L3975" s="31" t="s">
        <v>34</v>
      </c>
      <c r="M3975" s="31">
        <v>480</v>
      </c>
      <c r="N3975" s="31">
        <v>2012</v>
      </c>
      <c r="O3975" s="31">
        <v>358</v>
      </c>
      <c r="P3975" s="31"/>
      <c r="Q3975" s="31"/>
      <c r="R3975" s="33"/>
      <c r="S3975" s="34" t="str">
        <f>HYPERLINK("http://www.cnpol.ru/covers/14080.jpg","фото на сайте")</f>
        <v>фото на сайте</v>
      </c>
    </row>
    <row r="3976" spans="1:19" ht="50.1" customHeight="1">
      <c r="A3976" s="31" t="s">
        <v>43</v>
      </c>
      <c r="B3976" s="32" t="s">
        <v>14780</v>
      </c>
      <c r="C3976" s="31" t="s">
        <v>143</v>
      </c>
      <c r="D3976" s="31" t="s">
        <v>14781</v>
      </c>
      <c r="E3976" s="31" t="s">
        <v>14782</v>
      </c>
      <c r="F3976" s="31" t="s">
        <v>31</v>
      </c>
      <c r="G3976" s="35">
        <v>1610</v>
      </c>
      <c r="H3976" s="31">
        <v>10</v>
      </c>
      <c r="I3976" s="31">
        <v>4</v>
      </c>
      <c r="J3976" s="31" t="s">
        <v>14783</v>
      </c>
      <c r="K3976" s="31" t="s">
        <v>41</v>
      </c>
      <c r="L3976" s="31" t="s">
        <v>34</v>
      </c>
      <c r="M3976" s="31">
        <v>687</v>
      </c>
      <c r="N3976" s="31">
        <v>2025</v>
      </c>
      <c r="O3976" s="31">
        <v>719</v>
      </c>
      <c r="P3976" s="31"/>
      <c r="Q3976" s="31"/>
      <c r="R3976" s="33" t="s">
        <v>14784</v>
      </c>
      <c r="S3976" s="34" t="str">
        <f>HYPERLINK("http://www.cnpol.ru/covers/21451.jpg","фото на сайте")</f>
        <v>фото на сайте</v>
      </c>
    </row>
    <row r="3977" spans="1:19" ht="50.1" customHeight="1">
      <c r="A3977" s="31"/>
      <c r="B3977" s="32" t="s">
        <v>14785</v>
      </c>
      <c r="C3977" s="31" t="s">
        <v>143</v>
      </c>
      <c r="D3977" s="31" t="s">
        <v>14786</v>
      </c>
      <c r="E3977" s="31" t="s">
        <v>14787</v>
      </c>
      <c r="F3977" s="31" t="s">
        <v>31</v>
      </c>
      <c r="G3977" s="31">
        <v>936</v>
      </c>
      <c r="H3977" s="31">
        <v>10</v>
      </c>
      <c r="I3977" s="31">
        <v>12</v>
      </c>
      <c r="J3977" s="31" t="s">
        <v>14788</v>
      </c>
      <c r="K3977" s="31" t="s">
        <v>33</v>
      </c>
      <c r="L3977" s="31" t="s">
        <v>34</v>
      </c>
      <c r="M3977" s="31">
        <v>327</v>
      </c>
      <c r="N3977" s="31">
        <v>2022</v>
      </c>
      <c r="O3977" s="31">
        <v>340</v>
      </c>
      <c r="P3977" s="31"/>
      <c r="Q3977" s="31"/>
      <c r="R3977" s="33" t="s">
        <v>14789</v>
      </c>
      <c r="S3977" s="34" t="str">
        <f>HYPERLINK("http://www.cnpol.ru/covers/20327.jpg","фото на сайте")</f>
        <v>фото на сайте</v>
      </c>
    </row>
    <row r="3978" spans="1:19" ht="50.1" customHeight="1">
      <c r="A3978" s="31"/>
      <c r="B3978" s="32" t="s">
        <v>14790</v>
      </c>
      <c r="C3978" s="31" t="s">
        <v>2228</v>
      </c>
      <c r="D3978" s="31" t="s">
        <v>213</v>
      </c>
      <c r="E3978" s="31" t="s">
        <v>14791</v>
      </c>
      <c r="F3978" s="31">
        <v>2</v>
      </c>
      <c r="G3978" s="31">
        <v>461</v>
      </c>
      <c r="H3978" s="31">
        <v>10</v>
      </c>
      <c r="I3978" s="31">
        <v>16</v>
      </c>
      <c r="J3978" s="31" t="s">
        <v>7642</v>
      </c>
      <c r="K3978" s="31" t="s">
        <v>2231</v>
      </c>
      <c r="L3978" s="31" t="s">
        <v>34</v>
      </c>
      <c r="M3978" s="31">
        <v>160</v>
      </c>
      <c r="N3978" s="31">
        <v>2016</v>
      </c>
      <c r="O3978" s="31">
        <v>324</v>
      </c>
      <c r="P3978" s="31"/>
      <c r="Q3978" s="31"/>
      <c r="R3978" s="33"/>
      <c r="S3978" s="34" t="str">
        <f>HYPERLINK("http://www.cnpol.ru/covers/17071.jpg","фото на сайте")</f>
        <v>фото на сайте</v>
      </c>
    </row>
    <row r="3979" spans="1:19" ht="50.1" customHeight="1">
      <c r="A3979" s="31"/>
      <c r="B3979" s="32" t="s">
        <v>14792</v>
      </c>
      <c r="C3979" s="31" t="s">
        <v>2228</v>
      </c>
      <c r="D3979" s="31" t="s">
        <v>213</v>
      </c>
      <c r="E3979" s="31" t="s">
        <v>14793</v>
      </c>
      <c r="F3979" s="31">
        <v>2</v>
      </c>
      <c r="G3979" s="31">
        <v>461</v>
      </c>
      <c r="H3979" s="31">
        <v>10</v>
      </c>
      <c r="I3979" s="31">
        <v>12</v>
      </c>
      <c r="J3979" s="31" t="s">
        <v>14794</v>
      </c>
      <c r="K3979" s="31" t="s">
        <v>2231</v>
      </c>
      <c r="L3979" s="31" t="s">
        <v>34</v>
      </c>
      <c r="M3979" s="31">
        <v>160</v>
      </c>
      <c r="N3979" s="31">
        <v>2018</v>
      </c>
      <c r="O3979" s="31">
        <v>324</v>
      </c>
      <c r="P3979" s="31"/>
      <c r="Q3979" s="31"/>
      <c r="R3979" s="33"/>
      <c r="S3979" s="34" t="str">
        <f>HYPERLINK("http://www.cnpol.ru/covers/17931.jpg","фото на сайте")</f>
        <v>фото на сайте</v>
      </c>
    </row>
    <row r="3980" spans="1:19" ht="50.1" customHeight="1">
      <c r="A3980" s="31"/>
      <c r="B3980" s="32" t="s">
        <v>14795</v>
      </c>
      <c r="C3980" s="31" t="s">
        <v>400</v>
      </c>
      <c r="D3980" s="31" t="s">
        <v>475</v>
      </c>
      <c r="E3980" s="31" t="s">
        <v>14796</v>
      </c>
      <c r="F3980" s="31" t="s">
        <v>31</v>
      </c>
      <c r="G3980" s="31">
        <v>503</v>
      </c>
      <c r="H3980" s="31">
        <v>10</v>
      </c>
      <c r="I3980" s="31">
        <v>16</v>
      </c>
      <c r="J3980" s="31" t="s">
        <v>14797</v>
      </c>
      <c r="K3980" s="31" t="s">
        <v>33</v>
      </c>
      <c r="L3980" s="31" t="s">
        <v>34</v>
      </c>
      <c r="M3980" s="31">
        <v>318</v>
      </c>
      <c r="N3980" s="31">
        <v>2011</v>
      </c>
      <c r="O3980" s="31">
        <v>266</v>
      </c>
      <c r="P3980" s="31"/>
      <c r="Q3980" s="31"/>
      <c r="R3980" s="33"/>
      <c r="S3980" s="34" t="str">
        <f>HYPERLINK("http://www.cnpol.ru/covers/12570.jpg","фото на сайте")</f>
        <v>фото на сайте</v>
      </c>
    </row>
    <row r="3981" spans="1:19" ht="50.1" customHeight="1">
      <c r="A3981" s="31"/>
      <c r="B3981" s="32" t="s">
        <v>14798</v>
      </c>
      <c r="C3981" s="31" t="s">
        <v>390</v>
      </c>
      <c r="D3981" s="31" t="s">
        <v>1794</v>
      </c>
      <c r="E3981" s="31" t="s">
        <v>14799</v>
      </c>
      <c r="F3981" s="31">
        <v>1126</v>
      </c>
      <c r="G3981" s="31">
        <v>86</v>
      </c>
      <c r="H3981" s="31">
        <v>10</v>
      </c>
      <c r="I3981" s="31">
        <v>30</v>
      </c>
      <c r="J3981" s="31" t="s">
        <v>14800</v>
      </c>
      <c r="K3981" s="31" t="s">
        <v>123</v>
      </c>
      <c r="L3981" s="31" t="s">
        <v>56</v>
      </c>
      <c r="M3981" s="31">
        <v>159</v>
      </c>
      <c r="N3981" s="31">
        <v>2023</v>
      </c>
      <c r="O3981" s="31">
        <v>76</v>
      </c>
      <c r="P3981" s="31"/>
      <c r="Q3981" s="31"/>
      <c r="R3981" s="33" t="s">
        <v>14801</v>
      </c>
      <c r="S3981" s="34" t="str">
        <f>HYPERLINK("http://www.cnpol.ru/covers/20528.jpg","фото на сайте")</f>
        <v>фото на сайте</v>
      </c>
    </row>
    <row r="3982" spans="1:19" ht="50.1" customHeight="1">
      <c r="A3982" s="31"/>
      <c r="B3982" s="32" t="s">
        <v>14802</v>
      </c>
      <c r="C3982" s="31" t="s">
        <v>1813</v>
      </c>
      <c r="D3982" s="31" t="s">
        <v>1814</v>
      </c>
      <c r="E3982" s="31" t="s">
        <v>14803</v>
      </c>
      <c r="F3982" s="31" t="s">
        <v>31</v>
      </c>
      <c r="G3982" s="31">
        <v>349</v>
      </c>
      <c r="H3982" s="31">
        <v>10</v>
      </c>
      <c r="I3982" s="31">
        <v>24</v>
      </c>
      <c r="J3982" s="31" t="s">
        <v>14804</v>
      </c>
      <c r="K3982" s="31" t="s">
        <v>33</v>
      </c>
      <c r="L3982" s="31" t="s">
        <v>210</v>
      </c>
      <c r="M3982" s="31">
        <v>160</v>
      </c>
      <c r="N3982" s="31">
        <v>2021</v>
      </c>
      <c r="O3982" s="31">
        <v>100</v>
      </c>
      <c r="P3982" s="31"/>
      <c r="Q3982" s="31"/>
      <c r="R3982" s="33"/>
      <c r="S3982" s="34" t="str">
        <f>HYPERLINK("http://www.cnpol.ru/covers/19769.jpg","фото на сайте")</f>
        <v>фото на сайте</v>
      </c>
    </row>
    <row r="3983" spans="1:19" ht="50.1" customHeight="1">
      <c r="A3983" s="31"/>
      <c r="B3983" s="32" t="s">
        <v>14805</v>
      </c>
      <c r="C3983" s="31" t="s">
        <v>2497</v>
      </c>
      <c r="D3983" s="31" t="s">
        <v>1814</v>
      </c>
      <c r="E3983" s="31" t="s">
        <v>14806</v>
      </c>
      <c r="F3983" s="31" t="s">
        <v>31</v>
      </c>
      <c r="G3983" s="31">
        <v>251</v>
      </c>
      <c r="H3983" s="31">
        <v>10</v>
      </c>
      <c r="I3983" s="31">
        <v>34</v>
      </c>
      <c r="J3983" s="31" t="s">
        <v>14807</v>
      </c>
      <c r="K3983" s="31" t="s">
        <v>123</v>
      </c>
      <c r="L3983" s="31" t="s">
        <v>56</v>
      </c>
      <c r="M3983" s="31">
        <v>160</v>
      </c>
      <c r="N3983" s="31">
        <v>2021</v>
      </c>
      <c r="O3983" s="31">
        <v>96</v>
      </c>
      <c r="P3983" s="31"/>
      <c r="Q3983" s="31"/>
      <c r="R3983" s="33"/>
      <c r="S3983" s="34" t="str">
        <f>HYPERLINK("http://www.cnpol.ru/covers/19935.jpg","фото на сайте")</f>
        <v>фото на сайте</v>
      </c>
    </row>
    <row r="3984" spans="1:19" ht="50.1" customHeight="1">
      <c r="A3984" s="31"/>
      <c r="B3984" s="32" t="s">
        <v>14808</v>
      </c>
      <c r="C3984" s="31" t="s">
        <v>1818</v>
      </c>
      <c r="D3984" s="31" t="s">
        <v>1814</v>
      </c>
      <c r="E3984" s="31" t="s">
        <v>14806</v>
      </c>
      <c r="F3984" s="31" t="s">
        <v>31</v>
      </c>
      <c r="G3984" s="31">
        <v>258</v>
      </c>
      <c r="H3984" s="31">
        <v>10</v>
      </c>
      <c r="I3984" s="31">
        <v>34</v>
      </c>
      <c r="J3984" s="31" t="s">
        <v>14809</v>
      </c>
      <c r="K3984" s="31" t="s">
        <v>130</v>
      </c>
      <c r="L3984" s="31" t="s">
        <v>56</v>
      </c>
      <c r="M3984" s="31">
        <v>160</v>
      </c>
      <c r="N3984" s="31">
        <v>2021</v>
      </c>
      <c r="O3984" s="31">
        <v>96</v>
      </c>
      <c r="P3984" s="31"/>
      <c r="Q3984" s="31"/>
      <c r="R3984" s="33"/>
      <c r="S3984" s="34" t="str">
        <f>HYPERLINK("http://www.cnpol.ru/covers/19920.jpg","фото на сайте")</f>
        <v>фото на сайте</v>
      </c>
    </row>
    <row r="3985" spans="1:19" ht="50.1" customHeight="1">
      <c r="A3985" s="31"/>
      <c r="B3985" s="32" t="s">
        <v>14810</v>
      </c>
      <c r="C3985" s="31" t="s">
        <v>546</v>
      </c>
      <c r="D3985" s="31" t="s">
        <v>1292</v>
      </c>
      <c r="E3985" s="31" t="s">
        <v>14811</v>
      </c>
      <c r="F3985" s="31">
        <v>256</v>
      </c>
      <c r="G3985" s="31">
        <v>93</v>
      </c>
      <c r="H3985" s="31">
        <v>10</v>
      </c>
      <c r="I3985" s="31">
        <v>30</v>
      </c>
      <c r="J3985" s="31" t="s">
        <v>14812</v>
      </c>
      <c r="K3985" s="31" t="s">
        <v>123</v>
      </c>
      <c r="L3985" s="31" t="s">
        <v>56</v>
      </c>
      <c r="M3985" s="31">
        <v>160</v>
      </c>
      <c r="N3985" s="31">
        <v>2018</v>
      </c>
      <c r="O3985" s="31">
        <v>76</v>
      </c>
      <c r="P3985" s="31"/>
      <c r="Q3985" s="31"/>
      <c r="R3985" s="33"/>
      <c r="S3985" s="34" t="str">
        <f>HYPERLINK("http://www.cnpol.ru/covers/17959.jpg","фото на сайте")</f>
        <v>фото на сайте</v>
      </c>
    </row>
    <row r="3986" spans="1:19" ht="50.1" customHeight="1">
      <c r="A3986" s="31" t="s">
        <v>35</v>
      </c>
      <c r="B3986" s="32" t="s">
        <v>14813</v>
      </c>
      <c r="C3986" s="31" t="s">
        <v>6074</v>
      </c>
      <c r="D3986" s="31" t="s">
        <v>5169</v>
      </c>
      <c r="E3986" s="31" t="s">
        <v>14814</v>
      </c>
      <c r="F3986" s="31" t="s">
        <v>31</v>
      </c>
      <c r="G3986" s="31">
        <v>258</v>
      </c>
      <c r="H3986" s="31">
        <v>10</v>
      </c>
      <c r="I3986" s="31">
        <v>15</v>
      </c>
      <c r="J3986" s="31" t="s">
        <v>14815</v>
      </c>
      <c r="K3986" s="31" t="s">
        <v>130</v>
      </c>
      <c r="L3986" s="31" t="s">
        <v>56</v>
      </c>
      <c r="M3986" s="31">
        <v>191</v>
      </c>
      <c r="N3986" s="31">
        <v>2024</v>
      </c>
      <c r="O3986" s="31">
        <v>100</v>
      </c>
      <c r="P3986" s="31"/>
      <c r="Q3986" s="31"/>
      <c r="R3986" s="33" t="s">
        <v>14816</v>
      </c>
      <c r="S3986" s="34" t="str">
        <f>HYPERLINK("http://www.cnpol.ru/covers/21293.jpg","фото на сайте")</f>
        <v>фото на сайте</v>
      </c>
    </row>
    <row r="3987" spans="1:19" ht="50.1" customHeight="1">
      <c r="A3987" s="31" t="s">
        <v>35</v>
      </c>
      <c r="B3987" s="32" t="s">
        <v>14817</v>
      </c>
      <c r="C3987" s="31" t="s">
        <v>1818</v>
      </c>
      <c r="D3987" s="31" t="s">
        <v>14818</v>
      </c>
      <c r="E3987" s="31" t="s">
        <v>14819</v>
      </c>
      <c r="F3987" s="31" t="s">
        <v>31</v>
      </c>
      <c r="G3987" s="31">
        <v>244</v>
      </c>
      <c r="H3987" s="31">
        <v>10</v>
      </c>
      <c r="I3987" s="31">
        <v>15</v>
      </c>
      <c r="J3987" s="31" t="s">
        <v>14820</v>
      </c>
      <c r="K3987" s="31" t="s">
        <v>130</v>
      </c>
      <c r="L3987" s="31" t="s">
        <v>56</v>
      </c>
      <c r="M3987" s="31">
        <v>189</v>
      </c>
      <c r="N3987" s="31">
        <v>2025</v>
      </c>
      <c r="O3987" s="31" t="s">
        <v>220</v>
      </c>
      <c r="P3987" s="31"/>
      <c r="Q3987" s="31"/>
      <c r="R3987" s="33" t="s">
        <v>14821</v>
      </c>
      <c r="S3987" s="34" t="str">
        <f>HYPERLINK("http://www.cnpol.ru/covers/21482.jpg","фото на сайте")</f>
        <v>фото на сайте</v>
      </c>
    </row>
    <row r="3988" spans="1:19" ht="50.1" customHeight="1">
      <c r="A3988" s="31" t="s">
        <v>35</v>
      </c>
      <c r="B3988" s="32" t="s">
        <v>14822</v>
      </c>
      <c r="C3988" s="31" t="s">
        <v>1822</v>
      </c>
      <c r="D3988" s="31" t="s">
        <v>14818</v>
      </c>
      <c r="E3988" s="31" t="s">
        <v>14823</v>
      </c>
      <c r="F3988" s="31" t="s">
        <v>31</v>
      </c>
      <c r="G3988" s="31">
        <v>733</v>
      </c>
      <c r="H3988" s="31">
        <v>10</v>
      </c>
      <c r="I3988" s="31">
        <v>6</v>
      </c>
      <c r="J3988" s="31" t="s">
        <v>14824</v>
      </c>
      <c r="K3988" s="31" t="s">
        <v>33</v>
      </c>
      <c r="L3988" s="31" t="s">
        <v>34</v>
      </c>
      <c r="M3988" s="31">
        <v>639</v>
      </c>
      <c r="N3988" s="31">
        <v>2024</v>
      </c>
      <c r="O3988" s="31">
        <v>466</v>
      </c>
      <c r="P3988" s="31"/>
      <c r="Q3988" s="31"/>
      <c r="R3988" s="33" t="s">
        <v>14825</v>
      </c>
      <c r="S3988" s="34" t="str">
        <f>HYPERLINK("http://www.cnpol.ru/covers/21463.jpg","фото на сайте")</f>
        <v>фото на сайте</v>
      </c>
    </row>
    <row r="3989" spans="1:19" ht="50.1" customHeight="1">
      <c r="A3989" s="31" t="s">
        <v>35</v>
      </c>
      <c r="B3989" s="32" t="s">
        <v>14826</v>
      </c>
      <c r="C3989" s="31" t="s">
        <v>7020</v>
      </c>
      <c r="D3989" s="31" t="s">
        <v>5169</v>
      </c>
      <c r="E3989" s="31" t="s">
        <v>14827</v>
      </c>
      <c r="F3989" s="31" t="s">
        <v>31</v>
      </c>
      <c r="G3989" s="31">
        <v>977</v>
      </c>
      <c r="H3989" s="31">
        <v>10</v>
      </c>
      <c r="I3989" s="31">
        <v>10</v>
      </c>
      <c r="J3989" s="31" t="s">
        <v>14828</v>
      </c>
      <c r="K3989" s="31" t="s">
        <v>33</v>
      </c>
      <c r="L3989" s="31" t="s">
        <v>34</v>
      </c>
      <c r="M3989" s="31">
        <v>575</v>
      </c>
      <c r="N3989" s="31">
        <v>2025</v>
      </c>
      <c r="O3989" s="31">
        <v>580</v>
      </c>
      <c r="P3989" s="31"/>
      <c r="Q3989" s="31"/>
      <c r="R3989" s="33" t="s">
        <v>14829</v>
      </c>
      <c r="S3989" s="34" t="str">
        <f>HYPERLINK("http://www.cnpol.ru/covers/21542.jpg","фото на сайте")</f>
        <v>фото на сайте</v>
      </c>
    </row>
    <row r="3990" spans="1:19" ht="50.1" customHeight="1">
      <c r="A3990" s="31" t="s">
        <v>35</v>
      </c>
      <c r="B3990" s="32" t="s">
        <v>14830</v>
      </c>
      <c r="C3990" s="31" t="s">
        <v>1363</v>
      </c>
      <c r="D3990" s="31" t="s">
        <v>1364</v>
      </c>
      <c r="E3990" s="31" t="s">
        <v>14831</v>
      </c>
      <c r="F3990" s="31" t="s">
        <v>31</v>
      </c>
      <c r="G3990" s="31">
        <v>539</v>
      </c>
      <c r="H3990" s="31">
        <v>10</v>
      </c>
      <c r="I3990" s="31">
        <v>20</v>
      </c>
      <c r="J3990" s="31" t="s">
        <v>14832</v>
      </c>
      <c r="K3990" s="31" t="s">
        <v>300</v>
      </c>
      <c r="L3990" s="31" t="s">
        <v>34</v>
      </c>
      <c r="M3990" s="31">
        <v>223</v>
      </c>
      <c r="N3990" s="31">
        <v>2025</v>
      </c>
      <c r="O3990" s="31">
        <v>233</v>
      </c>
      <c r="P3990" s="31"/>
      <c r="Q3990" s="31"/>
      <c r="R3990" s="33" t="s">
        <v>14833</v>
      </c>
      <c r="S3990" s="34" t="str">
        <f>HYPERLINK("http://www.cnpol.ru/covers/21459.jpg","фото на сайте")</f>
        <v>фото на сайте</v>
      </c>
    </row>
    <row r="3991" spans="1:19" ht="50.1" customHeight="1">
      <c r="A3991" s="31"/>
      <c r="B3991" s="32" t="s">
        <v>14834</v>
      </c>
      <c r="C3991" s="31" t="s">
        <v>5430</v>
      </c>
      <c r="D3991" s="31" t="s">
        <v>1921</v>
      </c>
      <c r="E3991" s="31" t="s">
        <v>14835</v>
      </c>
      <c r="F3991" s="31" t="s">
        <v>31</v>
      </c>
      <c r="G3991" s="31">
        <v>539</v>
      </c>
      <c r="H3991" s="31">
        <v>10</v>
      </c>
      <c r="I3991" s="31">
        <v>12</v>
      </c>
      <c r="J3991" s="31" t="s">
        <v>14836</v>
      </c>
      <c r="K3991" s="31" t="s">
        <v>33</v>
      </c>
      <c r="L3991" s="31" t="s">
        <v>34</v>
      </c>
      <c r="M3991" s="31">
        <v>288</v>
      </c>
      <c r="N3991" s="31">
        <v>2022</v>
      </c>
      <c r="O3991" s="31">
        <v>318</v>
      </c>
      <c r="P3991" s="31"/>
      <c r="Q3991" s="31"/>
      <c r="R3991" s="33"/>
      <c r="S3991" s="34" t="str">
        <f>HYPERLINK("http://www.cnpol.ru/covers/20107.jpg","фото на сайте")</f>
        <v>фото на сайте</v>
      </c>
    </row>
    <row r="3992" spans="1:19" ht="50.1" customHeight="1">
      <c r="A3992" s="31" t="s">
        <v>35</v>
      </c>
      <c r="B3992" s="32" t="s">
        <v>14837</v>
      </c>
      <c r="C3992" s="31" t="s">
        <v>1920</v>
      </c>
      <c r="D3992" s="31" t="s">
        <v>1921</v>
      </c>
      <c r="E3992" s="31" t="s">
        <v>14838</v>
      </c>
      <c r="F3992" s="31" t="s">
        <v>31</v>
      </c>
      <c r="G3992" s="31">
        <v>258</v>
      </c>
      <c r="H3992" s="31">
        <v>10</v>
      </c>
      <c r="I3992" s="31">
        <v>10</v>
      </c>
      <c r="J3992" s="31" t="s">
        <v>14839</v>
      </c>
      <c r="K3992" s="31" t="s">
        <v>130</v>
      </c>
      <c r="L3992" s="31" t="s">
        <v>56</v>
      </c>
      <c r="M3992" s="31">
        <v>288</v>
      </c>
      <c r="N3992" s="31">
        <v>2025</v>
      </c>
      <c r="O3992" s="31" t="s">
        <v>220</v>
      </c>
      <c r="P3992" s="31"/>
      <c r="Q3992" s="31"/>
      <c r="R3992" s="33" t="s">
        <v>14840</v>
      </c>
      <c r="S3992" s="34" t="str">
        <f>HYPERLINK("http://www.cnpol.ru/covers/21484.jpg","фото на сайте")</f>
        <v>фото на сайте</v>
      </c>
    </row>
    <row r="3993" spans="1:19" ht="50.1" customHeight="1">
      <c r="A3993" s="31"/>
      <c r="B3993" s="32" t="s">
        <v>14841</v>
      </c>
      <c r="C3993" s="31" t="s">
        <v>546</v>
      </c>
      <c r="D3993" s="31" t="s">
        <v>4632</v>
      </c>
      <c r="E3993" s="31" t="s">
        <v>14842</v>
      </c>
      <c r="F3993" s="31">
        <v>313</v>
      </c>
      <c r="G3993" s="31">
        <v>93</v>
      </c>
      <c r="H3993" s="31">
        <v>10</v>
      </c>
      <c r="I3993" s="31">
        <v>30</v>
      </c>
      <c r="J3993" s="31" t="s">
        <v>14843</v>
      </c>
      <c r="K3993" s="31" t="s">
        <v>123</v>
      </c>
      <c r="L3993" s="31" t="s">
        <v>56</v>
      </c>
      <c r="M3993" s="31">
        <v>160</v>
      </c>
      <c r="N3993" s="31">
        <v>2019</v>
      </c>
      <c r="O3993" s="31">
        <v>76</v>
      </c>
      <c r="P3993" s="31"/>
      <c r="Q3993" s="31"/>
      <c r="R3993" s="33"/>
      <c r="S3993" s="34" t="str">
        <f>HYPERLINK("http://www.cnpol.ru/covers/18738.jpg","фото на сайте")</f>
        <v>фото на сайте</v>
      </c>
    </row>
    <row r="3994" spans="1:19" ht="50.1" customHeight="1">
      <c r="A3994" s="31"/>
      <c r="B3994" s="32" t="s">
        <v>14844</v>
      </c>
      <c r="C3994" s="31" t="s">
        <v>390</v>
      </c>
      <c r="D3994" s="31" t="s">
        <v>1292</v>
      </c>
      <c r="E3994" s="31" t="s">
        <v>14845</v>
      </c>
      <c r="F3994" s="31">
        <v>877</v>
      </c>
      <c r="G3994" s="31">
        <v>86</v>
      </c>
      <c r="H3994" s="31">
        <v>10</v>
      </c>
      <c r="I3994" s="31">
        <v>30</v>
      </c>
      <c r="J3994" s="31" t="s">
        <v>14846</v>
      </c>
      <c r="K3994" s="31" t="s">
        <v>123</v>
      </c>
      <c r="L3994" s="31" t="s">
        <v>56</v>
      </c>
      <c r="M3994" s="31">
        <v>160</v>
      </c>
      <c r="N3994" s="31">
        <v>2019</v>
      </c>
      <c r="O3994" s="31">
        <v>76</v>
      </c>
      <c r="P3994" s="31"/>
      <c r="Q3994" s="31"/>
      <c r="R3994" s="33"/>
      <c r="S3994" s="34" t="str">
        <f>HYPERLINK("http://www.cnpol.ru/covers/18550.jpg","фото на сайте")</f>
        <v>фото на сайте</v>
      </c>
    </row>
    <row r="3995" spans="1:19" ht="50.1" customHeight="1">
      <c r="A3995" s="31"/>
      <c r="B3995" s="32" t="s">
        <v>14847</v>
      </c>
      <c r="C3995" s="31" t="s">
        <v>390</v>
      </c>
      <c r="D3995" s="31" t="s">
        <v>3798</v>
      </c>
      <c r="E3995" s="31" t="s">
        <v>14848</v>
      </c>
      <c r="F3995" s="31">
        <v>300</v>
      </c>
      <c r="G3995" s="31">
        <v>86</v>
      </c>
      <c r="H3995" s="31">
        <v>10</v>
      </c>
      <c r="I3995" s="31">
        <v>30</v>
      </c>
      <c r="J3995" s="31" t="s">
        <v>14849</v>
      </c>
      <c r="K3995" s="31" t="s">
        <v>123</v>
      </c>
      <c r="L3995" s="31" t="s">
        <v>56</v>
      </c>
      <c r="M3995" s="31">
        <v>158</v>
      </c>
      <c r="N3995" s="31">
        <v>2013</v>
      </c>
      <c r="O3995" s="31">
        <v>80</v>
      </c>
      <c r="P3995" s="31"/>
      <c r="Q3995" s="31"/>
      <c r="R3995" s="33"/>
      <c r="S3995" s="34" t="str">
        <f>HYPERLINK("http://www.cnpol.ru/covers/14101.jpg","фото на сайте")</f>
        <v>фото на сайте</v>
      </c>
    </row>
    <row r="3996" spans="1:19" ht="50.1" customHeight="1">
      <c r="A3996" s="31"/>
      <c r="B3996" s="32" t="s">
        <v>14850</v>
      </c>
      <c r="C3996" s="31" t="s">
        <v>546</v>
      </c>
      <c r="D3996" s="31" t="s">
        <v>1842</v>
      </c>
      <c r="E3996" s="31" t="s">
        <v>14851</v>
      </c>
      <c r="F3996" s="31">
        <v>265</v>
      </c>
      <c r="G3996" s="31">
        <v>93</v>
      </c>
      <c r="H3996" s="31">
        <v>10</v>
      </c>
      <c r="I3996" s="31">
        <v>30</v>
      </c>
      <c r="J3996" s="31" t="s">
        <v>14852</v>
      </c>
      <c r="K3996" s="31" t="s">
        <v>123</v>
      </c>
      <c r="L3996" s="31" t="s">
        <v>56</v>
      </c>
      <c r="M3996" s="31">
        <v>160</v>
      </c>
      <c r="N3996" s="31">
        <v>2018</v>
      </c>
      <c r="O3996" s="31">
        <v>76</v>
      </c>
      <c r="P3996" s="31"/>
      <c r="Q3996" s="31"/>
      <c r="R3996" s="33"/>
      <c r="S3996" s="34" t="str">
        <f>HYPERLINK("http://www.cnpol.ru/covers/18140.jpg","фото на сайте")</f>
        <v>фото на сайте</v>
      </c>
    </row>
    <row r="3997" spans="1:19" ht="50.1" customHeight="1">
      <c r="A3997" s="31"/>
      <c r="B3997" s="32" t="s">
        <v>14853</v>
      </c>
      <c r="C3997" s="31" t="s">
        <v>390</v>
      </c>
      <c r="D3997" s="31" t="s">
        <v>1461</v>
      </c>
      <c r="E3997" s="31" t="s">
        <v>14854</v>
      </c>
      <c r="F3997" s="31">
        <v>905</v>
      </c>
      <c r="G3997" s="31">
        <v>86</v>
      </c>
      <c r="H3997" s="31">
        <v>10</v>
      </c>
      <c r="I3997" s="31">
        <v>30</v>
      </c>
      <c r="J3997" s="31" t="s">
        <v>14855</v>
      </c>
      <c r="K3997" s="31" t="s">
        <v>123</v>
      </c>
      <c r="L3997" s="31" t="s">
        <v>56</v>
      </c>
      <c r="M3997" s="31">
        <v>160</v>
      </c>
      <c r="N3997" s="31">
        <v>2019</v>
      </c>
      <c r="O3997" s="31">
        <v>76</v>
      </c>
      <c r="P3997" s="31"/>
      <c r="Q3997" s="31"/>
      <c r="R3997" s="33"/>
      <c r="S3997" s="34" t="str">
        <f>HYPERLINK("http://www.cnpol.ru/covers/18737.jpg","фото на сайте")</f>
        <v>фото на сайте</v>
      </c>
    </row>
    <row r="3998" spans="1:19" ht="50.1" customHeight="1">
      <c r="A3998" s="31"/>
      <c r="B3998" s="32" t="s">
        <v>14856</v>
      </c>
      <c r="C3998" s="31" t="s">
        <v>390</v>
      </c>
      <c r="D3998" s="31" t="s">
        <v>10259</v>
      </c>
      <c r="E3998" s="31" t="s">
        <v>14857</v>
      </c>
      <c r="F3998" s="31">
        <v>328</v>
      </c>
      <c r="G3998" s="31">
        <v>86</v>
      </c>
      <c r="H3998" s="31">
        <v>10</v>
      </c>
      <c r="I3998" s="31">
        <v>30</v>
      </c>
      <c r="J3998" s="31" t="s">
        <v>14858</v>
      </c>
      <c r="K3998" s="31" t="s">
        <v>123</v>
      </c>
      <c r="L3998" s="31" t="s">
        <v>56</v>
      </c>
      <c r="M3998" s="31">
        <v>158</v>
      </c>
      <c r="N3998" s="31">
        <v>2013</v>
      </c>
      <c r="O3998" s="31">
        <v>76</v>
      </c>
      <c r="P3998" s="31"/>
      <c r="Q3998" s="31"/>
      <c r="R3998" s="33"/>
      <c r="S3998" s="34" t="str">
        <f>HYPERLINK("http://www.cnpol.ru/covers/14377.jpg","фото на сайте")</f>
        <v>фото на сайте</v>
      </c>
    </row>
    <row r="3999" spans="1:19" ht="50.1" customHeight="1">
      <c r="A3999" s="31"/>
      <c r="B3999" s="32" t="s">
        <v>14859</v>
      </c>
      <c r="C3999" s="31" t="s">
        <v>390</v>
      </c>
      <c r="D3999" s="31" t="s">
        <v>1638</v>
      </c>
      <c r="E3999" s="31" t="s">
        <v>14860</v>
      </c>
      <c r="F3999" s="31">
        <v>469</v>
      </c>
      <c r="G3999" s="31">
        <v>86</v>
      </c>
      <c r="H3999" s="31">
        <v>10</v>
      </c>
      <c r="I3999" s="31">
        <v>30</v>
      </c>
      <c r="J3999" s="31" t="s">
        <v>14861</v>
      </c>
      <c r="K3999" s="31" t="s">
        <v>123</v>
      </c>
      <c r="L3999" s="31" t="s">
        <v>56</v>
      </c>
      <c r="M3999" s="31">
        <v>158</v>
      </c>
      <c r="N3999" s="31">
        <v>2014</v>
      </c>
      <c r="O3999" s="31">
        <v>76</v>
      </c>
      <c r="P3999" s="31"/>
      <c r="Q3999" s="31"/>
      <c r="R3999" s="33"/>
      <c r="S3999" s="34" t="str">
        <f>HYPERLINK("http://www.cnpol.ru/covers/15618.jpg","фото на сайте")</f>
        <v>фото на сайте</v>
      </c>
    </row>
    <row r="4000" spans="1:19" ht="50.1" customHeight="1">
      <c r="A4000" s="31" t="s">
        <v>35</v>
      </c>
      <c r="B4000" s="32" t="s">
        <v>14862</v>
      </c>
      <c r="C4000" s="31" t="s">
        <v>143</v>
      </c>
      <c r="D4000" s="31" t="s">
        <v>14863</v>
      </c>
      <c r="E4000" s="31" t="s">
        <v>14864</v>
      </c>
      <c r="F4000" s="31" t="s">
        <v>31</v>
      </c>
      <c r="G4000" s="35">
        <v>1503</v>
      </c>
      <c r="H4000" s="31">
        <v>10</v>
      </c>
      <c r="I4000" s="31">
        <v>8</v>
      </c>
      <c r="J4000" s="31" t="s">
        <v>14865</v>
      </c>
      <c r="K4000" s="31" t="s">
        <v>41</v>
      </c>
      <c r="L4000" s="31" t="s">
        <v>34</v>
      </c>
      <c r="M4000" s="31">
        <v>575</v>
      </c>
      <c r="N4000" s="31">
        <v>2024</v>
      </c>
      <c r="O4000" s="31">
        <v>660</v>
      </c>
      <c r="P4000" s="31"/>
      <c r="Q4000" s="31"/>
      <c r="R4000" s="33" t="s">
        <v>14866</v>
      </c>
      <c r="S4000" s="34" t="str">
        <f>HYPERLINK("http://www.cnpol.ru/covers/21126.jpg","фото на сайте")</f>
        <v>фото на сайте</v>
      </c>
    </row>
    <row r="4001" spans="1:19" ht="50.1" customHeight="1">
      <c r="A4001" s="31" t="s">
        <v>35</v>
      </c>
      <c r="B4001" s="32" t="s">
        <v>14867</v>
      </c>
      <c r="C4001" s="31" t="s">
        <v>143</v>
      </c>
      <c r="D4001" s="31" t="s">
        <v>14863</v>
      </c>
      <c r="E4001" s="31" t="s">
        <v>14868</v>
      </c>
      <c r="F4001" s="31" t="s">
        <v>31</v>
      </c>
      <c r="G4001" s="35">
        <v>1730</v>
      </c>
      <c r="H4001" s="31">
        <v>10</v>
      </c>
      <c r="I4001" s="31">
        <v>6</v>
      </c>
      <c r="J4001" s="31" t="s">
        <v>14869</v>
      </c>
      <c r="K4001" s="31" t="s">
        <v>41</v>
      </c>
      <c r="L4001" s="31" t="s">
        <v>34</v>
      </c>
      <c r="M4001" s="31">
        <v>687</v>
      </c>
      <c r="N4001" s="31">
        <v>2024</v>
      </c>
      <c r="O4001" s="31">
        <v>720</v>
      </c>
      <c r="P4001" s="31"/>
      <c r="Q4001" s="31"/>
      <c r="R4001" s="33" t="s">
        <v>14870</v>
      </c>
      <c r="S4001" s="34" t="str">
        <f>HYPERLINK("http://www.cnpol.ru/covers/21284.jpg","фото на сайте")</f>
        <v>фото на сайте</v>
      </c>
    </row>
    <row r="4002" spans="1:19" ht="50.1" customHeight="1">
      <c r="A4002" s="31"/>
      <c r="B4002" s="32" t="s">
        <v>14871</v>
      </c>
      <c r="C4002" s="31" t="s">
        <v>119</v>
      </c>
      <c r="D4002" s="31" t="s">
        <v>14872</v>
      </c>
      <c r="E4002" s="31" t="s">
        <v>14873</v>
      </c>
      <c r="F4002" s="31" t="s">
        <v>31</v>
      </c>
      <c r="G4002" s="31">
        <v>503</v>
      </c>
      <c r="H4002" s="31">
        <v>10</v>
      </c>
      <c r="I4002" s="31">
        <v>20</v>
      </c>
      <c r="J4002" s="31" t="s">
        <v>14874</v>
      </c>
      <c r="K4002" s="31" t="s">
        <v>194</v>
      </c>
      <c r="L4002" s="31" t="s">
        <v>34</v>
      </c>
      <c r="M4002" s="31">
        <v>160</v>
      </c>
      <c r="N4002" s="31">
        <v>2018</v>
      </c>
      <c r="O4002" s="31">
        <v>186</v>
      </c>
      <c r="P4002" s="31"/>
      <c r="Q4002" s="31"/>
      <c r="R4002" s="33"/>
      <c r="S4002" s="34" t="str">
        <f>HYPERLINK("http://www.cnpol.ru/covers/18368.jpg","фото на сайте")</f>
        <v>фото на сайте</v>
      </c>
    </row>
    <row r="4003" spans="1:19" ht="50.1" customHeight="1">
      <c r="A4003" s="31"/>
      <c r="B4003" s="32" t="s">
        <v>14875</v>
      </c>
      <c r="C4003" s="31" t="s">
        <v>297</v>
      </c>
      <c r="D4003" s="31" t="s">
        <v>8967</v>
      </c>
      <c r="E4003" s="31" t="s">
        <v>14876</v>
      </c>
      <c r="F4003" s="31" t="s">
        <v>31</v>
      </c>
      <c r="G4003" s="31">
        <v>300</v>
      </c>
      <c r="H4003" s="31">
        <v>10</v>
      </c>
      <c r="I4003" s="31">
        <v>7</v>
      </c>
      <c r="J4003" s="31" t="s">
        <v>14877</v>
      </c>
      <c r="K4003" s="31" t="s">
        <v>300</v>
      </c>
      <c r="L4003" s="31" t="s">
        <v>56</v>
      </c>
      <c r="M4003" s="31">
        <v>447</v>
      </c>
      <c r="N4003" s="31">
        <v>2023</v>
      </c>
      <c r="O4003" s="31">
        <v>227</v>
      </c>
      <c r="P4003" s="31"/>
      <c r="Q4003" s="31"/>
      <c r="R4003" s="33" t="s">
        <v>14878</v>
      </c>
      <c r="S4003" s="34" t="str">
        <f>HYPERLINK("http://www.cnpol.ru/covers/20869.jpg","фото на сайте")</f>
        <v>фото на сайте</v>
      </c>
    </row>
    <row r="4004" spans="1:19" ht="50.1" customHeight="1">
      <c r="A4004" s="31"/>
      <c r="B4004" s="32" t="s">
        <v>14879</v>
      </c>
      <c r="C4004" s="31" t="s">
        <v>390</v>
      </c>
      <c r="D4004" s="31" t="s">
        <v>414</v>
      </c>
      <c r="E4004" s="31" t="s">
        <v>14880</v>
      </c>
      <c r="F4004" s="31">
        <v>648</v>
      </c>
      <c r="G4004" s="31">
        <v>86</v>
      </c>
      <c r="H4004" s="31">
        <v>10</v>
      </c>
      <c r="I4004" s="31">
        <v>30</v>
      </c>
      <c r="J4004" s="31" t="s">
        <v>14881</v>
      </c>
      <c r="K4004" s="31" t="s">
        <v>123</v>
      </c>
      <c r="L4004" s="31" t="s">
        <v>56</v>
      </c>
      <c r="M4004" s="31">
        <v>160</v>
      </c>
      <c r="N4004" s="31">
        <v>2016</v>
      </c>
      <c r="O4004" s="31">
        <v>76</v>
      </c>
      <c r="P4004" s="31"/>
      <c r="Q4004" s="31"/>
      <c r="R4004" s="33"/>
      <c r="S4004" s="34" t="str">
        <f>HYPERLINK("http://www.cnpol.ru/covers/16991.jpg","фото на сайте")</f>
        <v>фото на сайте</v>
      </c>
    </row>
    <row r="4005" spans="1:19" ht="50.1" customHeight="1">
      <c r="A4005" s="31"/>
      <c r="B4005" s="32" t="s">
        <v>14882</v>
      </c>
      <c r="C4005" s="31" t="s">
        <v>315</v>
      </c>
      <c r="D4005" s="31" t="s">
        <v>316</v>
      </c>
      <c r="E4005" s="31" t="s">
        <v>14883</v>
      </c>
      <c r="F4005" s="31" t="s">
        <v>31</v>
      </c>
      <c r="G4005" s="31">
        <v>251</v>
      </c>
      <c r="H4005" s="31">
        <v>10</v>
      </c>
      <c r="I4005" s="31">
        <v>30</v>
      </c>
      <c r="J4005" s="31" t="s">
        <v>14884</v>
      </c>
      <c r="K4005" s="31" t="s">
        <v>319</v>
      </c>
      <c r="L4005" s="31" t="s">
        <v>210</v>
      </c>
      <c r="M4005" s="31">
        <v>36</v>
      </c>
      <c r="N4005" s="31">
        <v>2020</v>
      </c>
      <c r="O4005" s="31">
        <v>140</v>
      </c>
      <c r="P4005" s="31"/>
      <c r="Q4005" s="31"/>
      <c r="R4005" s="33"/>
      <c r="S4005" s="34" t="str">
        <f>HYPERLINK("http://www.cnpol.ru/covers/19428.jpg","фото на сайте")</f>
        <v>фото на сайте</v>
      </c>
    </row>
    <row r="4006" spans="1:19" ht="50.1" customHeight="1">
      <c r="A4006" s="31"/>
      <c r="B4006" s="32" t="s">
        <v>14885</v>
      </c>
      <c r="C4006" s="31" t="s">
        <v>546</v>
      </c>
      <c r="D4006" s="31" t="s">
        <v>7377</v>
      </c>
      <c r="E4006" s="31" t="s">
        <v>14886</v>
      </c>
      <c r="F4006" s="31">
        <v>137</v>
      </c>
      <c r="G4006" s="31">
        <v>93</v>
      </c>
      <c r="H4006" s="31">
        <v>10</v>
      </c>
      <c r="I4006" s="31">
        <v>30</v>
      </c>
      <c r="J4006" s="31" t="s">
        <v>14887</v>
      </c>
      <c r="K4006" s="31" t="s">
        <v>123</v>
      </c>
      <c r="L4006" s="31" t="s">
        <v>56</v>
      </c>
      <c r="M4006" s="31">
        <v>158</v>
      </c>
      <c r="N4006" s="31">
        <v>2015</v>
      </c>
      <c r="O4006" s="31">
        <v>76</v>
      </c>
      <c r="P4006" s="31"/>
      <c r="Q4006" s="31"/>
      <c r="R4006" s="33"/>
      <c r="S4006" s="34" t="str">
        <f>HYPERLINK("http://www.cnpol.ru/covers/16235.jpg","фото на сайте")</f>
        <v>фото на сайте</v>
      </c>
    </row>
    <row r="4007" spans="1:19" ht="50.1" customHeight="1">
      <c r="A4007" s="31"/>
      <c r="B4007" s="32" t="s">
        <v>14888</v>
      </c>
      <c r="C4007" s="31" t="s">
        <v>390</v>
      </c>
      <c r="D4007" s="31" t="s">
        <v>1427</v>
      </c>
      <c r="E4007" s="31" t="s">
        <v>14889</v>
      </c>
      <c r="F4007" s="31">
        <v>943</v>
      </c>
      <c r="G4007" s="31">
        <v>86</v>
      </c>
      <c r="H4007" s="31">
        <v>10</v>
      </c>
      <c r="I4007" s="31">
        <v>30</v>
      </c>
      <c r="J4007" s="31" t="s">
        <v>14890</v>
      </c>
      <c r="K4007" s="31" t="s">
        <v>123</v>
      </c>
      <c r="L4007" s="31" t="s">
        <v>56</v>
      </c>
      <c r="M4007" s="31">
        <v>160</v>
      </c>
      <c r="N4007" s="31">
        <v>2019</v>
      </c>
      <c r="O4007" s="31">
        <v>76</v>
      </c>
      <c r="P4007" s="31"/>
      <c r="Q4007" s="31"/>
      <c r="R4007" s="33"/>
      <c r="S4007" s="34" t="str">
        <f>HYPERLINK("http://www.cnpol.ru/covers/18955.jpg","фото на сайте")</f>
        <v>фото на сайте</v>
      </c>
    </row>
    <row r="4008" spans="1:19" ht="50.1" customHeight="1">
      <c r="A4008" s="31"/>
      <c r="B4008" s="32" t="s">
        <v>14891</v>
      </c>
      <c r="C4008" s="31" t="s">
        <v>390</v>
      </c>
      <c r="D4008" s="31" t="s">
        <v>1131</v>
      </c>
      <c r="E4008" s="31" t="s">
        <v>14892</v>
      </c>
      <c r="F4008" s="31">
        <v>472</v>
      </c>
      <c r="G4008" s="31">
        <v>86</v>
      </c>
      <c r="H4008" s="31">
        <v>10</v>
      </c>
      <c r="I4008" s="31">
        <v>30</v>
      </c>
      <c r="J4008" s="31" t="s">
        <v>14893</v>
      </c>
      <c r="K4008" s="31" t="s">
        <v>123</v>
      </c>
      <c r="L4008" s="31" t="s">
        <v>56</v>
      </c>
      <c r="M4008" s="31">
        <v>158</v>
      </c>
      <c r="N4008" s="31">
        <v>2014</v>
      </c>
      <c r="O4008" s="31">
        <v>74</v>
      </c>
      <c r="P4008" s="31"/>
      <c r="Q4008" s="31"/>
      <c r="R4008" s="33"/>
      <c r="S4008" s="34" t="str">
        <f>HYPERLINK("http://www.cnpol.ru/covers/15641.jpg","фото на сайте")</f>
        <v>фото на сайте</v>
      </c>
    </row>
    <row r="4009" spans="1:19" ht="50.1" customHeight="1">
      <c r="A4009" s="31"/>
      <c r="B4009" s="32" t="s">
        <v>14894</v>
      </c>
      <c r="C4009" s="31" t="s">
        <v>520</v>
      </c>
      <c r="D4009" s="31" t="s">
        <v>4134</v>
      </c>
      <c r="E4009" s="31" t="s">
        <v>14895</v>
      </c>
      <c r="F4009" s="31">
        <v>71</v>
      </c>
      <c r="G4009" s="31">
        <v>117</v>
      </c>
      <c r="H4009" s="31">
        <v>10</v>
      </c>
      <c r="I4009" s="31">
        <v>30</v>
      </c>
      <c r="J4009" s="31" t="s">
        <v>14896</v>
      </c>
      <c r="K4009" s="31" t="s">
        <v>123</v>
      </c>
      <c r="L4009" s="31" t="s">
        <v>56</v>
      </c>
      <c r="M4009" s="31">
        <v>192</v>
      </c>
      <c r="N4009" s="31">
        <v>2019</v>
      </c>
      <c r="O4009" s="31">
        <v>90</v>
      </c>
      <c r="P4009" s="31"/>
      <c r="Q4009" s="31"/>
      <c r="R4009" s="33"/>
      <c r="S4009" s="34" t="str">
        <f>HYPERLINK("http://www.cnpol.ru/covers/18893.jpg","фото на сайте")</f>
        <v>фото на сайте</v>
      </c>
    </row>
    <row r="4010" spans="1:19" ht="50.1" customHeight="1">
      <c r="A4010" s="31"/>
      <c r="B4010" s="32" t="s">
        <v>14897</v>
      </c>
      <c r="C4010" s="31" t="s">
        <v>418</v>
      </c>
      <c r="D4010" s="31" t="s">
        <v>419</v>
      </c>
      <c r="E4010" s="31" t="s">
        <v>14898</v>
      </c>
      <c r="F4010" s="31">
        <v>95</v>
      </c>
      <c r="G4010" s="31">
        <v>153</v>
      </c>
      <c r="H4010" s="31">
        <v>10</v>
      </c>
      <c r="I4010" s="31">
        <v>24</v>
      </c>
      <c r="J4010" s="31" t="s">
        <v>14899</v>
      </c>
      <c r="K4010" s="31" t="s">
        <v>123</v>
      </c>
      <c r="L4010" s="31" t="s">
        <v>56</v>
      </c>
      <c r="M4010" s="31">
        <v>256</v>
      </c>
      <c r="N4010" s="31">
        <v>2019</v>
      </c>
      <c r="O4010" s="31">
        <v>120</v>
      </c>
      <c r="P4010" s="31"/>
      <c r="Q4010" s="31"/>
      <c r="R4010" s="33"/>
      <c r="S4010" s="34" t="str">
        <f>HYPERLINK("http://www.cnpol.ru/covers/18483.jpg","фото на сайте")</f>
        <v>фото на сайте</v>
      </c>
    </row>
    <row r="4011" spans="1:19" ht="50.1" customHeight="1">
      <c r="A4011" s="31"/>
      <c r="B4011" s="32" t="s">
        <v>14900</v>
      </c>
      <c r="C4011" s="31" t="s">
        <v>390</v>
      </c>
      <c r="D4011" s="31" t="s">
        <v>1454</v>
      </c>
      <c r="E4011" s="31" t="s">
        <v>14901</v>
      </c>
      <c r="F4011" s="31">
        <v>655</v>
      </c>
      <c r="G4011" s="31">
        <v>86</v>
      </c>
      <c r="H4011" s="31">
        <v>10</v>
      </c>
      <c r="I4011" s="31">
        <v>30</v>
      </c>
      <c r="J4011" s="31" t="s">
        <v>14902</v>
      </c>
      <c r="K4011" s="31" t="s">
        <v>123</v>
      </c>
      <c r="L4011" s="31" t="s">
        <v>56</v>
      </c>
      <c r="M4011" s="31">
        <v>158</v>
      </c>
      <c r="N4011" s="31">
        <v>2016</v>
      </c>
      <c r="O4011" s="31">
        <v>76</v>
      </c>
      <c r="P4011" s="31"/>
      <c r="Q4011" s="31"/>
      <c r="R4011" s="33"/>
      <c r="S4011" s="34" t="str">
        <f>HYPERLINK("http://www.cnpol.ru/covers/17021.jpg","фото на сайте")</f>
        <v>фото на сайте</v>
      </c>
    </row>
    <row r="4012" spans="1:19" ht="50.1" customHeight="1">
      <c r="A4012" s="31"/>
      <c r="B4012" s="32" t="s">
        <v>14903</v>
      </c>
      <c r="C4012" s="31" t="s">
        <v>390</v>
      </c>
      <c r="D4012" s="31" t="s">
        <v>5684</v>
      </c>
      <c r="E4012" s="31" t="s">
        <v>14904</v>
      </c>
      <c r="F4012" s="31">
        <v>1047</v>
      </c>
      <c r="G4012" s="31">
        <v>86</v>
      </c>
      <c r="H4012" s="31">
        <v>10</v>
      </c>
      <c r="I4012" s="31">
        <v>30</v>
      </c>
      <c r="J4012" s="31" t="s">
        <v>14905</v>
      </c>
      <c r="K4012" s="31" t="s">
        <v>123</v>
      </c>
      <c r="L4012" s="31" t="s">
        <v>56</v>
      </c>
      <c r="M4012" s="31">
        <v>160</v>
      </c>
      <c r="N4012" s="31">
        <v>2021</v>
      </c>
      <c r="O4012" s="31">
        <v>76</v>
      </c>
      <c r="P4012" s="31"/>
      <c r="Q4012" s="31"/>
      <c r="R4012" s="33"/>
      <c r="S4012" s="34" t="str">
        <f>HYPERLINK("http://www.cnpol.ru/covers/19783.jpg","фото на сайте")</f>
        <v>фото на сайте</v>
      </c>
    </row>
    <row r="4013" spans="1:19" ht="50.1" customHeight="1">
      <c r="A4013" s="31"/>
      <c r="B4013" s="32" t="s">
        <v>14906</v>
      </c>
      <c r="C4013" s="31" t="s">
        <v>390</v>
      </c>
      <c r="D4013" s="31" t="s">
        <v>3610</v>
      </c>
      <c r="E4013" s="31" t="s">
        <v>14907</v>
      </c>
      <c r="F4013" s="31">
        <v>393</v>
      </c>
      <c r="G4013" s="31">
        <v>86</v>
      </c>
      <c r="H4013" s="31">
        <v>10</v>
      </c>
      <c r="I4013" s="31">
        <v>30</v>
      </c>
      <c r="J4013" s="31" t="s">
        <v>14908</v>
      </c>
      <c r="K4013" s="31" t="s">
        <v>123</v>
      </c>
      <c r="L4013" s="31" t="s">
        <v>56</v>
      </c>
      <c r="M4013" s="31">
        <v>160</v>
      </c>
      <c r="N4013" s="31">
        <v>2014</v>
      </c>
      <c r="O4013" s="31">
        <v>76</v>
      </c>
      <c r="P4013" s="31"/>
      <c r="Q4013" s="31"/>
      <c r="R4013" s="33"/>
      <c r="S4013" s="34" t="str">
        <f>HYPERLINK("http://www.cnpol.ru/covers/14990.jpg","фото на сайте")</f>
        <v>фото на сайте</v>
      </c>
    </row>
    <row r="4014" spans="1:19" ht="50.1" customHeight="1">
      <c r="A4014" s="31"/>
      <c r="B4014" s="32" t="s">
        <v>14909</v>
      </c>
      <c r="C4014" s="31" t="s">
        <v>418</v>
      </c>
      <c r="D4014" s="31" t="s">
        <v>2501</v>
      </c>
      <c r="E4014" s="31" t="s">
        <v>14910</v>
      </c>
      <c r="F4014" s="31">
        <v>112</v>
      </c>
      <c r="G4014" s="31">
        <v>153</v>
      </c>
      <c r="H4014" s="31">
        <v>10</v>
      </c>
      <c r="I4014" s="31">
        <v>20</v>
      </c>
      <c r="J4014" s="31" t="s">
        <v>14911</v>
      </c>
      <c r="K4014" s="31" t="s">
        <v>123</v>
      </c>
      <c r="L4014" s="31" t="s">
        <v>56</v>
      </c>
      <c r="M4014" s="31">
        <v>256</v>
      </c>
      <c r="N4014" s="31">
        <v>2020</v>
      </c>
      <c r="O4014" s="31">
        <v>118</v>
      </c>
      <c r="P4014" s="31"/>
      <c r="Q4014" s="31"/>
      <c r="R4014" s="33"/>
      <c r="S4014" s="34" t="str">
        <f>HYPERLINK("http://www.cnpol.ru/covers/19484.jpg","фото на сайте")</f>
        <v>фото на сайте</v>
      </c>
    </row>
    <row r="4015" spans="1:19" ht="50.1" customHeight="1">
      <c r="A4015" s="31"/>
      <c r="B4015" s="32" t="s">
        <v>14912</v>
      </c>
      <c r="C4015" s="31" t="s">
        <v>418</v>
      </c>
      <c r="D4015" s="31" t="s">
        <v>2343</v>
      </c>
      <c r="E4015" s="31" t="s">
        <v>14913</v>
      </c>
      <c r="F4015" s="31">
        <v>31</v>
      </c>
      <c r="G4015" s="31">
        <v>153</v>
      </c>
      <c r="H4015" s="31">
        <v>10</v>
      </c>
      <c r="I4015" s="31">
        <v>32</v>
      </c>
      <c r="J4015" s="31" t="s">
        <v>14914</v>
      </c>
      <c r="K4015" s="31" t="s">
        <v>123</v>
      </c>
      <c r="L4015" s="31" t="s">
        <v>56</v>
      </c>
      <c r="M4015" s="31">
        <v>254</v>
      </c>
      <c r="N4015" s="31">
        <v>2013</v>
      </c>
      <c r="O4015" s="31">
        <v>120</v>
      </c>
      <c r="P4015" s="31"/>
      <c r="Q4015" s="31"/>
      <c r="R4015" s="33"/>
      <c r="S4015" s="34" t="str">
        <f>HYPERLINK("http://www.cnpol.ru/covers/14551.jpg","фото на сайте")</f>
        <v>фото на сайте</v>
      </c>
    </row>
    <row r="4016" spans="1:19" ht="50.1" customHeight="1">
      <c r="A4016" s="31"/>
      <c r="B4016" s="32" t="s">
        <v>14915</v>
      </c>
      <c r="C4016" s="31" t="s">
        <v>464</v>
      </c>
      <c r="D4016" s="31" t="s">
        <v>2607</v>
      </c>
      <c r="E4016" s="31" t="s">
        <v>14916</v>
      </c>
      <c r="F4016" s="31" t="s">
        <v>31</v>
      </c>
      <c r="G4016" s="31">
        <v>137</v>
      </c>
      <c r="H4016" s="31">
        <v>10</v>
      </c>
      <c r="I4016" s="31">
        <v>50</v>
      </c>
      <c r="J4016" s="31" t="s">
        <v>14917</v>
      </c>
      <c r="K4016" s="31" t="s">
        <v>468</v>
      </c>
      <c r="L4016" s="31" t="s">
        <v>56</v>
      </c>
      <c r="M4016" s="31">
        <v>18</v>
      </c>
      <c r="N4016" s="31">
        <v>2005</v>
      </c>
      <c r="O4016" s="31">
        <v>84</v>
      </c>
      <c r="P4016" s="31"/>
      <c r="Q4016" s="31"/>
      <c r="R4016" s="33"/>
      <c r="S4016" s="34" t="str">
        <f>HYPERLINK("http://www.cnpol.ru/covers/5643.jpg","фото на сайте")</f>
        <v>фото на сайте</v>
      </c>
    </row>
    <row r="4017" spans="1:19" ht="50.1" customHeight="1">
      <c r="A4017" s="31"/>
      <c r="B4017" s="32" t="s">
        <v>14918</v>
      </c>
      <c r="C4017" s="31" t="s">
        <v>390</v>
      </c>
      <c r="D4017" s="31" t="s">
        <v>2177</v>
      </c>
      <c r="E4017" s="31" t="s">
        <v>14919</v>
      </c>
      <c r="F4017" s="31">
        <v>485</v>
      </c>
      <c r="G4017" s="31">
        <v>86</v>
      </c>
      <c r="H4017" s="31">
        <v>10</v>
      </c>
      <c r="I4017" s="31">
        <v>30</v>
      </c>
      <c r="J4017" s="31" t="s">
        <v>14920</v>
      </c>
      <c r="K4017" s="31" t="s">
        <v>123</v>
      </c>
      <c r="L4017" s="31" t="s">
        <v>56</v>
      </c>
      <c r="M4017" s="31">
        <v>158</v>
      </c>
      <c r="N4017" s="31">
        <v>2015</v>
      </c>
      <c r="O4017" s="31">
        <v>76</v>
      </c>
      <c r="P4017" s="31"/>
      <c r="Q4017" s="31"/>
      <c r="R4017" s="33"/>
      <c r="S4017" s="34" t="str">
        <f>HYPERLINK("http://www.cnpol.ru/covers/15760.jpg","фото на сайте")</f>
        <v>фото на сайте</v>
      </c>
    </row>
    <row r="4018" spans="1:19" ht="50.1" customHeight="1">
      <c r="A4018" s="31"/>
      <c r="B4018" s="32" t="s">
        <v>14921</v>
      </c>
      <c r="C4018" s="31" t="s">
        <v>400</v>
      </c>
      <c r="D4018" s="31" t="s">
        <v>7783</v>
      </c>
      <c r="E4018" s="31" t="s">
        <v>14922</v>
      </c>
      <c r="F4018" s="31" t="s">
        <v>31</v>
      </c>
      <c r="G4018" s="31">
        <v>503</v>
      </c>
      <c r="H4018" s="31">
        <v>10</v>
      </c>
      <c r="I4018" s="31">
        <v>14</v>
      </c>
      <c r="J4018" s="31" t="s">
        <v>14923</v>
      </c>
      <c r="K4018" s="31" t="s">
        <v>33</v>
      </c>
      <c r="L4018" s="31" t="s">
        <v>34</v>
      </c>
      <c r="M4018" s="31">
        <v>319</v>
      </c>
      <c r="N4018" s="31">
        <v>2022</v>
      </c>
      <c r="O4018" s="31">
        <v>260</v>
      </c>
      <c r="P4018" s="31"/>
      <c r="Q4018" s="31"/>
      <c r="R4018" s="33"/>
      <c r="S4018" s="34" t="str">
        <f>HYPERLINK("http://www.cnpol.ru/covers/20114.jpg","фото на сайте")</f>
        <v>фото на сайте</v>
      </c>
    </row>
    <row r="4019" spans="1:19" ht="50.1" customHeight="1">
      <c r="A4019" s="31"/>
      <c r="B4019" s="32" t="s">
        <v>14924</v>
      </c>
      <c r="C4019" s="31" t="s">
        <v>45</v>
      </c>
      <c r="D4019" s="31" t="s">
        <v>14925</v>
      </c>
      <c r="E4019" s="31" t="s">
        <v>14926</v>
      </c>
      <c r="F4019" s="31" t="s">
        <v>31</v>
      </c>
      <c r="G4019" s="31">
        <v>843</v>
      </c>
      <c r="H4019" s="31">
        <v>10</v>
      </c>
      <c r="I4019" s="31">
        <v>10</v>
      </c>
      <c r="J4019" s="31" t="s">
        <v>14927</v>
      </c>
      <c r="K4019" s="31" t="s">
        <v>33</v>
      </c>
      <c r="L4019" s="31" t="s">
        <v>34</v>
      </c>
      <c r="M4019" s="31">
        <v>415</v>
      </c>
      <c r="N4019" s="31">
        <v>2015</v>
      </c>
      <c r="O4019" s="31">
        <v>434</v>
      </c>
      <c r="P4019" s="31"/>
      <c r="Q4019" s="31"/>
      <c r="R4019" s="33"/>
      <c r="S4019" s="34" t="str">
        <f>HYPERLINK("http://www.cnpol.ru/covers/16033.jpg","фото на сайте")</f>
        <v>фото на сайте</v>
      </c>
    </row>
    <row r="4020" spans="1:19" ht="50.1" customHeight="1">
      <c r="A4020" s="31"/>
      <c r="B4020" s="32" t="s">
        <v>14928</v>
      </c>
      <c r="C4020" s="31" t="s">
        <v>37</v>
      </c>
      <c r="D4020" s="31" t="s">
        <v>14929</v>
      </c>
      <c r="E4020" s="31" t="s">
        <v>14930</v>
      </c>
      <c r="F4020" s="31" t="s">
        <v>31</v>
      </c>
      <c r="G4020" s="31">
        <v>710</v>
      </c>
      <c r="H4020" s="31">
        <v>10</v>
      </c>
      <c r="I4020" s="31">
        <v>18</v>
      </c>
      <c r="J4020" s="31" t="s">
        <v>14931</v>
      </c>
      <c r="K4020" s="31" t="s">
        <v>33</v>
      </c>
      <c r="L4020" s="31" t="s">
        <v>34</v>
      </c>
      <c r="M4020" s="31">
        <v>319</v>
      </c>
      <c r="N4020" s="31">
        <v>2014</v>
      </c>
      <c r="O4020" s="31">
        <v>350</v>
      </c>
      <c r="P4020" s="31"/>
      <c r="Q4020" s="31"/>
      <c r="R4020" s="33"/>
      <c r="S4020" s="34" t="str">
        <f>HYPERLINK("http://www.cnpol.ru/covers/15377.jpg","фото на сайте")</f>
        <v>фото на сайте</v>
      </c>
    </row>
    <row r="4021" spans="1:19" ht="50.1" customHeight="1">
      <c r="A4021" s="31"/>
      <c r="B4021" s="32" t="s">
        <v>14932</v>
      </c>
      <c r="C4021" s="31" t="s">
        <v>390</v>
      </c>
      <c r="D4021" s="31" t="s">
        <v>14933</v>
      </c>
      <c r="E4021" s="31" t="s">
        <v>14934</v>
      </c>
      <c r="F4021" s="31">
        <v>704</v>
      </c>
      <c r="G4021" s="31">
        <v>86</v>
      </c>
      <c r="H4021" s="31">
        <v>10</v>
      </c>
      <c r="I4021" s="31">
        <v>30</v>
      </c>
      <c r="J4021" s="31" t="s">
        <v>14935</v>
      </c>
      <c r="K4021" s="31" t="s">
        <v>123</v>
      </c>
      <c r="L4021" s="31" t="s">
        <v>56</v>
      </c>
      <c r="M4021" s="31">
        <v>160</v>
      </c>
      <c r="N4021" s="31">
        <v>2017</v>
      </c>
      <c r="O4021" s="31">
        <v>76</v>
      </c>
      <c r="P4021" s="31"/>
      <c r="Q4021" s="31"/>
      <c r="R4021" s="33"/>
      <c r="S4021" s="34" t="str">
        <f>HYPERLINK("http://www.cnpol.ru/covers/17395.jpg","фото на сайте")</f>
        <v>фото на сайте</v>
      </c>
    </row>
    <row r="4022" spans="1:19" ht="50.1" customHeight="1">
      <c r="A4022" s="31"/>
      <c r="B4022" s="32" t="s">
        <v>14936</v>
      </c>
      <c r="C4022" s="31" t="s">
        <v>400</v>
      </c>
      <c r="D4022" s="31" t="s">
        <v>14937</v>
      </c>
      <c r="E4022" s="31" t="s">
        <v>14938</v>
      </c>
      <c r="F4022" s="31" t="s">
        <v>31</v>
      </c>
      <c r="G4022" s="31">
        <v>503</v>
      </c>
      <c r="H4022" s="31">
        <v>10</v>
      </c>
      <c r="I4022" s="31">
        <v>14</v>
      </c>
      <c r="J4022" s="31" t="s">
        <v>14939</v>
      </c>
      <c r="K4022" s="31" t="s">
        <v>33</v>
      </c>
      <c r="L4022" s="31" t="s">
        <v>34</v>
      </c>
      <c r="M4022" s="31">
        <v>288</v>
      </c>
      <c r="N4022" s="31">
        <v>2019</v>
      </c>
      <c r="O4022" s="31">
        <v>254</v>
      </c>
      <c r="P4022" s="31"/>
      <c r="Q4022" s="31"/>
      <c r="R4022" s="33"/>
      <c r="S4022" s="34" t="str">
        <f>HYPERLINK("http://www.cnpol.ru/covers/18645.jpg","фото на сайте")</f>
        <v>фото на сайте</v>
      </c>
    </row>
    <row r="4023" spans="1:19" ht="50.1" customHeight="1">
      <c r="A4023" s="31"/>
      <c r="B4023" s="32" t="s">
        <v>14940</v>
      </c>
      <c r="C4023" s="31" t="s">
        <v>37</v>
      </c>
      <c r="D4023" s="31" t="s">
        <v>14941</v>
      </c>
      <c r="E4023" s="31" t="s">
        <v>14942</v>
      </c>
      <c r="F4023" s="31" t="s">
        <v>31</v>
      </c>
      <c r="G4023" s="35">
        <v>1174</v>
      </c>
      <c r="H4023" s="31">
        <v>10</v>
      </c>
      <c r="I4023" s="31">
        <v>10</v>
      </c>
      <c r="J4023" s="31" t="s">
        <v>14943</v>
      </c>
      <c r="K4023" s="31" t="s">
        <v>33</v>
      </c>
      <c r="L4023" s="31" t="s">
        <v>34</v>
      </c>
      <c r="M4023" s="31">
        <v>480</v>
      </c>
      <c r="N4023" s="31">
        <v>2022</v>
      </c>
      <c r="O4023" s="31">
        <v>564</v>
      </c>
      <c r="P4023" s="31"/>
      <c r="Q4023" s="31"/>
      <c r="R4023" s="33"/>
      <c r="S4023" s="34" t="str">
        <f>HYPERLINK("http://www.cnpol.ru/covers/20099.jpg","фото на сайте")</f>
        <v>фото на сайте</v>
      </c>
    </row>
    <row r="4024" spans="1:19" ht="50.1" customHeight="1">
      <c r="A4024" s="31"/>
      <c r="B4024" s="32" t="s">
        <v>14944</v>
      </c>
      <c r="C4024" s="31" t="s">
        <v>533</v>
      </c>
      <c r="D4024" s="31" t="s">
        <v>14945</v>
      </c>
      <c r="E4024" s="31" t="s">
        <v>14946</v>
      </c>
      <c r="F4024" s="31" t="s">
        <v>31</v>
      </c>
      <c r="G4024" s="31">
        <v>236</v>
      </c>
      <c r="H4024" s="31">
        <v>10</v>
      </c>
      <c r="I4024" s="31">
        <v>10</v>
      </c>
      <c r="J4024" s="31" t="s">
        <v>14947</v>
      </c>
      <c r="K4024" s="31" t="s">
        <v>33</v>
      </c>
      <c r="L4024" s="31" t="s">
        <v>34</v>
      </c>
      <c r="M4024" s="31">
        <v>491</v>
      </c>
      <c r="N4024" s="31">
        <v>2001</v>
      </c>
      <c r="O4024" s="31">
        <v>394</v>
      </c>
      <c r="P4024" s="31"/>
      <c r="Q4024" s="31"/>
      <c r="R4024" s="33"/>
      <c r="S4024" s="34" t="str">
        <f>HYPERLINK("http://www.cnpol.ru/covers/2635.jpg","фото на сайте")</f>
        <v>фото на сайте</v>
      </c>
    </row>
    <row r="4025" spans="1:19" ht="50.1" customHeight="1">
      <c r="A4025" s="31"/>
      <c r="B4025" s="32" t="s">
        <v>14948</v>
      </c>
      <c r="C4025" s="31" t="s">
        <v>408</v>
      </c>
      <c r="D4025" s="31" t="s">
        <v>2210</v>
      </c>
      <c r="E4025" s="31" t="s">
        <v>14949</v>
      </c>
      <c r="F4025" s="31" t="s">
        <v>31</v>
      </c>
      <c r="G4025" s="31">
        <v>640</v>
      </c>
      <c r="H4025" s="31">
        <v>10</v>
      </c>
      <c r="I4025" s="31">
        <v>14</v>
      </c>
      <c r="J4025" s="31" t="s">
        <v>14950</v>
      </c>
      <c r="K4025" s="31" t="s">
        <v>33</v>
      </c>
      <c r="L4025" s="31" t="s">
        <v>34</v>
      </c>
      <c r="M4025" s="31">
        <v>224</v>
      </c>
      <c r="N4025" s="31">
        <v>2021</v>
      </c>
      <c r="O4025" s="31">
        <v>220</v>
      </c>
      <c r="P4025" s="31"/>
      <c r="Q4025" s="31"/>
      <c r="R4025" s="33"/>
      <c r="S4025" s="34" t="str">
        <f>HYPERLINK("http://www.cnpol.ru/covers/19728.jpg","фото на сайте")</f>
        <v>фото на сайте</v>
      </c>
    </row>
    <row r="4026" spans="1:19" ht="50.1" customHeight="1">
      <c r="A4026" s="31"/>
      <c r="B4026" s="32" t="s">
        <v>14951</v>
      </c>
      <c r="C4026" s="31" t="s">
        <v>390</v>
      </c>
      <c r="D4026" s="31" t="s">
        <v>1427</v>
      </c>
      <c r="E4026" s="31" t="s">
        <v>14952</v>
      </c>
      <c r="F4026" s="31">
        <v>539</v>
      </c>
      <c r="G4026" s="31">
        <v>86</v>
      </c>
      <c r="H4026" s="31">
        <v>10</v>
      </c>
      <c r="I4026" s="31">
        <v>30</v>
      </c>
      <c r="J4026" s="31" t="s">
        <v>14953</v>
      </c>
      <c r="K4026" s="31" t="s">
        <v>123</v>
      </c>
      <c r="L4026" s="31" t="s">
        <v>56</v>
      </c>
      <c r="M4026" s="31">
        <v>158</v>
      </c>
      <c r="N4026" s="31">
        <v>2015</v>
      </c>
      <c r="O4026" s="31">
        <v>76</v>
      </c>
      <c r="P4026" s="31"/>
      <c r="Q4026" s="31"/>
      <c r="R4026" s="33"/>
      <c r="S4026" s="34" t="str">
        <f>HYPERLINK("http://www.cnpol.ru/covers/16156.jpg","фото на сайте")</f>
        <v>фото на сайте</v>
      </c>
    </row>
    <row r="4027" spans="1:19" ht="50.1" customHeight="1">
      <c r="A4027" s="31"/>
      <c r="B4027" s="32" t="s">
        <v>14954</v>
      </c>
      <c r="C4027" s="31" t="s">
        <v>8326</v>
      </c>
      <c r="D4027" s="31" t="s">
        <v>14955</v>
      </c>
      <c r="E4027" s="31" t="s">
        <v>14956</v>
      </c>
      <c r="F4027" s="31" t="s">
        <v>31</v>
      </c>
      <c r="G4027" s="31">
        <v>559</v>
      </c>
      <c r="H4027" s="31">
        <v>10</v>
      </c>
      <c r="I4027" s="31">
        <v>16</v>
      </c>
      <c r="J4027" s="31" t="s">
        <v>14957</v>
      </c>
      <c r="K4027" s="31" t="s">
        <v>33</v>
      </c>
      <c r="L4027" s="31" t="s">
        <v>34</v>
      </c>
      <c r="M4027" s="31">
        <v>349</v>
      </c>
      <c r="N4027" s="31">
        <v>2014</v>
      </c>
      <c r="O4027" s="31">
        <v>364</v>
      </c>
      <c r="P4027" s="31"/>
      <c r="Q4027" s="31"/>
      <c r="R4027" s="33"/>
      <c r="S4027" s="34" t="str">
        <f>HYPERLINK("http://www.cnpol.ru/covers/15051.jpg","фото на сайте")</f>
        <v>фото на сайте</v>
      </c>
    </row>
    <row r="4028" spans="1:19" ht="50.1" customHeight="1">
      <c r="A4028" s="31"/>
      <c r="B4028" s="32" t="s">
        <v>14958</v>
      </c>
      <c r="C4028" s="31" t="s">
        <v>1338</v>
      </c>
      <c r="D4028" s="31" t="s">
        <v>14959</v>
      </c>
      <c r="E4028" s="31" t="s">
        <v>14960</v>
      </c>
      <c r="F4028" s="31" t="s">
        <v>31</v>
      </c>
      <c r="G4028" s="31">
        <v>154</v>
      </c>
      <c r="H4028" s="31">
        <v>10</v>
      </c>
      <c r="I4028" s="31">
        <v>20</v>
      </c>
      <c r="J4028" s="31" t="s">
        <v>14961</v>
      </c>
      <c r="K4028" s="31" t="s">
        <v>55</v>
      </c>
      <c r="L4028" s="31" t="s">
        <v>56</v>
      </c>
      <c r="M4028" s="31">
        <v>285</v>
      </c>
      <c r="N4028" s="31">
        <v>2008</v>
      </c>
      <c r="O4028" s="31">
        <v>122</v>
      </c>
      <c r="P4028" s="31"/>
      <c r="Q4028" s="31"/>
      <c r="R4028" s="33"/>
      <c r="S4028" s="34" t="str">
        <f>HYPERLINK("http://www.cnpol.ru/covers/7831.jpg","фото на сайте")</f>
        <v>фото на сайте</v>
      </c>
    </row>
    <row r="4029" spans="1:19" ht="50.1" customHeight="1">
      <c r="A4029" s="31"/>
      <c r="B4029" s="32" t="s">
        <v>14962</v>
      </c>
      <c r="C4029" s="31" t="s">
        <v>1242</v>
      </c>
      <c r="D4029" s="31" t="s">
        <v>7130</v>
      </c>
      <c r="E4029" s="31" t="s">
        <v>14963</v>
      </c>
      <c r="F4029" s="31">
        <v>2</v>
      </c>
      <c r="G4029" s="31">
        <v>122</v>
      </c>
      <c r="H4029" s="31">
        <v>10</v>
      </c>
      <c r="I4029" s="31">
        <v>22</v>
      </c>
      <c r="J4029" s="31" t="s">
        <v>14964</v>
      </c>
      <c r="K4029" s="31" t="s">
        <v>130</v>
      </c>
      <c r="L4029" s="31" t="s">
        <v>56</v>
      </c>
      <c r="M4029" s="31">
        <v>191</v>
      </c>
      <c r="N4029" s="31">
        <v>2008</v>
      </c>
      <c r="O4029" s="31">
        <v>118</v>
      </c>
      <c r="P4029" s="31"/>
      <c r="Q4029" s="31"/>
      <c r="R4029" s="33"/>
      <c r="S4029" s="34" t="str">
        <f>HYPERLINK("http://www.cnpol.ru/covers/10490.jpg","фото на сайте")</f>
        <v>фото на сайте</v>
      </c>
    </row>
    <row r="4030" spans="1:19" ht="50.1" customHeight="1">
      <c r="A4030" s="31"/>
      <c r="B4030" s="32" t="s">
        <v>14965</v>
      </c>
      <c r="C4030" s="31" t="s">
        <v>1242</v>
      </c>
      <c r="D4030" s="31" t="s">
        <v>7130</v>
      </c>
      <c r="E4030" s="31" t="s">
        <v>14963</v>
      </c>
      <c r="F4030" s="31">
        <v>3</v>
      </c>
      <c r="G4030" s="31">
        <v>122</v>
      </c>
      <c r="H4030" s="31">
        <v>10</v>
      </c>
      <c r="I4030" s="31">
        <v>22</v>
      </c>
      <c r="J4030" s="31" t="s">
        <v>14966</v>
      </c>
      <c r="K4030" s="31" t="s">
        <v>130</v>
      </c>
      <c r="L4030" s="31" t="s">
        <v>56</v>
      </c>
      <c r="M4030" s="31">
        <v>191</v>
      </c>
      <c r="N4030" s="31">
        <v>2008</v>
      </c>
      <c r="O4030" s="31">
        <v>120</v>
      </c>
      <c r="P4030" s="31"/>
      <c r="Q4030" s="31"/>
      <c r="R4030" s="33"/>
      <c r="S4030" s="34" t="str">
        <f>HYPERLINK("http://www.cnpol.ru/covers/10491.jpg","фото на сайте")</f>
        <v>фото на сайте</v>
      </c>
    </row>
    <row r="4031" spans="1:19" ht="50.1" customHeight="1">
      <c r="A4031" s="31" t="s">
        <v>35</v>
      </c>
      <c r="B4031" s="32" t="s">
        <v>14967</v>
      </c>
      <c r="C4031" s="31" t="s">
        <v>14968</v>
      </c>
      <c r="D4031" s="31" t="s">
        <v>7130</v>
      </c>
      <c r="E4031" s="31" t="s">
        <v>14969</v>
      </c>
      <c r="F4031" s="31" t="s">
        <v>31</v>
      </c>
      <c r="G4031" s="31">
        <v>500</v>
      </c>
      <c r="H4031" s="31">
        <v>10</v>
      </c>
      <c r="I4031" s="31">
        <v>14</v>
      </c>
      <c r="J4031" s="31" t="s">
        <v>14970</v>
      </c>
      <c r="K4031" s="31" t="s">
        <v>33</v>
      </c>
      <c r="L4031" s="31" t="s">
        <v>34</v>
      </c>
      <c r="M4031" s="31">
        <v>288</v>
      </c>
      <c r="N4031" s="31">
        <v>2025</v>
      </c>
      <c r="O4031" s="31">
        <v>298</v>
      </c>
      <c r="P4031" s="31"/>
      <c r="Q4031" s="31"/>
      <c r="R4031" s="33" t="s">
        <v>14971</v>
      </c>
      <c r="S4031" s="34" t="str">
        <f>HYPERLINK("http://www.cnpol.ru/covers/21637.jpg","фото на сайте")</f>
        <v>фото на сайте</v>
      </c>
    </row>
    <row r="4032" spans="1:19" ht="50.1" customHeight="1">
      <c r="A4032" s="31"/>
      <c r="B4032" s="32" t="s">
        <v>14972</v>
      </c>
      <c r="C4032" s="31" t="s">
        <v>390</v>
      </c>
      <c r="D4032" s="31" t="s">
        <v>4130</v>
      </c>
      <c r="E4032" s="31" t="s">
        <v>14973</v>
      </c>
      <c r="F4032" s="31">
        <v>643</v>
      </c>
      <c r="G4032" s="31">
        <v>86</v>
      </c>
      <c r="H4032" s="31">
        <v>10</v>
      </c>
      <c r="I4032" s="31">
        <v>30</v>
      </c>
      <c r="J4032" s="31" t="s">
        <v>14974</v>
      </c>
      <c r="K4032" s="31" t="s">
        <v>123</v>
      </c>
      <c r="L4032" s="31" t="s">
        <v>56</v>
      </c>
      <c r="M4032" s="31">
        <v>160</v>
      </c>
      <c r="N4032" s="31">
        <v>2016</v>
      </c>
      <c r="O4032" s="31">
        <v>76</v>
      </c>
      <c r="P4032" s="31"/>
      <c r="Q4032" s="31"/>
      <c r="R4032" s="33"/>
      <c r="S4032" s="34" t="str">
        <f>HYPERLINK("http://www.cnpol.ru/covers/16950.jpg","фото на сайте")</f>
        <v>фото на сайте</v>
      </c>
    </row>
    <row r="4033" spans="1:19" ht="50.1" customHeight="1">
      <c r="A4033" s="31" t="s">
        <v>35</v>
      </c>
      <c r="B4033" s="32" t="s">
        <v>14975</v>
      </c>
      <c r="C4033" s="31" t="s">
        <v>1363</v>
      </c>
      <c r="D4033" s="31" t="s">
        <v>1364</v>
      </c>
      <c r="E4033" s="31" t="s">
        <v>14976</v>
      </c>
      <c r="F4033" s="31" t="s">
        <v>31</v>
      </c>
      <c r="G4033" s="31">
        <v>693</v>
      </c>
      <c r="H4033" s="31">
        <v>10</v>
      </c>
      <c r="I4033" s="31">
        <v>16</v>
      </c>
      <c r="J4033" s="31" t="s">
        <v>14977</v>
      </c>
      <c r="K4033" s="31" t="s">
        <v>33</v>
      </c>
      <c r="L4033" s="31" t="s">
        <v>34</v>
      </c>
      <c r="M4033" s="31">
        <v>256</v>
      </c>
      <c r="N4033" s="31">
        <v>2025</v>
      </c>
      <c r="O4033" s="31">
        <v>275</v>
      </c>
      <c r="P4033" s="31"/>
      <c r="Q4033" s="31"/>
      <c r="R4033" s="33" t="s">
        <v>14978</v>
      </c>
      <c r="S4033" s="34" t="str">
        <f>HYPERLINK("http://www.cnpol.ru/covers/21749.jpg","фото на сайте")</f>
        <v>фото на сайте</v>
      </c>
    </row>
    <row r="4034" spans="1:19" ht="50.1" customHeight="1">
      <c r="A4034" s="31"/>
      <c r="B4034" s="32" t="s">
        <v>14979</v>
      </c>
      <c r="C4034" s="31" t="s">
        <v>408</v>
      </c>
      <c r="D4034" s="31" t="s">
        <v>927</v>
      </c>
      <c r="E4034" s="31" t="s">
        <v>14980</v>
      </c>
      <c r="F4034" s="31" t="s">
        <v>31</v>
      </c>
      <c r="G4034" s="31">
        <v>640</v>
      </c>
      <c r="H4034" s="31">
        <v>10</v>
      </c>
      <c r="I4034" s="31">
        <v>14</v>
      </c>
      <c r="J4034" s="31" t="s">
        <v>14981</v>
      </c>
      <c r="K4034" s="31" t="s">
        <v>33</v>
      </c>
      <c r="L4034" s="31" t="s">
        <v>34</v>
      </c>
      <c r="M4034" s="31">
        <v>224</v>
      </c>
      <c r="N4034" s="31">
        <v>2023</v>
      </c>
      <c r="O4034" s="31">
        <v>302</v>
      </c>
      <c r="P4034" s="31"/>
      <c r="Q4034" s="31"/>
      <c r="R4034" s="33" t="s">
        <v>14982</v>
      </c>
      <c r="S4034" s="34" t="str">
        <f>HYPERLINK("http://www.cnpol.ru/covers/20615.jpg","фото на сайте")</f>
        <v>фото на сайте</v>
      </c>
    </row>
    <row r="4035" spans="1:19" ht="50.1" customHeight="1">
      <c r="A4035" s="31" t="s">
        <v>43</v>
      </c>
      <c r="B4035" s="32" t="s">
        <v>14983</v>
      </c>
      <c r="C4035" s="31" t="s">
        <v>119</v>
      </c>
      <c r="D4035" s="31" t="s">
        <v>191</v>
      </c>
      <c r="E4035" s="31" t="s">
        <v>14984</v>
      </c>
      <c r="F4035" s="31" t="s">
        <v>31</v>
      </c>
      <c r="G4035" s="31">
        <v>635</v>
      </c>
      <c r="H4035" s="31">
        <v>10</v>
      </c>
      <c r="I4035" s="31">
        <v>12</v>
      </c>
      <c r="J4035" s="31" t="s">
        <v>14985</v>
      </c>
      <c r="K4035" s="31" t="s">
        <v>194</v>
      </c>
      <c r="L4035" s="31" t="s">
        <v>34</v>
      </c>
      <c r="M4035" s="31">
        <v>319</v>
      </c>
      <c r="N4035" s="31">
        <v>2025</v>
      </c>
      <c r="O4035" s="31">
        <v>220</v>
      </c>
      <c r="P4035" s="31"/>
      <c r="Q4035" s="31"/>
      <c r="R4035" s="33" t="s">
        <v>14986</v>
      </c>
      <c r="S4035" s="34" t="str">
        <f>HYPERLINK("http://www.cnpol.ru/covers/21543.jpg","фото на сайте")</f>
        <v>фото на сайте</v>
      </c>
    </row>
    <row r="4036" spans="1:19" ht="50.1" customHeight="1">
      <c r="A4036" s="31"/>
      <c r="B4036" s="32" t="s">
        <v>14987</v>
      </c>
      <c r="C4036" s="31" t="s">
        <v>1247</v>
      </c>
      <c r="D4036" s="31" t="s">
        <v>1248</v>
      </c>
      <c r="E4036" s="31" t="s">
        <v>14988</v>
      </c>
      <c r="F4036" s="31" t="s">
        <v>31</v>
      </c>
      <c r="G4036" s="31">
        <v>112</v>
      </c>
      <c r="H4036" s="31">
        <v>10</v>
      </c>
      <c r="I4036" s="31">
        <v>40</v>
      </c>
      <c r="J4036" s="31" t="s">
        <v>14989</v>
      </c>
      <c r="K4036" s="31" t="s">
        <v>123</v>
      </c>
      <c r="L4036" s="31" t="s">
        <v>56</v>
      </c>
      <c r="M4036" s="31">
        <v>128</v>
      </c>
      <c r="N4036" s="31">
        <v>2008</v>
      </c>
      <c r="O4036" s="31">
        <v>64</v>
      </c>
      <c r="P4036" s="31"/>
      <c r="Q4036" s="31"/>
      <c r="R4036" s="33"/>
      <c r="S4036" s="34" t="str">
        <f>HYPERLINK("http://www.cnpol.ru/covers/10320.jpg","фото на сайте")</f>
        <v>фото на сайте</v>
      </c>
    </row>
    <row r="4037" spans="1:19" ht="50.1" customHeight="1">
      <c r="A4037" s="31"/>
      <c r="B4037" s="32" t="s">
        <v>14990</v>
      </c>
      <c r="C4037" s="31" t="s">
        <v>520</v>
      </c>
      <c r="D4037" s="31" t="s">
        <v>4804</v>
      </c>
      <c r="E4037" s="31" t="s">
        <v>14991</v>
      </c>
      <c r="F4037" s="31">
        <v>50</v>
      </c>
      <c r="G4037" s="31">
        <v>117</v>
      </c>
      <c r="H4037" s="31">
        <v>10</v>
      </c>
      <c r="I4037" s="31">
        <v>36</v>
      </c>
      <c r="J4037" s="31" t="s">
        <v>14992</v>
      </c>
      <c r="K4037" s="31" t="s">
        <v>123</v>
      </c>
      <c r="L4037" s="31" t="s">
        <v>56</v>
      </c>
      <c r="M4037" s="31">
        <v>192</v>
      </c>
      <c r="N4037" s="31">
        <v>2017</v>
      </c>
      <c r="O4037" s="31">
        <v>90</v>
      </c>
      <c r="P4037" s="31"/>
      <c r="Q4037" s="31"/>
      <c r="R4037" s="33"/>
      <c r="S4037" s="34" t="str">
        <f>HYPERLINK("http://www.cnpol.ru/covers/17768.jpg","фото на сайте")</f>
        <v>фото на сайте</v>
      </c>
    </row>
    <row r="4038" spans="1:19" ht="50.1" customHeight="1">
      <c r="A4038" s="31"/>
      <c r="B4038" s="32" t="s">
        <v>14993</v>
      </c>
      <c r="C4038" s="31" t="s">
        <v>390</v>
      </c>
      <c r="D4038" s="31" t="s">
        <v>2511</v>
      </c>
      <c r="E4038" s="31" t="s">
        <v>14994</v>
      </c>
      <c r="F4038" s="31">
        <v>610</v>
      </c>
      <c r="G4038" s="31">
        <v>86</v>
      </c>
      <c r="H4038" s="31">
        <v>10</v>
      </c>
      <c r="I4038" s="31">
        <v>30</v>
      </c>
      <c r="J4038" s="31" t="s">
        <v>14995</v>
      </c>
      <c r="K4038" s="31" t="s">
        <v>123</v>
      </c>
      <c r="L4038" s="31" t="s">
        <v>56</v>
      </c>
      <c r="M4038" s="31">
        <v>160</v>
      </c>
      <c r="N4038" s="31">
        <v>2016</v>
      </c>
      <c r="O4038" s="31">
        <v>76</v>
      </c>
      <c r="P4038" s="31"/>
      <c r="Q4038" s="31"/>
      <c r="R4038" s="33"/>
      <c r="S4038" s="34" t="str">
        <f>HYPERLINK("http://www.cnpol.ru/covers/16690.jpg","фото на сайте")</f>
        <v>фото на сайте</v>
      </c>
    </row>
    <row r="4039" spans="1:19" ht="50.1" customHeight="1">
      <c r="A4039" s="31" t="s">
        <v>43</v>
      </c>
      <c r="B4039" s="32" t="s">
        <v>14996</v>
      </c>
      <c r="C4039" s="31" t="s">
        <v>390</v>
      </c>
      <c r="D4039" s="31" t="s">
        <v>4615</v>
      </c>
      <c r="E4039" s="31" t="s">
        <v>14997</v>
      </c>
      <c r="F4039" s="31">
        <v>1167</v>
      </c>
      <c r="G4039" s="31">
        <v>86</v>
      </c>
      <c r="H4039" s="31">
        <v>10</v>
      </c>
      <c r="I4039" s="31">
        <v>30</v>
      </c>
      <c r="J4039" s="31" t="s">
        <v>14998</v>
      </c>
      <c r="K4039" s="31" t="s">
        <v>123</v>
      </c>
      <c r="L4039" s="31" t="s">
        <v>56</v>
      </c>
      <c r="M4039" s="31">
        <v>159</v>
      </c>
      <c r="N4039" s="31">
        <v>2024</v>
      </c>
      <c r="O4039" s="31">
        <v>76</v>
      </c>
      <c r="P4039" s="31"/>
      <c r="Q4039" s="31"/>
      <c r="R4039" s="33" t="s">
        <v>14999</v>
      </c>
      <c r="S4039" s="34" t="str">
        <f>HYPERLINK("http://www.cnpol.ru/covers/21008.jpg","фото на сайте")</f>
        <v>фото на сайте</v>
      </c>
    </row>
    <row r="4040" spans="1:19" ht="50.1" customHeight="1">
      <c r="A4040" s="31"/>
      <c r="B4040" s="32" t="s">
        <v>15000</v>
      </c>
      <c r="C4040" s="31" t="s">
        <v>413</v>
      </c>
      <c r="D4040" s="31" t="s">
        <v>3817</v>
      </c>
      <c r="E4040" s="31" t="s">
        <v>15001</v>
      </c>
      <c r="F4040" s="31">
        <v>60</v>
      </c>
      <c r="G4040" s="31">
        <v>117</v>
      </c>
      <c r="H4040" s="31">
        <v>10</v>
      </c>
      <c r="I4040" s="31">
        <v>36</v>
      </c>
      <c r="J4040" s="31" t="s">
        <v>15002</v>
      </c>
      <c r="K4040" s="31" t="s">
        <v>123</v>
      </c>
      <c r="L4040" s="31" t="s">
        <v>56</v>
      </c>
      <c r="M4040" s="31">
        <v>190</v>
      </c>
      <c r="N4040" s="31">
        <v>2015</v>
      </c>
      <c r="O4040" s="31">
        <v>90</v>
      </c>
      <c r="P4040" s="31"/>
      <c r="Q4040" s="31"/>
      <c r="R4040" s="33"/>
      <c r="S4040" s="34" t="str">
        <f>HYPERLINK("http://www.cnpol.ru/covers/16055.jpg","фото на сайте")</f>
        <v>фото на сайте</v>
      </c>
    </row>
    <row r="4041" spans="1:19" ht="50.1" customHeight="1">
      <c r="A4041" s="31"/>
      <c r="B4041" s="32" t="s">
        <v>15003</v>
      </c>
      <c r="C4041" s="31" t="s">
        <v>584</v>
      </c>
      <c r="D4041" s="31" t="s">
        <v>15004</v>
      </c>
      <c r="E4041" s="31" t="s">
        <v>15005</v>
      </c>
      <c r="F4041" s="31" t="s">
        <v>31</v>
      </c>
      <c r="G4041" s="31">
        <v>88</v>
      </c>
      <c r="H4041" s="31">
        <v>10</v>
      </c>
      <c r="I4041" s="31">
        <v>32</v>
      </c>
      <c r="J4041" s="31" t="s">
        <v>15006</v>
      </c>
      <c r="K4041" s="31" t="s">
        <v>55</v>
      </c>
      <c r="L4041" s="31" t="s">
        <v>56</v>
      </c>
      <c r="M4041" s="31">
        <v>254</v>
      </c>
      <c r="N4041" s="31">
        <v>2010</v>
      </c>
      <c r="O4041" s="31">
        <v>108</v>
      </c>
      <c r="P4041" s="31"/>
      <c r="Q4041" s="31"/>
      <c r="R4041" s="33"/>
      <c r="S4041" s="34" t="str">
        <f>HYPERLINK("http://www.cnpol.ru/covers/12015.jpg","фото на сайте")</f>
        <v>фото на сайте</v>
      </c>
    </row>
    <row r="4042" spans="1:19" ht="50.1" customHeight="1">
      <c r="A4042" s="31"/>
      <c r="B4042" s="32" t="s">
        <v>15007</v>
      </c>
      <c r="C4042" s="31" t="s">
        <v>390</v>
      </c>
      <c r="D4042" s="31" t="s">
        <v>2359</v>
      </c>
      <c r="E4042" s="31" t="s">
        <v>15008</v>
      </c>
      <c r="F4042" s="31">
        <v>579</v>
      </c>
      <c r="G4042" s="31">
        <v>86</v>
      </c>
      <c r="H4042" s="31">
        <v>10</v>
      </c>
      <c r="I4042" s="31">
        <v>30</v>
      </c>
      <c r="J4042" s="31" t="s">
        <v>15009</v>
      </c>
      <c r="K4042" s="31" t="s">
        <v>123</v>
      </c>
      <c r="L4042" s="31" t="s">
        <v>56</v>
      </c>
      <c r="M4042" s="31">
        <v>158</v>
      </c>
      <c r="N4042" s="31">
        <v>2016</v>
      </c>
      <c r="O4042" s="31">
        <v>76</v>
      </c>
      <c r="P4042" s="31"/>
      <c r="Q4042" s="31"/>
      <c r="R4042" s="33"/>
      <c r="S4042" s="34" t="str">
        <f>HYPERLINK("http://www.cnpol.ru/covers/16457.jpg","фото на сайте")</f>
        <v>фото на сайте</v>
      </c>
    </row>
    <row r="4043" spans="1:19" ht="50.1" customHeight="1">
      <c r="A4043" s="31"/>
      <c r="B4043" s="32" t="s">
        <v>15010</v>
      </c>
      <c r="C4043" s="31" t="s">
        <v>390</v>
      </c>
      <c r="D4043" s="31" t="s">
        <v>1599</v>
      </c>
      <c r="E4043" s="31" t="s">
        <v>15011</v>
      </c>
      <c r="F4043" s="31">
        <v>528</v>
      </c>
      <c r="G4043" s="31">
        <v>86</v>
      </c>
      <c r="H4043" s="31">
        <v>10</v>
      </c>
      <c r="I4043" s="31">
        <v>30</v>
      </c>
      <c r="J4043" s="31" t="s">
        <v>15012</v>
      </c>
      <c r="K4043" s="31" t="s">
        <v>123</v>
      </c>
      <c r="L4043" s="31" t="s">
        <v>56</v>
      </c>
      <c r="M4043" s="31">
        <v>158</v>
      </c>
      <c r="N4043" s="31">
        <v>2015</v>
      </c>
      <c r="O4043" s="31">
        <v>76</v>
      </c>
      <c r="P4043" s="31"/>
      <c r="Q4043" s="31"/>
      <c r="R4043" s="33"/>
      <c r="S4043" s="34" t="str">
        <f>HYPERLINK("http://www.cnpol.ru/covers/16074.jpg","фото на сайте")</f>
        <v>фото на сайте</v>
      </c>
    </row>
    <row r="4044" spans="1:19" ht="50.1" customHeight="1">
      <c r="A4044" s="31"/>
      <c r="B4044" s="32" t="s">
        <v>15013</v>
      </c>
      <c r="C4044" s="31" t="s">
        <v>390</v>
      </c>
      <c r="D4044" s="31" t="s">
        <v>649</v>
      </c>
      <c r="E4044" s="31" t="s">
        <v>15014</v>
      </c>
      <c r="F4044" s="31">
        <v>931</v>
      </c>
      <c r="G4044" s="31">
        <v>86</v>
      </c>
      <c r="H4044" s="31">
        <v>10</v>
      </c>
      <c r="I4044" s="31">
        <v>30</v>
      </c>
      <c r="J4044" s="31" t="s">
        <v>15015</v>
      </c>
      <c r="K4044" s="31" t="s">
        <v>123</v>
      </c>
      <c r="L4044" s="31" t="s">
        <v>56</v>
      </c>
      <c r="M4044" s="31">
        <v>160</v>
      </c>
      <c r="N4044" s="31">
        <v>2019</v>
      </c>
      <c r="O4044" s="31">
        <v>76</v>
      </c>
      <c r="P4044" s="31"/>
      <c r="Q4044" s="31"/>
      <c r="R4044" s="33"/>
      <c r="S4044" s="34" t="str">
        <f>HYPERLINK("http://www.cnpol.ru/covers/18890.jpg","фото на сайте")</f>
        <v>фото на сайте</v>
      </c>
    </row>
    <row r="4045" spans="1:19" ht="50.1" customHeight="1">
      <c r="A4045" s="31"/>
      <c r="B4045" s="32" t="s">
        <v>15016</v>
      </c>
      <c r="C4045" s="31" t="s">
        <v>2915</v>
      </c>
      <c r="D4045" s="31" t="s">
        <v>2916</v>
      </c>
      <c r="E4045" s="31" t="s">
        <v>15017</v>
      </c>
      <c r="F4045" s="31" t="s">
        <v>31</v>
      </c>
      <c r="G4045" s="31">
        <v>88</v>
      </c>
      <c r="H4045" s="31">
        <v>10</v>
      </c>
      <c r="I4045" s="31">
        <v>40</v>
      </c>
      <c r="J4045" s="31" t="s">
        <v>15018</v>
      </c>
      <c r="K4045" s="31" t="s">
        <v>55</v>
      </c>
      <c r="L4045" s="31" t="s">
        <v>56</v>
      </c>
      <c r="M4045" s="31">
        <v>235</v>
      </c>
      <c r="N4045" s="31">
        <v>2001</v>
      </c>
      <c r="O4045" s="31">
        <v>108</v>
      </c>
      <c r="P4045" s="31"/>
      <c r="Q4045" s="31"/>
      <c r="R4045" s="33"/>
      <c r="S4045" s="34" t="str">
        <f>HYPERLINK("http://www.cnpol.ru/covers/2374.jpg","фото на сайте")</f>
        <v>фото на сайте</v>
      </c>
    </row>
    <row r="4046" spans="1:19" ht="50.1" customHeight="1">
      <c r="A4046" s="31"/>
      <c r="B4046" s="32" t="s">
        <v>15019</v>
      </c>
      <c r="C4046" s="31" t="s">
        <v>385</v>
      </c>
      <c r="D4046" s="31" t="s">
        <v>386</v>
      </c>
      <c r="E4046" s="31" t="s">
        <v>15020</v>
      </c>
      <c r="F4046" s="31" t="s">
        <v>31</v>
      </c>
      <c r="G4046" s="31">
        <v>162</v>
      </c>
      <c r="H4046" s="31">
        <v>10</v>
      </c>
      <c r="I4046" s="31">
        <v>32</v>
      </c>
      <c r="J4046" s="31" t="s">
        <v>15021</v>
      </c>
      <c r="K4046" s="31" t="s">
        <v>55</v>
      </c>
      <c r="L4046" s="31" t="s">
        <v>56</v>
      </c>
      <c r="M4046" s="31">
        <v>256</v>
      </c>
      <c r="N4046" s="31">
        <v>2016</v>
      </c>
      <c r="O4046" s="31">
        <v>110</v>
      </c>
      <c r="P4046" s="31"/>
      <c r="Q4046" s="31"/>
      <c r="R4046" s="33"/>
      <c r="S4046" s="34" t="str">
        <f>HYPERLINK("http://www.cnpol.ru/covers/0174.jpg","фото на сайте")</f>
        <v>фото на сайте</v>
      </c>
    </row>
    <row r="4047" spans="1:19" ht="50.1" customHeight="1">
      <c r="A4047" s="31"/>
      <c r="B4047" s="32" t="s">
        <v>15022</v>
      </c>
      <c r="C4047" s="31" t="s">
        <v>1102</v>
      </c>
      <c r="D4047" s="31" t="s">
        <v>5873</v>
      </c>
      <c r="E4047" s="31" t="s">
        <v>15023</v>
      </c>
      <c r="F4047" s="31" t="s">
        <v>31</v>
      </c>
      <c r="G4047" s="31">
        <v>593</v>
      </c>
      <c r="H4047" s="31">
        <v>10</v>
      </c>
      <c r="I4047" s="31">
        <v>12</v>
      </c>
      <c r="J4047" s="31" t="s">
        <v>15024</v>
      </c>
      <c r="K4047" s="31" t="s">
        <v>33</v>
      </c>
      <c r="L4047" s="31" t="s">
        <v>34</v>
      </c>
      <c r="M4047" s="31">
        <v>320</v>
      </c>
      <c r="N4047" s="31">
        <v>2018</v>
      </c>
      <c r="O4047" s="31">
        <v>272</v>
      </c>
      <c r="P4047" s="31"/>
      <c r="Q4047" s="31"/>
      <c r="R4047" s="33"/>
      <c r="S4047" s="34" t="str">
        <f>HYPERLINK("http://www.cnpol.ru/covers/18393.jpg","фото на сайте")</f>
        <v>фото на сайте</v>
      </c>
    </row>
    <row r="4048" spans="1:19" ht="50.1" customHeight="1">
      <c r="A4048" s="31"/>
      <c r="B4048" s="32" t="s">
        <v>15025</v>
      </c>
      <c r="C4048" s="31" t="s">
        <v>390</v>
      </c>
      <c r="D4048" s="31" t="s">
        <v>1599</v>
      </c>
      <c r="E4048" s="31" t="s">
        <v>15026</v>
      </c>
      <c r="F4048" s="31">
        <v>844</v>
      </c>
      <c r="G4048" s="31">
        <v>86</v>
      </c>
      <c r="H4048" s="31">
        <v>10</v>
      </c>
      <c r="I4048" s="31">
        <v>30</v>
      </c>
      <c r="J4048" s="31" t="s">
        <v>15027</v>
      </c>
      <c r="K4048" s="31" t="s">
        <v>123</v>
      </c>
      <c r="L4048" s="31" t="s">
        <v>56</v>
      </c>
      <c r="M4048" s="31">
        <v>160</v>
      </c>
      <c r="N4048" s="31">
        <v>2018</v>
      </c>
      <c r="O4048" s="31">
        <v>76</v>
      </c>
      <c r="P4048" s="31"/>
      <c r="Q4048" s="31"/>
      <c r="R4048" s="33"/>
      <c r="S4048" s="34" t="str">
        <f>HYPERLINK("http://www.cnpol.ru/covers/18357.jpg","фото на сайте")</f>
        <v>фото на сайте</v>
      </c>
    </row>
    <row r="4049" spans="1:19" ht="50.1" customHeight="1">
      <c r="A4049" s="31" t="s">
        <v>43</v>
      </c>
      <c r="B4049" s="32" t="s">
        <v>15028</v>
      </c>
      <c r="C4049" s="31" t="s">
        <v>454</v>
      </c>
      <c r="D4049" s="31" t="s">
        <v>15029</v>
      </c>
      <c r="E4049" s="31" t="s">
        <v>15030</v>
      </c>
      <c r="F4049" s="31" t="s">
        <v>31</v>
      </c>
      <c r="G4049" s="31">
        <v>692</v>
      </c>
      <c r="H4049" s="31">
        <v>10</v>
      </c>
      <c r="I4049" s="31">
        <v>18</v>
      </c>
      <c r="J4049" s="31" t="s">
        <v>15031</v>
      </c>
      <c r="K4049" s="31" t="s">
        <v>33</v>
      </c>
      <c r="L4049" s="31" t="s">
        <v>34</v>
      </c>
      <c r="M4049" s="31">
        <v>191</v>
      </c>
      <c r="N4049" s="31">
        <v>2025</v>
      </c>
      <c r="O4049" s="31">
        <v>202</v>
      </c>
      <c r="P4049" s="31"/>
      <c r="Q4049" s="31"/>
      <c r="R4049" s="33" t="s">
        <v>15032</v>
      </c>
      <c r="S4049" s="34" t="str">
        <f>HYPERLINK("http://www.cnpol.ru/covers/21680.jpg","фото на сайте")</f>
        <v>фото на сайте</v>
      </c>
    </row>
    <row r="4050" spans="1:19" ht="50.1" customHeight="1">
      <c r="A4050" s="31"/>
      <c r="B4050" s="32" t="s">
        <v>15033</v>
      </c>
      <c r="C4050" s="31" t="s">
        <v>400</v>
      </c>
      <c r="D4050" s="31" t="s">
        <v>15034</v>
      </c>
      <c r="E4050" s="31" t="s">
        <v>15035</v>
      </c>
      <c r="F4050" s="31" t="s">
        <v>31</v>
      </c>
      <c r="G4050" s="31">
        <v>503</v>
      </c>
      <c r="H4050" s="31">
        <v>10</v>
      </c>
      <c r="I4050" s="31">
        <v>14</v>
      </c>
      <c r="J4050" s="31" t="s">
        <v>15036</v>
      </c>
      <c r="K4050" s="31" t="s">
        <v>33</v>
      </c>
      <c r="L4050" s="31" t="s">
        <v>34</v>
      </c>
      <c r="M4050" s="31">
        <v>288</v>
      </c>
      <c r="N4050" s="31">
        <v>2020</v>
      </c>
      <c r="O4050" s="31">
        <v>258</v>
      </c>
      <c r="P4050" s="31"/>
      <c r="Q4050" s="31"/>
      <c r="R4050" s="33"/>
      <c r="S4050" s="34" t="str">
        <f>HYPERLINK("http://www.cnpol.ru/covers/19260.jpg","фото на сайте")</f>
        <v>фото на сайте</v>
      </c>
    </row>
    <row r="4051" spans="1:19" ht="50.1" customHeight="1">
      <c r="A4051" s="31" t="s">
        <v>43</v>
      </c>
      <c r="B4051" s="32" t="s">
        <v>15037</v>
      </c>
      <c r="C4051" s="31" t="s">
        <v>380</v>
      </c>
      <c r="D4051" s="31" t="s">
        <v>15038</v>
      </c>
      <c r="E4051" s="31" t="s">
        <v>15039</v>
      </c>
      <c r="F4051" s="31" t="s">
        <v>31</v>
      </c>
      <c r="G4051" s="35">
        <v>1055</v>
      </c>
      <c r="H4051" s="31">
        <v>10</v>
      </c>
      <c r="I4051" s="31">
        <v>6</v>
      </c>
      <c r="J4051" s="31" t="s">
        <v>15040</v>
      </c>
      <c r="K4051" s="31" t="s">
        <v>41</v>
      </c>
      <c r="L4051" s="31" t="s">
        <v>34</v>
      </c>
      <c r="M4051" s="31">
        <v>351</v>
      </c>
      <c r="N4051" s="31">
        <v>2025</v>
      </c>
      <c r="O4051" s="31">
        <v>366</v>
      </c>
      <c r="P4051" s="31"/>
      <c r="Q4051" s="31"/>
      <c r="R4051" s="33" t="s">
        <v>15041</v>
      </c>
      <c r="S4051" s="34" t="str">
        <f>HYPERLINK("http://www.cnpol.ru/covers/21750.jpg","фото на сайте")</f>
        <v>фото на сайте</v>
      </c>
    </row>
    <row r="4052" spans="1:19" ht="50.1" customHeight="1">
      <c r="A4052" s="31"/>
      <c r="B4052" s="32" t="s">
        <v>15042</v>
      </c>
      <c r="C4052" s="31" t="s">
        <v>11601</v>
      </c>
      <c r="D4052" s="31" t="s">
        <v>11602</v>
      </c>
      <c r="E4052" s="31" t="s">
        <v>15043</v>
      </c>
      <c r="F4052" s="31" t="s">
        <v>31</v>
      </c>
      <c r="G4052" s="31">
        <v>236</v>
      </c>
      <c r="H4052" s="31">
        <v>10</v>
      </c>
      <c r="I4052" s="31">
        <v>10</v>
      </c>
      <c r="J4052" s="31" t="s">
        <v>15044</v>
      </c>
      <c r="K4052" s="31" t="s">
        <v>33</v>
      </c>
      <c r="L4052" s="31" t="s">
        <v>34</v>
      </c>
      <c r="M4052" s="31">
        <v>475</v>
      </c>
      <c r="N4052" s="31">
        <v>2002</v>
      </c>
      <c r="O4052" s="31">
        <v>370</v>
      </c>
      <c r="P4052" s="31"/>
      <c r="Q4052" s="31"/>
      <c r="R4052" s="33"/>
      <c r="S4052" s="34" t="str">
        <f>HYPERLINK("http://www.cnpol.ru/covers/3139.jpg","фото на сайте")</f>
        <v>фото на сайте</v>
      </c>
    </row>
    <row r="4053" spans="1:19" ht="50.1" customHeight="1">
      <c r="A4053" s="31"/>
      <c r="B4053" s="32" t="s">
        <v>15045</v>
      </c>
      <c r="C4053" s="31" t="s">
        <v>1265</v>
      </c>
      <c r="D4053" s="31" t="s">
        <v>1266</v>
      </c>
      <c r="E4053" s="31" t="s">
        <v>15046</v>
      </c>
      <c r="F4053" s="31" t="s">
        <v>31</v>
      </c>
      <c r="G4053" s="31">
        <v>88</v>
      </c>
      <c r="H4053" s="31">
        <v>10</v>
      </c>
      <c r="I4053" s="31">
        <v>40</v>
      </c>
      <c r="J4053" s="31" t="s">
        <v>15047</v>
      </c>
      <c r="K4053" s="31" t="s">
        <v>123</v>
      </c>
      <c r="L4053" s="31" t="s">
        <v>56</v>
      </c>
      <c r="M4053" s="31">
        <v>126</v>
      </c>
      <c r="N4053" s="31">
        <v>2010</v>
      </c>
      <c r="O4053" s="31">
        <v>56</v>
      </c>
      <c r="P4053" s="31"/>
      <c r="Q4053" s="31"/>
      <c r="R4053" s="33"/>
      <c r="S4053" s="34" t="str">
        <f>HYPERLINK("http://www.cnpol.ru/covers/11796.jpg","фото на сайте")</f>
        <v>фото на сайте</v>
      </c>
    </row>
    <row r="4054" spans="1:19" ht="50.1" customHeight="1">
      <c r="A4054" s="31"/>
      <c r="B4054" s="32" t="s">
        <v>15048</v>
      </c>
      <c r="C4054" s="31" t="s">
        <v>1594</v>
      </c>
      <c r="D4054" s="31" t="s">
        <v>1595</v>
      </c>
      <c r="E4054" s="31" t="s">
        <v>15049</v>
      </c>
      <c r="F4054" s="31" t="s">
        <v>31</v>
      </c>
      <c r="G4054" s="31">
        <v>169</v>
      </c>
      <c r="H4054" s="31">
        <v>10</v>
      </c>
      <c r="I4054" s="31">
        <v>40</v>
      </c>
      <c r="J4054" s="31" t="s">
        <v>15050</v>
      </c>
      <c r="K4054" s="31" t="s">
        <v>55</v>
      </c>
      <c r="L4054" s="31" t="s">
        <v>56</v>
      </c>
      <c r="M4054" s="31">
        <v>288</v>
      </c>
      <c r="N4054" s="31">
        <v>2020</v>
      </c>
      <c r="O4054" s="31">
        <v>124</v>
      </c>
      <c r="P4054" s="31"/>
      <c r="Q4054" s="31"/>
      <c r="R4054" s="33"/>
      <c r="S4054" s="34" t="str">
        <f>HYPERLINK("http://www.cnpol.ru/covers/19323.jpg","фото на сайте")</f>
        <v>фото на сайте</v>
      </c>
    </row>
    <row r="4055" spans="1:19" ht="50.1" customHeight="1">
      <c r="A4055" s="31"/>
      <c r="B4055" s="32" t="s">
        <v>15051</v>
      </c>
      <c r="C4055" s="31" t="s">
        <v>413</v>
      </c>
      <c r="D4055" s="31" t="s">
        <v>3725</v>
      </c>
      <c r="E4055" s="31" t="s">
        <v>15052</v>
      </c>
      <c r="F4055" s="31">
        <v>24</v>
      </c>
      <c r="G4055" s="31">
        <v>117</v>
      </c>
      <c r="H4055" s="31">
        <v>10</v>
      </c>
      <c r="I4055" s="31">
        <v>36</v>
      </c>
      <c r="J4055" s="31" t="s">
        <v>15053</v>
      </c>
      <c r="K4055" s="31" t="s">
        <v>123</v>
      </c>
      <c r="L4055" s="31" t="s">
        <v>56</v>
      </c>
      <c r="M4055" s="31">
        <v>158</v>
      </c>
      <c r="N4055" s="31">
        <v>2014</v>
      </c>
      <c r="O4055" s="31">
        <v>92</v>
      </c>
      <c r="P4055" s="31"/>
      <c r="Q4055" s="31"/>
      <c r="R4055" s="33"/>
      <c r="S4055" s="34" t="str">
        <f>HYPERLINK("http://www.cnpol.ru/covers/15497.jpg","фото на сайте")</f>
        <v>фото на сайте</v>
      </c>
    </row>
    <row r="4056" spans="1:19" ht="50.1" customHeight="1">
      <c r="A4056" s="31"/>
      <c r="B4056" s="32" t="s">
        <v>15054</v>
      </c>
      <c r="C4056" s="31" t="s">
        <v>390</v>
      </c>
      <c r="D4056" s="31" t="s">
        <v>1758</v>
      </c>
      <c r="E4056" s="31" t="s">
        <v>15055</v>
      </c>
      <c r="F4056" s="31">
        <v>308</v>
      </c>
      <c r="G4056" s="31">
        <v>86</v>
      </c>
      <c r="H4056" s="31">
        <v>10</v>
      </c>
      <c r="I4056" s="31">
        <v>30</v>
      </c>
      <c r="J4056" s="31" t="s">
        <v>15056</v>
      </c>
      <c r="K4056" s="31" t="s">
        <v>123</v>
      </c>
      <c r="L4056" s="31" t="s">
        <v>56</v>
      </c>
      <c r="M4056" s="31">
        <v>158</v>
      </c>
      <c r="N4056" s="31">
        <v>2013</v>
      </c>
      <c r="O4056" s="31">
        <v>78</v>
      </c>
      <c r="P4056" s="31"/>
      <c r="Q4056" s="31"/>
      <c r="R4056" s="33"/>
      <c r="S4056" s="34" t="str">
        <f>HYPERLINK("http://www.cnpol.ru/covers/14168.jpg","фото на сайте")</f>
        <v>фото на сайте</v>
      </c>
    </row>
    <row r="4057" spans="1:19" ht="50.1" customHeight="1">
      <c r="A4057" s="31"/>
      <c r="B4057" s="32" t="s">
        <v>15057</v>
      </c>
      <c r="C4057" s="31" t="s">
        <v>4834</v>
      </c>
      <c r="D4057" s="31" t="s">
        <v>4835</v>
      </c>
      <c r="E4057" s="31" t="s">
        <v>15058</v>
      </c>
      <c r="F4057" s="31" t="s">
        <v>31</v>
      </c>
      <c r="G4057" s="31">
        <v>290</v>
      </c>
      <c r="H4057" s="31">
        <v>10</v>
      </c>
      <c r="I4057" s="31">
        <v>20</v>
      </c>
      <c r="J4057" s="31" t="s">
        <v>15059</v>
      </c>
      <c r="K4057" s="31" t="s">
        <v>300</v>
      </c>
      <c r="L4057" s="31" t="s">
        <v>56</v>
      </c>
      <c r="M4057" s="31">
        <v>352</v>
      </c>
      <c r="N4057" s="31">
        <v>2020</v>
      </c>
      <c r="O4057" s="31">
        <v>350</v>
      </c>
      <c r="P4057" s="31"/>
      <c r="Q4057" s="31"/>
      <c r="R4057" s="33"/>
      <c r="S4057" s="34" t="str">
        <f>HYPERLINK("http://www.cnpol.ru/covers/19246.jpg","фото на сайте")</f>
        <v>фото на сайте</v>
      </c>
    </row>
    <row r="4058" spans="1:19" ht="50.1" customHeight="1">
      <c r="A4058" s="31" t="s">
        <v>35</v>
      </c>
      <c r="B4058" s="32" t="s">
        <v>15060</v>
      </c>
      <c r="C4058" s="31" t="s">
        <v>28</v>
      </c>
      <c r="D4058" s="31" t="s">
        <v>3960</v>
      </c>
      <c r="E4058" s="31" t="s">
        <v>15061</v>
      </c>
      <c r="F4058" s="31" t="s">
        <v>31</v>
      </c>
      <c r="G4058" s="31">
        <v>966</v>
      </c>
      <c r="H4058" s="31">
        <v>10</v>
      </c>
      <c r="I4058" s="31">
        <v>12</v>
      </c>
      <c r="J4058" s="31" t="s">
        <v>15062</v>
      </c>
      <c r="K4058" s="31" t="s">
        <v>33</v>
      </c>
      <c r="L4058" s="31" t="s">
        <v>34</v>
      </c>
      <c r="M4058" s="31">
        <v>350</v>
      </c>
      <c r="N4058" s="31">
        <v>2024</v>
      </c>
      <c r="O4058" s="31">
        <v>395</v>
      </c>
      <c r="P4058" s="31"/>
      <c r="Q4058" s="31"/>
      <c r="R4058" s="33" t="s">
        <v>15063</v>
      </c>
      <c r="S4058" s="34" t="str">
        <f>HYPERLINK("http://www.cnpol.ru/covers/21030.jpg","фото на сайте")</f>
        <v>фото на сайте</v>
      </c>
    </row>
    <row r="4059" spans="1:19" ht="50.1" customHeight="1">
      <c r="A4059" s="31" t="s">
        <v>43</v>
      </c>
      <c r="B4059" s="32" t="s">
        <v>15064</v>
      </c>
      <c r="C4059" s="31" t="s">
        <v>5033</v>
      </c>
      <c r="D4059" s="31" t="s">
        <v>15065</v>
      </c>
      <c r="E4059" s="31" t="s">
        <v>15066</v>
      </c>
      <c r="F4059" s="31" t="s">
        <v>31</v>
      </c>
      <c r="G4059" s="35">
        <v>1418</v>
      </c>
      <c r="H4059" s="31">
        <v>10</v>
      </c>
      <c r="I4059" s="31">
        <v>8</v>
      </c>
      <c r="J4059" s="31" t="s">
        <v>15067</v>
      </c>
      <c r="K4059" s="31" t="s">
        <v>41</v>
      </c>
      <c r="L4059" s="31" t="s">
        <v>34</v>
      </c>
      <c r="M4059" s="31">
        <v>525</v>
      </c>
      <c r="N4059" s="31">
        <v>2024</v>
      </c>
      <c r="O4059" s="31">
        <v>618</v>
      </c>
      <c r="P4059" s="31"/>
      <c r="Q4059" s="31"/>
      <c r="R4059" s="33" t="s">
        <v>15068</v>
      </c>
      <c r="S4059" s="34" t="str">
        <f>HYPERLINK("http://www.cnpol.ru/covers/21190.jpg","фото на сайте")</f>
        <v>фото на сайте</v>
      </c>
    </row>
    <row r="4060" spans="1:19" ht="50.1" customHeight="1">
      <c r="A4060" s="31"/>
      <c r="B4060" s="32" t="s">
        <v>15069</v>
      </c>
      <c r="C4060" s="31" t="s">
        <v>15070</v>
      </c>
      <c r="D4060" s="31" t="s">
        <v>15071</v>
      </c>
      <c r="E4060" s="31" t="s">
        <v>15072</v>
      </c>
      <c r="F4060" s="31" t="s">
        <v>31</v>
      </c>
      <c r="G4060" s="31">
        <v>539</v>
      </c>
      <c r="H4060" s="31">
        <v>10</v>
      </c>
      <c r="I4060" s="31">
        <v>8</v>
      </c>
      <c r="J4060" s="31" t="s">
        <v>15073</v>
      </c>
      <c r="K4060" s="31" t="s">
        <v>33</v>
      </c>
      <c r="L4060" s="31" t="s">
        <v>34</v>
      </c>
      <c r="M4060" s="31">
        <v>687</v>
      </c>
      <c r="N4060" s="31">
        <v>2008</v>
      </c>
      <c r="O4060" s="31">
        <v>472</v>
      </c>
      <c r="P4060" s="31"/>
      <c r="Q4060" s="31"/>
      <c r="R4060" s="33"/>
      <c r="S4060" s="34" t="str">
        <f>HYPERLINK("http://www.cnpol.ru/covers/10946.jpg","фото на сайте")</f>
        <v>фото на сайте</v>
      </c>
    </row>
    <row r="4061" spans="1:19" ht="50.1" customHeight="1">
      <c r="A4061" s="31"/>
      <c r="B4061" s="32" t="s">
        <v>15074</v>
      </c>
      <c r="C4061" s="31" t="s">
        <v>119</v>
      </c>
      <c r="D4061" s="31" t="s">
        <v>191</v>
      </c>
      <c r="E4061" s="31" t="s">
        <v>15075</v>
      </c>
      <c r="F4061" s="31" t="s">
        <v>31</v>
      </c>
      <c r="G4061" s="31">
        <v>503</v>
      </c>
      <c r="H4061" s="31">
        <v>10</v>
      </c>
      <c r="I4061" s="31">
        <v>10</v>
      </c>
      <c r="J4061" s="31" t="s">
        <v>15076</v>
      </c>
      <c r="K4061" s="31" t="s">
        <v>194</v>
      </c>
      <c r="L4061" s="31" t="s">
        <v>34</v>
      </c>
      <c r="M4061" s="31">
        <v>384</v>
      </c>
      <c r="N4061" s="31">
        <v>2020</v>
      </c>
      <c r="O4061" s="31">
        <v>314</v>
      </c>
      <c r="P4061" s="31"/>
      <c r="Q4061" s="31"/>
      <c r="R4061" s="33"/>
      <c r="S4061" s="34" t="str">
        <f>HYPERLINK("http://www.cnpol.ru/covers/19298.jpg","фото на сайте")</f>
        <v>фото на сайте</v>
      </c>
    </row>
    <row r="4062" spans="1:19" ht="50.1" customHeight="1">
      <c r="A4062" s="31"/>
      <c r="B4062" s="32" t="s">
        <v>15077</v>
      </c>
      <c r="C4062" s="31" t="s">
        <v>390</v>
      </c>
      <c r="D4062" s="31" t="s">
        <v>11316</v>
      </c>
      <c r="E4062" s="31" t="s">
        <v>15078</v>
      </c>
      <c r="F4062" s="31">
        <v>786</v>
      </c>
      <c r="G4062" s="31">
        <v>86</v>
      </c>
      <c r="H4062" s="31">
        <v>10</v>
      </c>
      <c r="I4062" s="31">
        <v>30</v>
      </c>
      <c r="J4062" s="31" t="s">
        <v>15079</v>
      </c>
      <c r="K4062" s="31" t="s">
        <v>123</v>
      </c>
      <c r="L4062" s="31" t="s">
        <v>56</v>
      </c>
      <c r="M4062" s="31">
        <v>160</v>
      </c>
      <c r="N4062" s="31">
        <v>2018</v>
      </c>
      <c r="O4062" s="31">
        <v>76</v>
      </c>
      <c r="P4062" s="31"/>
      <c r="Q4062" s="31"/>
      <c r="R4062" s="33"/>
      <c r="S4062" s="34" t="str">
        <f>HYPERLINK("http://www.cnpol.ru/covers/17942.jpg","фото на сайте")</f>
        <v>фото на сайте</v>
      </c>
    </row>
    <row r="4063" spans="1:19" ht="50.1" customHeight="1">
      <c r="A4063" s="31"/>
      <c r="B4063" s="32" t="s">
        <v>15080</v>
      </c>
      <c r="C4063" s="31" t="s">
        <v>1050</v>
      </c>
      <c r="D4063" s="31" t="s">
        <v>15081</v>
      </c>
      <c r="E4063" s="31" t="s">
        <v>15082</v>
      </c>
      <c r="F4063" s="31" t="s">
        <v>31</v>
      </c>
      <c r="G4063" s="31">
        <v>386</v>
      </c>
      <c r="H4063" s="31">
        <v>10</v>
      </c>
      <c r="I4063" s="31">
        <v>20</v>
      </c>
      <c r="J4063" s="31" t="s">
        <v>15083</v>
      </c>
      <c r="K4063" s="31" t="s">
        <v>33</v>
      </c>
      <c r="L4063" s="31" t="s">
        <v>210</v>
      </c>
      <c r="M4063" s="31">
        <v>256</v>
      </c>
      <c r="N4063" s="31">
        <v>2021</v>
      </c>
      <c r="O4063" s="31">
        <v>220</v>
      </c>
      <c r="P4063" s="31"/>
      <c r="Q4063" s="31"/>
      <c r="R4063" s="33"/>
      <c r="S4063" s="34" t="str">
        <f>HYPERLINK("http://www.cnpol.ru/covers/19505.jpg","фото на сайте")</f>
        <v>фото на сайте</v>
      </c>
    </row>
    <row r="4064" spans="1:19" ht="50.1" customHeight="1">
      <c r="A4064" s="31"/>
      <c r="B4064" s="32" t="s">
        <v>15084</v>
      </c>
      <c r="C4064" s="31" t="s">
        <v>1940</v>
      </c>
      <c r="D4064" s="31" t="s">
        <v>12641</v>
      </c>
      <c r="E4064" s="31" t="s">
        <v>15085</v>
      </c>
      <c r="F4064" s="31" t="s">
        <v>31</v>
      </c>
      <c r="G4064" s="31">
        <v>112</v>
      </c>
      <c r="H4064" s="31">
        <v>10</v>
      </c>
      <c r="I4064" s="31">
        <v>24</v>
      </c>
      <c r="J4064" s="31" t="s">
        <v>15086</v>
      </c>
      <c r="K4064" s="31" t="s">
        <v>55</v>
      </c>
      <c r="L4064" s="31" t="s">
        <v>56</v>
      </c>
      <c r="M4064" s="31">
        <v>365</v>
      </c>
      <c r="N4064" s="31">
        <v>2008</v>
      </c>
      <c r="O4064" s="31">
        <v>152</v>
      </c>
      <c r="P4064" s="31"/>
      <c r="Q4064" s="31"/>
      <c r="R4064" s="33"/>
      <c r="S4064" s="34" t="str">
        <f>HYPERLINK("http://www.cnpol.ru/covers/10179.jpg","фото на сайте")</f>
        <v>фото на сайте</v>
      </c>
    </row>
    <row r="4065" spans="1:19" ht="50.1" customHeight="1">
      <c r="A4065" s="31"/>
      <c r="B4065" s="32" t="s">
        <v>15087</v>
      </c>
      <c r="C4065" s="31" t="s">
        <v>390</v>
      </c>
      <c r="D4065" s="31" t="s">
        <v>391</v>
      </c>
      <c r="E4065" s="31" t="s">
        <v>15088</v>
      </c>
      <c r="F4065" s="31">
        <v>701</v>
      </c>
      <c r="G4065" s="31">
        <v>86</v>
      </c>
      <c r="H4065" s="31">
        <v>10</v>
      </c>
      <c r="I4065" s="31">
        <v>30</v>
      </c>
      <c r="J4065" s="31" t="s">
        <v>15089</v>
      </c>
      <c r="K4065" s="31" t="s">
        <v>123</v>
      </c>
      <c r="L4065" s="31" t="s">
        <v>56</v>
      </c>
      <c r="M4065" s="31">
        <v>160</v>
      </c>
      <c r="N4065" s="31">
        <v>2017</v>
      </c>
      <c r="O4065" s="31">
        <v>76</v>
      </c>
      <c r="P4065" s="31"/>
      <c r="Q4065" s="31"/>
      <c r="R4065" s="33"/>
      <c r="S4065" s="34" t="str">
        <f>HYPERLINK("http://www.cnpol.ru/covers/17361.jpg","фото на сайте")</f>
        <v>фото на сайте</v>
      </c>
    </row>
    <row r="4066" spans="1:19" ht="50.1" customHeight="1">
      <c r="A4066" s="31"/>
      <c r="B4066" s="32" t="s">
        <v>15090</v>
      </c>
      <c r="C4066" s="31" t="s">
        <v>390</v>
      </c>
      <c r="D4066" s="31" t="s">
        <v>15091</v>
      </c>
      <c r="E4066" s="31" t="s">
        <v>15092</v>
      </c>
      <c r="F4066" s="31">
        <v>414</v>
      </c>
      <c r="G4066" s="31">
        <v>86</v>
      </c>
      <c r="H4066" s="31">
        <v>10</v>
      </c>
      <c r="I4066" s="31">
        <v>30</v>
      </c>
      <c r="J4066" s="31" t="s">
        <v>15093</v>
      </c>
      <c r="K4066" s="31" t="s">
        <v>123</v>
      </c>
      <c r="L4066" s="31" t="s">
        <v>56</v>
      </c>
      <c r="M4066" s="31">
        <v>158</v>
      </c>
      <c r="N4066" s="31">
        <v>2014</v>
      </c>
      <c r="O4066" s="31">
        <v>76</v>
      </c>
      <c r="P4066" s="31"/>
      <c r="Q4066" s="31"/>
      <c r="R4066" s="33"/>
      <c r="S4066" s="34" t="str">
        <f>HYPERLINK("http://www.cnpol.ru/covers/15217.jpg","фото на сайте")</f>
        <v>фото на сайте</v>
      </c>
    </row>
    <row r="4067" spans="1:19" ht="50.1" customHeight="1">
      <c r="A4067" s="31"/>
      <c r="B4067" s="32" t="s">
        <v>15094</v>
      </c>
      <c r="C4067" s="31" t="s">
        <v>520</v>
      </c>
      <c r="D4067" s="31" t="s">
        <v>5102</v>
      </c>
      <c r="E4067" s="31" t="s">
        <v>15095</v>
      </c>
      <c r="F4067" s="31">
        <v>61</v>
      </c>
      <c r="G4067" s="31">
        <v>117</v>
      </c>
      <c r="H4067" s="31">
        <v>10</v>
      </c>
      <c r="I4067" s="31">
        <v>30</v>
      </c>
      <c r="J4067" s="31" t="s">
        <v>15096</v>
      </c>
      <c r="K4067" s="31" t="s">
        <v>123</v>
      </c>
      <c r="L4067" s="31" t="s">
        <v>56</v>
      </c>
      <c r="M4067" s="31">
        <v>192</v>
      </c>
      <c r="N4067" s="31">
        <v>2018</v>
      </c>
      <c r="O4067" s="31">
        <v>90</v>
      </c>
      <c r="P4067" s="31"/>
      <c r="Q4067" s="31"/>
      <c r="R4067" s="33"/>
      <c r="S4067" s="34" t="str">
        <f>HYPERLINK("http://www.cnpol.ru/covers/18385.jpg","фото на сайте")</f>
        <v>фото на сайте</v>
      </c>
    </row>
    <row r="4068" spans="1:19" ht="50.1" customHeight="1">
      <c r="A4068" s="31"/>
      <c r="B4068" s="32" t="s">
        <v>15097</v>
      </c>
      <c r="C4068" s="31" t="s">
        <v>520</v>
      </c>
      <c r="D4068" s="31" t="s">
        <v>5181</v>
      </c>
      <c r="E4068" s="31" t="s">
        <v>15098</v>
      </c>
      <c r="F4068" s="31">
        <v>63</v>
      </c>
      <c r="G4068" s="31">
        <v>117</v>
      </c>
      <c r="H4068" s="31">
        <v>10</v>
      </c>
      <c r="I4068" s="31">
        <v>30</v>
      </c>
      <c r="J4068" s="31" t="s">
        <v>15099</v>
      </c>
      <c r="K4068" s="31" t="s">
        <v>123</v>
      </c>
      <c r="L4068" s="31" t="s">
        <v>56</v>
      </c>
      <c r="M4068" s="31">
        <v>192</v>
      </c>
      <c r="N4068" s="31">
        <v>2019</v>
      </c>
      <c r="O4068" s="31">
        <v>88</v>
      </c>
      <c r="P4068" s="31"/>
      <c r="Q4068" s="31"/>
      <c r="R4068" s="33"/>
      <c r="S4068" s="34" t="str">
        <f>HYPERLINK("http://www.cnpol.ru/covers/18502.jpg","фото на сайте")</f>
        <v>фото на сайте</v>
      </c>
    </row>
    <row r="4069" spans="1:19" ht="50.1" customHeight="1">
      <c r="A4069" s="31"/>
      <c r="B4069" s="32" t="s">
        <v>15100</v>
      </c>
      <c r="C4069" s="31" t="s">
        <v>390</v>
      </c>
      <c r="D4069" s="31" t="s">
        <v>1469</v>
      </c>
      <c r="E4069" s="31" t="s">
        <v>15101</v>
      </c>
      <c r="F4069" s="31">
        <v>1120</v>
      </c>
      <c r="G4069" s="31">
        <v>86</v>
      </c>
      <c r="H4069" s="31">
        <v>10</v>
      </c>
      <c r="I4069" s="31">
        <v>30</v>
      </c>
      <c r="J4069" s="31" t="s">
        <v>15102</v>
      </c>
      <c r="K4069" s="31" t="s">
        <v>123</v>
      </c>
      <c r="L4069" s="31" t="s">
        <v>56</v>
      </c>
      <c r="M4069" s="31">
        <v>159</v>
      </c>
      <c r="N4069" s="31">
        <v>2022</v>
      </c>
      <c r="O4069" s="31">
        <v>76</v>
      </c>
      <c r="P4069" s="31"/>
      <c r="Q4069" s="31"/>
      <c r="R4069" s="33" t="s">
        <v>15103</v>
      </c>
      <c r="S4069" s="34" t="str">
        <f>HYPERLINK("http://www.cnpol.ru/covers/20477.jpg","фото на сайте")</f>
        <v>фото на сайте</v>
      </c>
    </row>
    <row r="4070" spans="1:19" ht="50.1" customHeight="1">
      <c r="A4070" s="31"/>
      <c r="B4070" s="32" t="s">
        <v>15104</v>
      </c>
      <c r="C4070" s="31" t="s">
        <v>418</v>
      </c>
      <c r="D4070" s="31" t="s">
        <v>15105</v>
      </c>
      <c r="E4070" s="31" t="s">
        <v>15106</v>
      </c>
      <c r="F4070" s="31">
        <v>34</v>
      </c>
      <c r="G4070" s="31">
        <v>153</v>
      </c>
      <c r="H4070" s="31">
        <v>10</v>
      </c>
      <c r="I4070" s="31">
        <v>30</v>
      </c>
      <c r="J4070" s="31" t="s">
        <v>15107</v>
      </c>
      <c r="K4070" s="31" t="s">
        <v>123</v>
      </c>
      <c r="L4070" s="31" t="s">
        <v>56</v>
      </c>
      <c r="M4070" s="31">
        <v>253</v>
      </c>
      <c r="N4070" s="31">
        <v>2013</v>
      </c>
      <c r="O4070" s="31">
        <v>116</v>
      </c>
      <c r="P4070" s="31"/>
      <c r="Q4070" s="31"/>
      <c r="R4070" s="33"/>
      <c r="S4070" s="34" t="str">
        <f>HYPERLINK("http://www.cnpol.ru/covers/14718.jpg","фото на сайте")</f>
        <v>фото на сайте</v>
      </c>
    </row>
    <row r="4071" spans="1:19" ht="50.1" customHeight="1">
      <c r="A4071" s="31"/>
      <c r="B4071" s="32" t="s">
        <v>15108</v>
      </c>
      <c r="C4071" s="31" t="s">
        <v>413</v>
      </c>
      <c r="D4071" s="31" t="s">
        <v>10036</v>
      </c>
      <c r="E4071" s="31" t="s">
        <v>15109</v>
      </c>
      <c r="F4071" s="31">
        <v>11</v>
      </c>
      <c r="G4071" s="31">
        <v>117</v>
      </c>
      <c r="H4071" s="31">
        <v>10</v>
      </c>
      <c r="I4071" s="31">
        <v>36</v>
      </c>
      <c r="J4071" s="31" t="s">
        <v>15110</v>
      </c>
      <c r="K4071" s="31" t="s">
        <v>123</v>
      </c>
      <c r="L4071" s="31" t="s">
        <v>56</v>
      </c>
      <c r="M4071" s="31">
        <v>190</v>
      </c>
      <c r="N4071" s="31">
        <v>2014</v>
      </c>
      <c r="O4071" s="31">
        <v>90</v>
      </c>
      <c r="P4071" s="31"/>
      <c r="Q4071" s="31"/>
      <c r="R4071" s="33"/>
      <c r="S4071" s="34" t="str">
        <f>HYPERLINK("http://www.cnpol.ru/covers/15299.jpg","фото на сайте")</f>
        <v>фото на сайте</v>
      </c>
    </row>
    <row r="4072" spans="1:19" ht="50.1" customHeight="1">
      <c r="A4072" s="31"/>
      <c r="B4072" s="32" t="s">
        <v>15111</v>
      </c>
      <c r="C4072" s="31" t="s">
        <v>390</v>
      </c>
      <c r="D4072" s="31" t="s">
        <v>414</v>
      </c>
      <c r="E4072" s="31" t="s">
        <v>15112</v>
      </c>
      <c r="F4072" s="31">
        <v>820</v>
      </c>
      <c r="G4072" s="31">
        <v>86</v>
      </c>
      <c r="H4072" s="31">
        <v>10</v>
      </c>
      <c r="I4072" s="31">
        <v>30</v>
      </c>
      <c r="J4072" s="31" t="s">
        <v>15113</v>
      </c>
      <c r="K4072" s="31" t="s">
        <v>123</v>
      </c>
      <c r="L4072" s="31" t="s">
        <v>56</v>
      </c>
      <c r="M4072" s="31">
        <v>160</v>
      </c>
      <c r="N4072" s="31">
        <v>2018</v>
      </c>
      <c r="O4072" s="31">
        <v>76</v>
      </c>
      <c r="P4072" s="31"/>
      <c r="Q4072" s="31"/>
      <c r="R4072" s="33"/>
      <c r="S4072" s="34" t="str">
        <f>HYPERLINK("http://www.cnpol.ru/covers/18219.jpg","фото на сайте")</f>
        <v>фото на сайте</v>
      </c>
    </row>
    <row r="4073" spans="1:19" ht="50.1" customHeight="1">
      <c r="A4073" s="31" t="s">
        <v>43</v>
      </c>
      <c r="B4073" s="32" t="s">
        <v>15114</v>
      </c>
      <c r="C4073" s="31" t="s">
        <v>4230</v>
      </c>
      <c r="D4073" s="31" t="s">
        <v>8967</v>
      </c>
      <c r="E4073" s="31" t="s">
        <v>15115</v>
      </c>
      <c r="F4073" s="31" t="s">
        <v>31</v>
      </c>
      <c r="G4073" s="31">
        <v>917</v>
      </c>
      <c r="H4073" s="31">
        <v>10</v>
      </c>
      <c r="I4073" s="31">
        <v>10</v>
      </c>
      <c r="J4073" s="31" t="s">
        <v>15116</v>
      </c>
      <c r="K4073" s="31" t="s">
        <v>33</v>
      </c>
      <c r="L4073" s="31" t="s">
        <v>34</v>
      </c>
      <c r="M4073" s="31">
        <v>431</v>
      </c>
      <c r="N4073" s="31">
        <v>2025</v>
      </c>
      <c r="O4073" s="31">
        <v>468</v>
      </c>
      <c r="P4073" s="31"/>
      <c r="Q4073" s="31"/>
      <c r="R4073" s="33" t="s">
        <v>15117</v>
      </c>
      <c r="S4073" s="34" t="str">
        <f>HYPERLINK("http://www.cnpol.ru/covers/21789.jpg","фото на сайте")</f>
        <v>фото на сайте</v>
      </c>
    </row>
    <row r="4074" spans="1:19" ht="50.1" customHeight="1">
      <c r="A4074" s="31"/>
      <c r="B4074" s="32" t="s">
        <v>15118</v>
      </c>
      <c r="C4074" s="31" t="s">
        <v>14684</v>
      </c>
      <c r="D4074" s="31" t="s">
        <v>15119</v>
      </c>
      <c r="E4074" s="31" t="s">
        <v>15120</v>
      </c>
      <c r="F4074" s="31" t="s">
        <v>31</v>
      </c>
      <c r="G4074" s="31">
        <v>325</v>
      </c>
      <c r="H4074" s="31">
        <v>10</v>
      </c>
      <c r="I4074" s="31">
        <v>24</v>
      </c>
      <c r="J4074" s="31" t="s">
        <v>15121</v>
      </c>
      <c r="K4074" s="31" t="s">
        <v>33</v>
      </c>
      <c r="L4074" s="31" t="s">
        <v>34</v>
      </c>
      <c r="M4074" s="31">
        <v>223</v>
      </c>
      <c r="N4074" s="31">
        <v>2008</v>
      </c>
      <c r="O4074" s="31">
        <v>208</v>
      </c>
      <c r="P4074" s="31"/>
      <c r="Q4074" s="31"/>
      <c r="R4074" s="33"/>
      <c r="S4074" s="34" t="str">
        <f>HYPERLINK("http://www.cnpol.ru/covers/8804.jpg","фото на сайте")</f>
        <v>фото на сайте</v>
      </c>
    </row>
    <row r="4075" spans="1:19" ht="50.1" customHeight="1">
      <c r="A4075" s="31" t="s">
        <v>43</v>
      </c>
      <c r="B4075" s="32" t="s">
        <v>15122</v>
      </c>
      <c r="C4075" s="31" t="s">
        <v>4230</v>
      </c>
      <c r="D4075" s="31" t="s">
        <v>8967</v>
      </c>
      <c r="E4075" s="31" t="s">
        <v>15123</v>
      </c>
      <c r="F4075" s="31" t="s">
        <v>31</v>
      </c>
      <c r="G4075" s="31">
        <v>917</v>
      </c>
      <c r="H4075" s="31">
        <v>10</v>
      </c>
      <c r="I4075" s="31">
        <v>10</v>
      </c>
      <c r="J4075" s="31" t="s">
        <v>15124</v>
      </c>
      <c r="K4075" s="31" t="s">
        <v>33</v>
      </c>
      <c r="L4075" s="31" t="s">
        <v>34</v>
      </c>
      <c r="M4075" s="31">
        <v>431</v>
      </c>
      <c r="N4075" s="31">
        <v>2025</v>
      </c>
      <c r="O4075" s="31" t="s">
        <v>220</v>
      </c>
      <c r="P4075" s="31"/>
      <c r="Q4075" s="31"/>
      <c r="R4075" s="33" t="s">
        <v>15117</v>
      </c>
      <c r="S4075" s="34" t="str">
        <f>HYPERLINK("http://www.cnpol.ru/covers/21832.jpg","фото на сайте")</f>
        <v>фото на сайте</v>
      </c>
    </row>
    <row r="4076" spans="1:19" ht="50.1" customHeight="1">
      <c r="A4076" s="31"/>
      <c r="B4076" s="32" t="s">
        <v>15125</v>
      </c>
      <c r="C4076" s="31" t="s">
        <v>538</v>
      </c>
      <c r="D4076" s="31" t="s">
        <v>9752</v>
      </c>
      <c r="E4076" s="31" t="s">
        <v>15126</v>
      </c>
      <c r="F4076" s="31" t="s">
        <v>31</v>
      </c>
      <c r="G4076" s="31">
        <v>559</v>
      </c>
      <c r="H4076" s="31">
        <v>10</v>
      </c>
      <c r="I4076" s="31">
        <v>14</v>
      </c>
      <c r="J4076" s="31" t="s">
        <v>15127</v>
      </c>
      <c r="K4076" s="31" t="s">
        <v>33</v>
      </c>
      <c r="L4076" s="31" t="s">
        <v>34</v>
      </c>
      <c r="M4076" s="31">
        <v>351</v>
      </c>
      <c r="N4076" s="31">
        <v>2008</v>
      </c>
      <c r="O4076" s="31">
        <v>346</v>
      </c>
      <c r="P4076" s="31"/>
      <c r="Q4076" s="31"/>
      <c r="R4076" s="33"/>
      <c r="S4076" s="34" t="str">
        <f>HYPERLINK("http://www.cnpol.ru/covers/10922.jpg","фото на сайте")</f>
        <v>фото на сайте</v>
      </c>
    </row>
    <row r="4077" spans="1:19" ht="50.1" customHeight="1">
      <c r="A4077" s="31"/>
      <c r="B4077" s="32" t="s">
        <v>15128</v>
      </c>
      <c r="C4077" s="31" t="s">
        <v>5756</v>
      </c>
      <c r="D4077" s="31" t="s">
        <v>5757</v>
      </c>
      <c r="E4077" s="31" t="s">
        <v>15129</v>
      </c>
      <c r="F4077" s="31" t="s">
        <v>31</v>
      </c>
      <c r="G4077" s="31">
        <v>275</v>
      </c>
      <c r="H4077" s="31">
        <v>10</v>
      </c>
      <c r="I4077" s="31">
        <v>8</v>
      </c>
      <c r="J4077" s="31" t="s">
        <v>15130</v>
      </c>
      <c r="K4077" s="31" t="s">
        <v>123</v>
      </c>
      <c r="L4077" s="31" t="s">
        <v>56</v>
      </c>
      <c r="M4077" s="31">
        <v>416</v>
      </c>
      <c r="N4077" s="31">
        <v>2021</v>
      </c>
      <c r="O4077" s="31">
        <v>192</v>
      </c>
      <c r="P4077" s="31"/>
      <c r="Q4077" s="31"/>
      <c r="R4077" s="33"/>
      <c r="S4077" s="34" t="str">
        <f>HYPERLINK("http://www.cnpol.ru/covers/19635.jpg","фото на сайте")</f>
        <v>фото на сайте</v>
      </c>
    </row>
    <row r="4078" spans="1:19" ht="50.1" customHeight="1">
      <c r="A4078" s="31"/>
      <c r="B4078" s="32" t="s">
        <v>15131</v>
      </c>
      <c r="C4078" s="31" t="s">
        <v>297</v>
      </c>
      <c r="D4078" s="31" t="s">
        <v>12535</v>
      </c>
      <c r="E4078" s="31" t="s">
        <v>15132</v>
      </c>
      <c r="F4078" s="31" t="s">
        <v>31</v>
      </c>
      <c r="G4078" s="31">
        <v>300</v>
      </c>
      <c r="H4078" s="31">
        <v>10</v>
      </c>
      <c r="I4078" s="31">
        <v>20</v>
      </c>
      <c r="J4078" s="31" t="s">
        <v>15133</v>
      </c>
      <c r="K4078" s="31" t="s">
        <v>4017</v>
      </c>
      <c r="L4078" s="31" t="s">
        <v>56</v>
      </c>
      <c r="M4078" s="31">
        <v>352</v>
      </c>
      <c r="N4078" s="31">
        <v>2019</v>
      </c>
      <c r="O4078" s="31">
        <v>178</v>
      </c>
      <c r="P4078" s="31"/>
      <c r="Q4078" s="31"/>
      <c r="R4078" s="33"/>
      <c r="S4078" s="34" t="str">
        <f>HYPERLINK("http://www.cnpol.ru/covers/18729.jpg","фото на сайте")</f>
        <v>фото на сайте</v>
      </c>
    </row>
    <row r="4079" spans="1:19" ht="50.1" customHeight="1">
      <c r="A4079" s="31"/>
      <c r="B4079" s="32" t="s">
        <v>15134</v>
      </c>
      <c r="C4079" s="31" t="s">
        <v>5756</v>
      </c>
      <c r="D4079" s="31" t="s">
        <v>5757</v>
      </c>
      <c r="E4079" s="31" t="s">
        <v>15135</v>
      </c>
      <c r="F4079" s="31" t="s">
        <v>31</v>
      </c>
      <c r="G4079" s="31">
        <v>275</v>
      </c>
      <c r="H4079" s="31">
        <v>10</v>
      </c>
      <c r="I4079" s="31">
        <v>8</v>
      </c>
      <c r="J4079" s="31" t="s">
        <v>15136</v>
      </c>
      <c r="K4079" s="31" t="s">
        <v>123</v>
      </c>
      <c r="L4079" s="31" t="s">
        <v>56</v>
      </c>
      <c r="M4079" s="31">
        <v>416</v>
      </c>
      <c r="N4079" s="31">
        <v>2021</v>
      </c>
      <c r="O4079" s="31">
        <v>192</v>
      </c>
      <c r="P4079" s="31"/>
      <c r="Q4079" s="31"/>
      <c r="R4079" s="33"/>
      <c r="S4079" s="34" t="str">
        <f>HYPERLINK("http://www.cnpol.ru/covers/19681.jpg","фото на сайте")</f>
        <v>фото на сайте</v>
      </c>
    </row>
    <row r="4080" spans="1:19" ht="50.1" customHeight="1">
      <c r="A4080" s="31"/>
      <c r="B4080" s="32" t="s">
        <v>15137</v>
      </c>
      <c r="C4080" s="31" t="s">
        <v>5756</v>
      </c>
      <c r="D4080" s="31" t="s">
        <v>5757</v>
      </c>
      <c r="E4080" s="31" t="s">
        <v>15138</v>
      </c>
      <c r="F4080" s="31" t="s">
        <v>31</v>
      </c>
      <c r="G4080" s="31">
        <v>275</v>
      </c>
      <c r="H4080" s="31">
        <v>10</v>
      </c>
      <c r="I4080" s="31">
        <v>7</v>
      </c>
      <c r="J4080" s="31" t="s">
        <v>15139</v>
      </c>
      <c r="K4080" s="31" t="s">
        <v>123</v>
      </c>
      <c r="L4080" s="31" t="s">
        <v>56</v>
      </c>
      <c r="M4080" s="31">
        <v>416</v>
      </c>
      <c r="N4080" s="31">
        <v>2021</v>
      </c>
      <c r="O4080" s="31">
        <v>192</v>
      </c>
      <c r="P4080" s="31"/>
      <c r="Q4080" s="31"/>
      <c r="R4080" s="33"/>
      <c r="S4080" s="34" t="str">
        <f>HYPERLINK("http://www.cnpol.ru/covers/19721.jpg","фото на сайте")</f>
        <v>фото на сайте</v>
      </c>
    </row>
    <row r="4081" spans="1:19" ht="50.1" customHeight="1">
      <c r="A4081" s="31"/>
      <c r="B4081" s="32" t="s">
        <v>15140</v>
      </c>
      <c r="C4081" s="31" t="s">
        <v>297</v>
      </c>
      <c r="D4081" s="31" t="s">
        <v>8967</v>
      </c>
      <c r="E4081" s="31" t="s">
        <v>15141</v>
      </c>
      <c r="F4081" s="31" t="s">
        <v>31</v>
      </c>
      <c r="G4081" s="31">
        <v>300</v>
      </c>
      <c r="H4081" s="31">
        <v>10</v>
      </c>
      <c r="I4081" s="31">
        <v>12</v>
      </c>
      <c r="J4081" s="31" t="s">
        <v>15142</v>
      </c>
      <c r="K4081" s="31" t="s">
        <v>300</v>
      </c>
      <c r="L4081" s="31" t="s">
        <v>56</v>
      </c>
      <c r="M4081" s="31">
        <v>479</v>
      </c>
      <c r="N4081" s="31">
        <v>2024</v>
      </c>
      <c r="O4081" s="31">
        <v>232</v>
      </c>
      <c r="P4081" s="31"/>
      <c r="Q4081" s="31"/>
      <c r="R4081" s="33" t="s">
        <v>15143</v>
      </c>
      <c r="S4081" s="34" t="str">
        <f>HYPERLINK("http://www.cnpol.ru/covers/20952.jpg","фото на сайте")</f>
        <v>фото на сайте</v>
      </c>
    </row>
    <row r="4082" spans="1:19" ht="50.1" customHeight="1">
      <c r="A4082" s="31" t="s">
        <v>35</v>
      </c>
      <c r="B4082" s="32" t="s">
        <v>15144</v>
      </c>
      <c r="C4082" s="31" t="s">
        <v>302</v>
      </c>
      <c r="D4082" s="31" t="s">
        <v>8967</v>
      </c>
      <c r="E4082" s="31" t="s">
        <v>15141</v>
      </c>
      <c r="F4082" s="31" t="s">
        <v>31</v>
      </c>
      <c r="G4082" s="35">
        <v>1283</v>
      </c>
      <c r="H4082" s="31">
        <v>10</v>
      </c>
      <c r="I4082" s="31">
        <v>12</v>
      </c>
      <c r="J4082" s="31" t="s">
        <v>15145</v>
      </c>
      <c r="K4082" s="31" t="s">
        <v>41</v>
      </c>
      <c r="L4082" s="31" t="s">
        <v>304</v>
      </c>
      <c r="M4082" s="31">
        <v>416</v>
      </c>
      <c r="N4082" s="31">
        <v>2024</v>
      </c>
      <c r="O4082" s="31">
        <v>484</v>
      </c>
      <c r="P4082" s="31"/>
      <c r="Q4082" s="31"/>
      <c r="R4082" s="33" t="s">
        <v>15143</v>
      </c>
      <c r="S4082" s="34" t="str">
        <f>HYPERLINK("http://www.cnpol.ru/covers/21352.jpg","фото на сайте")</f>
        <v>фото на сайте</v>
      </c>
    </row>
    <row r="4083" spans="1:19" ht="50.1" customHeight="1">
      <c r="A4083" s="31"/>
      <c r="B4083" s="32" t="s">
        <v>15146</v>
      </c>
      <c r="C4083" s="31" t="s">
        <v>302</v>
      </c>
      <c r="D4083" s="31" t="s">
        <v>8967</v>
      </c>
      <c r="E4083" s="31" t="s">
        <v>15147</v>
      </c>
      <c r="F4083" s="31" t="s">
        <v>31</v>
      </c>
      <c r="G4083" s="31">
        <v>977</v>
      </c>
      <c r="H4083" s="31">
        <v>10</v>
      </c>
      <c r="I4083" s="31">
        <v>10</v>
      </c>
      <c r="J4083" s="31" t="s">
        <v>15148</v>
      </c>
      <c r="K4083" s="31" t="s">
        <v>41</v>
      </c>
      <c r="L4083" s="31" t="s">
        <v>304</v>
      </c>
      <c r="M4083" s="31">
        <v>416</v>
      </c>
      <c r="N4083" s="31">
        <v>2023</v>
      </c>
      <c r="O4083" s="31">
        <v>526</v>
      </c>
      <c r="P4083" s="31"/>
      <c r="Q4083" s="31"/>
      <c r="R4083" s="33" t="s">
        <v>15149</v>
      </c>
      <c r="S4083" s="34" t="str">
        <f>HYPERLINK("http://www.cnpol.ru/covers/20525.jpg","фото на сайте")</f>
        <v>фото на сайте</v>
      </c>
    </row>
    <row r="4084" spans="1:19" ht="50.1" customHeight="1">
      <c r="A4084" s="31" t="s">
        <v>35</v>
      </c>
      <c r="B4084" s="32" t="s">
        <v>15150</v>
      </c>
      <c r="C4084" s="31" t="s">
        <v>297</v>
      </c>
      <c r="D4084" s="31" t="s">
        <v>8967</v>
      </c>
      <c r="E4084" s="31" t="s">
        <v>15147</v>
      </c>
      <c r="F4084" s="31" t="s">
        <v>31</v>
      </c>
      <c r="G4084" s="31">
        <v>341</v>
      </c>
      <c r="H4084" s="31">
        <v>10</v>
      </c>
      <c r="I4084" s="31">
        <v>5</v>
      </c>
      <c r="J4084" s="31" t="s">
        <v>15151</v>
      </c>
      <c r="K4084" s="31" t="s">
        <v>300</v>
      </c>
      <c r="L4084" s="31" t="s">
        <v>56</v>
      </c>
      <c r="M4084" s="31">
        <v>478</v>
      </c>
      <c r="N4084" s="31">
        <v>2024</v>
      </c>
      <c r="O4084" s="31">
        <v>240</v>
      </c>
      <c r="P4084" s="31"/>
      <c r="Q4084" s="31"/>
      <c r="R4084" s="33" t="s">
        <v>15152</v>
      </c>
      <c r="S4084" s="34" t="str">
        <f>HYPERLINK("http://www.cnpol.ru/covers/21108.jpg","фото на сайте")</f>
        <v>фото на сайте</v>
      </c>
    </row>
    <row r="4085" spans="1:19" ht="50.1" customHeight="1">
      <c r="A4085" s="31"/>
      <c r="B4085" s="32" t="s">
        <v>15153</v>
      </c>
      <c r="C4085" s="31" t="s">
        <v>538</v>
      </c>
      <c r="D4085" s="31" t="s">
        <v>9752</v>
      </c>
      <c r="E4085" s="31" t="s">
        <v>15154</v>
      </c>
      <c r="F4085" s="31" t="s">
        <v>31</v>
      </c>
      <c r="G4085" s="31">
        <v>559</v>
      </c>
      <c r="H4085" s="31">
        <v>10</v>
      </c>
      <c r="I4085" s="31">
        <v>14</v>
      </c>
      <c r="J4085" s="31" t="s">
        <v>15155</v>
      </c>
      <c r="K4085" s="31" t="s">
        <v>33</v>
      </c>
      <c r="L4085" s="31" t="s">
        <v>34</v>
      </c>
      <c r="M4085" s="31">
        <v>382</v>
      </c>
      <c r="N4085" s="31">
        <v>2008</v>
      </c>
      <c r="O4085" s="31">
        <v>294</v>
      </c>
      <c r="P4085" s="31"/>
      <c r="Q4085" s="31"/>
      <c r="R4085" s="33"/>
      <c r="S4085" s="34" t="str">
        <f>HYPERLINK("http://www.cnpol.ru/covers/10697.jpg","фото на сайте")</f>
        <v>фото на сайте</v>
      </c>
    </row>
    <row r="4086" spans="1:19" ht="50.1" customHeight="1">
      <c r="A4086" s="31"/>
      <c r="B4086" s="32" t="s">
        <v>15156</v>
      </c>
      <c r="C4086" s="31" t="s">
        <v>297</v>
      </c>
      <c r="D4086" s="31" t="s">
        <v>15157</v>
      </c>
      <c r="E4086" s="31" t="s">
        <v>15158</v>
      </c>
      <c r="F4086" s="31" t="s">
        <v>31</v>
      </c>
      <c r="G4086" s="31">
        <v>300</v>
      </c>
      <c r="H4086" s="31">
        <v>10</v>
      </c>
      <c r="I4086" s="31">
        <v>12</v>
      </c>
      <c r="J4086" s="31" t="s">
        <v>15159</v>
      </c>
      <c r="K4086" s="31" t="s">
        <v>300</v>
      </c>
      <c r="L4086" s="31" t="s">
        <v>56</v>
      </c>
      <c r="M4086" s="31">
        <v>544</v>
      </c>
      <c r="N4086" s="31">
        <v>2019</v>
      </c>
      <c r="O4086" s="31">
        <v>268</v>
      </c>
      <c r="P4086" s="31"/>
      <c r="Q4086" s="31"/>
      <c r="R4086" s="33"/>
      <c r="S4086" s="34" t="str">
        <f>HYPERLINK("http://www.cnpol.ru/covers/18631.jpg","фото на сайте")</f>
        <v>фото на сайте</v>
      </c>
    </row>
    <row r="4087" spans="1:19" ht="50.1" customHeight="1">
      <c r="A4087" s="31"/>
      <c r="B4087" s="32" t="s">
        <v>15160</v>
      </c>
      <c r="C4087" s="31" t="s">
        <v>302</v>
      </c>
      <c r="D4087" s="31" t="s">
        <v>15157</v>
      </c>
      <c r="E4087" s="31" t="s">
        <v>15158</v>
      </c>
      <c r="F4087" s="31" t="s">
        <v>31</v>
      </c>
      <c r="G4087" s="35">
        <v>1048</v>
      </c>
      <c r="H4087" s="31">
        <v>10</v>
      </c>
      <c r="I4087" s="31">
        <v>8</v>
      </c>
      <c r="J4087" s="31" t="s">
        <v>15161</v>
      </c>
      <c r="K4087" s="31" t="s">
        <v>41</v>
      </c>
      <c r="L4087" s="31" t="s">
        <v>304</v>
      </c>
      <c r="M4087" s="31">
        <v>544</v>
      </c>
      <c r="N4087" s="31">
        <v>2017</v>
      </c>
      <c r="O4087" s="31">
        <v>600</v>
      </c>
      <c r="P4087" s="31"/>
      <c r="Q4087" s="31"/>
      <c r="R4087" s="33"/>
      <c r="S4087" s="34" t="str">
        <f>HYPERLINK("http://www.cnpol.ru/covers/17256.jpg","фото на сайте")</f>
        <v>фото на сайте</v>
      </c>
    </row>
    <row r="4088" spans="1:19" ht="50.1" customHeight="1">
      <c r="A4088" s="31"/>
      <c r="B4088" s="32" t="s">
        <v>15162</v>
      </c>
      <c r="C4088" s="31" t="s">
        <v>1623</v>
      </c>
      <c r="D4088" s="31" t="s">
        <v>1624</v>
      </c>
      <c r="E4088" s="31" t="s">
        <v>15163</v>
      </c>
      <c r="F4088" s="31" t="s">
        <v>31</v>
      </c>
      <c r="G4088" s="31">
        <v>169</v>
      </c>
      <c r="H4088" s="31">
        <v>10</v>
      </c>
      <c r="I4088" s="31">
        <v>10</v>
      </c>
      <c r="J4088" s="31" t="s">
        <v>15164</v>
      </c>
      <c r="K4088" s="31" t="s">
        <v>55</v>
      </c>
      <c r="L4088" s="31" t="s">
        <v>56</v>
      </c>
      <c r="M4088" s="31">
        <v>255</v>
      </c>
      <c r="N4088" s="31">
        <v>2023</v>
      </c>
      <c r="O4088" s="31">
        <v>110</v>
      </c>
      <c r="P4088" s="31"/>
      <c r="Q4088" s="31"/>
      <c r="R4088" s="33" t="s">
        <v>15165</v>
      </c>
      <c r="S4088" s="34" t="str">
        <f>HYPERLINK("http://www.cnpol.ru/covers/20753.jpg","фото на сайте")</f>
        <v>фото на сайте</v>
      </c>
    </row>
    <row r="4089" spans="1:19" ht="50.1" customHeight="1">
      <c r="A4089" s="31"/>
      <c r="B4089" s="32" t="s">
        <v>15166</v>
      </c>
      <c r="C4089" s="31" t="s">
        <v>14161</v>
      </c>
      <c r="D4089" s="31" t="s">
        <v>15167</v>
      </c>
      <c r="E4089" s="31" t="s">
        <v>15168</v>
      </c>
      <c r="F4089" s="31" t="s">
        <v>31</v>
      </c>
      <c r="G4089" s="31">
        <v>193</v>
      </c>
      <c r="H4089" s="31">
        <v>10</v>
      </c>
      <c r="I4089" s="31">
        <v>16</v>
      </c>
      <c r="J4089" s="31" t="s">
        <v>15169</v>
      </c>
      <c r="K4089" s="31" t="s">
        <v>2231</v>
      </c>
      <c r="L4089" s="31" t="s">
        <v>34</v>
      </c>
      <c r="M4089" s="31">
        <v>416</v>
      </c>
      <c r="N4089" s="31">
        <v>2003</v>
      </c>
      <c r="O4089" s="31">
        <v>340</v>
      </c>
      <c r="P4089" s="31"/>
      <c r="Q4089" s="31"/>
      <c r="R4089" s="33"/>
      <c r="S4089" s="34" t="str">
        <f>HYPERLINK("http://www.cnpol.ru/covers/3741.jpg","фото на сайте")</f>
        <v>фото на сайте</v>
      </c>
    </row>
    <row r="4090" spans="1:19" ht="50.1" customHeight="1">
      <c r="A4090" s="31"/>
      <c r="B4090" s="32" t="s">
        <v>15170</v>
      </c>
      <c r="C4090" s="31" t="s">
        <v>1623</v>
      </c>
      <c r="D4090" s="31" t="s">
        <v>8224</v>
      </c>
      <c r="E4090" s="31" t="s">
        <v>15171</v>
      </c>
      <c r="F4090" s="31" t="s">
        <v>31</v>
      </c>
      <c r="G4090" s="31">
        <v>169</v>
      </c>
      <c r="H4090" s="31">
        <v>10</v>
      </c>
      <c r="I4090" s="31">
        <v>18</v>
      </c>
      <c r="J4090" s="31" t="s">
        <v>15172</v>
      </c>
      <c r="K4090" s="31" t="s">
        <v>55</v>
      </c>
      <c r="L4090" s="31" t="s">
        <v>56</v>
      </c>
      <c r="M4090" s="31">
        <v>297</v>
      </c>
      <c r="N4090" s="31">
        <v>2021</v>
      </c>
      <c r="O4090" s="31">
        <v>260</v>
      </c>
      <c r="P4090" s="31"/>
      <c r="Q4090" s="31"/>
      <c r="R4090" s="33"/>
      <c r="S4090" s="34" t="str">
        <f>HYPERLINK("http://www.cnpol.ru/covers/19966.jpg","фото на сайте")</f>
        <v>фото на сайте</v>
      </c>
    </row>
    <row r="4091" spans="1:19" ht="50.1" customHeight="1">
      <c r="A4091" s="31"/>
      <c r="B4091" s="32" t="s">
        <v>15173</v>
      </c>
      <c r="C4091" s="31" t="s">
        <v>854</v>
      </c>
      <c r="D4091" s="31" t="s">
        <v>7142</v>
      </c>
      <c r="E4091" s="31" t="s">
        <v>15174</v>
      </c>
      <c r="F4091" s="31" t="s">
        <v>31</v>
      </c>
      <c r="G4091" s="31">
        <v>154</v>
      </c>
      <c r="H4091" s="31">
        <v>10</v>
      </c>
      <c r="I4091" s="31">
        <v>20</v>
      </c>
      <c r="J4091" s="31" t="s">
        <v>15175</v>
      </c>
      <c r="K4091" s="31" t="s">
        <v>55</v>
      </c>
      <c r="L4091" s="31" t="s">
        <v>56</v>
      </c>
      <c r="M4091" s="31">
        <v>317</v>
      </c>
      <c r="N4091" s="31">
        <v>2008</v>
      </c>
      <c r="O4091" s="31">
        <v>134</v>
      </c>
      <c r="P4091" s="31"/>
      <c r="Q4091" s="31"/>
      <c r="R4091" s="33"/>
      <c r="S4091" s="34" t="str">
        <f>HYPERLINK("http://www.cnpol.ru/covers/7241.jpg","фото на сайте")</f>
        <v>фото на сайте</v>
      </c>
    </row>
    <row r="4092" spans="1:19" ht="50.1" customHeight="1">
      <c r="A4092" s="31"/>
      <c r="B4092" s="32" t="s">
        <v>15176</v>
      </c>
      <c r="C4092" s="31" t="s">
        <v>975</v>
      </c>
      <c r="D4092" s="31" t="s">
        <v>976</v>
      </c>
      <c r="E4092" s="31" t="s">
        <v>15177</v>
      </c>
      <c r="F4092" s="31" t="s">
        <v>31</v>
      </c>
      <c r="G4092" s="31">
        <v>154</v>
      </c>
      <c r="H4092" s="31">
        <v>10</v>
      </c>
      <c r="I4092" s="31">
        <v>20</v>
      </c>
      <c r="J4092" s="31" t="s">
        <v>15178</v>
      </c>
      <c r="K4092" s="31" t="s">
        <v>55</v>
      </c>
      <c r="L4092" s="31" t="s">
        <v>56</v>
      </c>
      <c r="M4092" s="31">
        <v>302</v>
      </c>
      <c r="N4092" s="31">
        <v>2008</v>
      </c>
      <c r="O4092" s="31">
        <v>124</v>
      </c>
      <c r="P4092" s="31"/>
      <c r="Q4092" s="31"/>
      <c r="R4092" s="33"/>
      <c r="S4092" s="34" t="str">
        <f>HYPERLINK("http://www.cnpol.ru/covers/10103.jpg","фото на сайте")</f>
        <v>фото на сайте</v>
      </c>
    </row>
    <row r="4093" spans="1:19" ht="50.1" customHeight="1">
      <c r="A4093" s="31"/>
      <c r="B4093" s="32" t="s">
        <v>15179</v>
      </c>
      <c r="C4093" s="31" t="s">
        <v>14161</v>
      </c>
      <c r="D4093" s="31" t="s">
        <v>15180</v>
      </c>
      <c r="E4093" s="31" t="s">
        <v>15181</v>
      </c>
      <c r="F4093" s="31" t="s">
        <v>31</v>
      </c>
      <c r="G4093" s="31">
        <v>254</v>
      </c>
      <c r="H4093" s="31">
        <v>10</v>
      </c>
      <c r="I4093" s="31">
        <v>14</v>
      </c>
      <c r="J4093" s="31" t="s">
        <v>15182</v>
      </c>
      <c r="K4093" s="31" t="s">
        <v>2231</v>
      </c>
      <c r="L4093" s="31" t="s">
        <v>34</v>
      </c>
      <c r="M4093" s="31">
        <v>477</v>
      </c>
      <c r="N4093" s="31">
        <v>2002</v>
      </c>
      <c r="O4093" s="31">
        <v>392</v>
      </c>
      <c r="P4093" s="31"/>
      <c r="Q4093" s="31"/>
      <c r="R4093" s="33"/>
      <c r="S4093" s="34" t="str">
        <f>HYPERLINK("http://www.cnpol.ru/covers/3548.jpg","фото на сайте")</f>
        <v>фото на сайте</v>
      </c>
    </row>
    <row r="4094" spans="1:19" ht="50.1" customHeight="1">
      <c r="A4094" s="31"/>
      <c r="B4094" s="32" t="s">
        <v>15183</v>
      </c>
      <c r="C4094" s="31" t="s">
        <v>1102</v>
      </c>
      <c r="D4094" s="31" t="s">
        <v>1103</v>
      </c>
      <c r="E4094" s="31" t="s">
        <v>15184</v>
      </c>
      <c r="F4094" s="31" t="s">
        <v>31</v>
      </c>
      <c r="G4094" s="31">
        <v>593</v>
      </c>
      <c r="H4094" s="31">
        <v>10</v>
      </c>
      <c r="I4094" s="31">
        <v>14</v>
      </c>
      <c r="J4094" s="31" t="s">
        <v>15185</v>
      </c>
      <c r="K4094" s="31" t="s">
        <v>33</v>
      </c>
      <c r="L4094" s="31" t="s">
        <v>34</v>
      </c>
      <c r="M4094" s="31">
        <v>320</v>
      </c>
      <c r="N4094" s="31">
        <v>2018</v>
      </c>
      <c r="O4094" s="31">
        <v>290</v>
      </c>
      <c r="P4094" s="31"/>
      <c r="Q4094" s="31"/>
      <c r="R4094" s="33"/>
      <c r="S4094" s="34" t="str">
        <f>HYPERLINK("http://www.cnpol.ru/covers/18218.jpg","фото на сайте")</f>
        <v>фото на сайте</v>
      </c>
    </row>
    <row r="4095" spans="1:19" ht="50.1" customHeight="1">
      <c r="A4095" s="31" t="s">
        <v>35</v>
      </c>
      <c r="B4095" s="32" t="s">
        <v>15186</v>
      </c>
      <c r="C4095" s="31" t="s">
        <v>297</v>
      </c>
      <c r="D4095" s="31" t="s">
        <v>5474</v>
      </c>
      <c r="E4095" s="31" t="s">
        <v>15187</v>
      </c>
      <c r="F4095" s="31" t="s">
        <v>31</v>
      </c>
      <c r="G4095" s="31">
        <v>299</v>
      </c>
      <c r="H4095" s="31">
        <v>10</v>
      </c>
      <c r="I4095" s="31">
        <v>12</v>
      </c>
      <c r="J4095" s="31" t="s">
        <v>15188</v>
      </c>
      <c r="K4095" s="31" t="s">
        <v>300</v>
      </c>
      <c r="L4095" s="31" t="s">
        <v>56</v>
      </c>
      <c r="M4095" s="31">
        <v>222</v>
      </c>
      <c r="N4095" s="31">
        <v>2024</v>
      </c>
      <c r="O4095" s="31">
        <v>102</v>
      </c>
      <c r="P4095" s="31"/>
      <c r="Q4095" s="31"/>
      <c r="R4095" s="33" t="s">
        <v>15189</v>
      </c>
      <c r="S4095" s="34" t="str">
        <f>HYPERLINK("http://www.cnpol.ru/covers/21431.jpg","фото на сайте")</f>
        <v>фото на сайте</v>
      </c>
    </row>
    <row r="4096" spans="1:19" ht="50.1" customHeight="1">
      <c r="A4096" s="31"/>
      <c r="B4096" s="32" t="s">
        <v>15190</v>
      </c>
      <c r="C4096" s="31" t="s">
        <v>297</v>
      </c>
      <c r="D4096" s="31" t="s">
        <v>7349</v>
      </c>
      <c r="E4096" s="31" t="s">
        <v>15191</v>
      </c>
      <c r="F4096" s="31" t="s">
        <v>31</v>
      </c>
      <c r="G4096" s="31">
        <v>300</v>
      </c>
      <c r="H4096" s="31">
        <v>10</v>
      </c>
      <c r="I4096" s="31">
        <v>18</v>
      </c>
      <c r="J4096" s="31" t="s">
        <v>15192</v>
      </c>
      <c r="K4096" s="31" t="s">
        <v>300</v>
      </c>
      <c r="L4096" s="31" t="s">
        <v>56</v>
      </c>
      <c r="M4096" s="31">
        <v>384</v>
      </c>
      <c r="N4096" s="31">
        <v>2016</v>
      </c>
      <c r="O4096" s="31">
        <v>192</v>
      </c>
      <c r="P4096" s="31"/>
      <c r="Q4096" s="31"/>
      <c r="R4096" s="33"/>
      <c r="S4096" s="34" t="str">
        <f>HYPERLINK("http://www.cnpol.ru/covers/17122.jpg","фото на сайте")</f>
        <v>фото на сайте</v>
      </c>
    </row>
    <row r="4097" spans="1:19" ht="50.1" customHeight="1">
      <c r="A4097" s="31"/>
      <c r="B4097" s="32" t="s">
        <v>15193</v>
      </c>
      <c r="C4097" s="31" t="s">
        <v>538</v>
      </c>
      <c r="D4097" s="31" t="s">
        <v>7349</v>
      </c>
      <c r="E4097" s="31" t="s">
        <v>15191</v>
      </c>
      <c r="F4097" s="31" t="s">
        <v>31</v>
      </c>
      <c r="G4097" s="31">
        <v>559</v>
      </c>
      <c r="H4097" s="31">
        <v>10</v>
      </c>
      <c r="I4097" s="31">
        <v>12</v>
      </c>
      <c r="J4097" s="31" t="s">
        <v>15194</v>
      </c>
      <c r="K4097" s="31" t="s">
        <v>33</v>
      </c>
      <c r="L4097" s="31" t="s">
        <v>34</v>
      </c>
      <c r="M4097" s="31">
        <v>382</v>
      </c>
      <c r="N4097" s="31">
        <v>2009</v>
      </c>
      <c r="O4097" s="31">
        <v>370</v>
      </c>
      <c r="P4097" s="31"/>
      <c r="Q4097" s="31"/>
      <c r="R4097" s="33"/>
      <c r="S4097" s="34" t="str">
        <f>HYPERLINK("http://www.cnpol.ru/covers/11114.jpg","фото на сайте")</f>
        <v>фото на сайте</v>
      </c>
    </row>
    <row r="4098" spans="1:19" ht="50.1" customHeight="1">
      <c r="A4098" s="31"/>
      <c r="B4098" s="32" t="s">
        <v>15195</v>
      </c>
      <c r="C4098" s="31" t="s">
        <v>538</v>
      </c>
      <c r="D4098" s="31" t="s">
        <v>3745</v>
      </c>
      <c r="E4098" s="31" t="s">
        <v>15196</v>
      </c>
      <c r="F4098" s="31" t="s">
        <v>31</v>
      </c>
      <c r="G4098" s="31">
        <v>559</v>
      </c>
      <c r="H4098" s="31">
        <v>10</v>
      </c>
      <c r="I4098" s="31">
        <v>10</v>
      </c>
      <c r="J4098" s="31" t="s">
        <v>15197</v>
      </c>
      <c r="K4098" s="31" t="s">
        <v>33</v>
      </c>
      <c r="L4098" s="31" t="s">
        <v>34</v>
      </c>
      <c r="M4098" s="31">
        <v>414</v>
      </c>
      <c r="N4098" s="31">
        <v>2010</v>
      </c>
      <c r="O4098" s="31">
        <v>380</v>
      </c>
      <c r="P4098" s="31"/>
      <c r="Q4098" s="31"/>
      <c r="R4098" s="33"/>
      <c r="S4098" s="34" t="str">
        <f>HYPERLINK("http://www.cnpol.ru/covers/11422.jpg","фото на сайте")</f>
        <v>фото на сайте</v>
      </c>
    </row>
    <row r="4099" spans="1:19" ht="50.1" customHeight="1">
      <c r="A4099" s="31" t="s">
        <v>35</v>
      </c>
      <c r="B4099" s="32" t="s">
        <v>15198</v>
      </c>
      <c r="C4099" s="31" t="s">
        <v>297</v>
      </c>
      <c r="D4099" s="31" t="s">
        <v>8967</v>
      </c>
      <c r="E4099" s="31" t="s">
        <v>15199</v>
      </c>
      <c r="F4099" s="31" t="s">
        <v>31</v>
      </c>
      <c r="G4099" s="31">
        <v>300</v>
      </c>
      <c r="H4099" s="31">
        <v>10</v>
      </c>
      <c r="I4099" s="31">
        <v>16</v>
      </c>
      <c r="J4099" s="31" t="s">
        <v>15200</v>
      </c>
      <c r="K4099" s="31" t="s">
        <v>300</v>
      </c>
      <c r="L4099" s="31" t="s">
        <v>56</v>
      </c>
      <c r="M4099" s="31">
        <v>384</v>
      </c>
      <c r="N4099" s="31">
        <v>2024</v>
      </c>
      <c r="O4099" s="31">
        <v>188</v>
      </c>
      <c r="P4099" s="31"/>
      <c r="Q4099" s="31"/>
      <c r="R4099" s="33" t="s">
        <v>15201</v>
      </c>
      <c r="S4099" s="34" t="str">
        <f>HYPERLINK("http://www.cnpol.ru/covers/20998.jpg","фото на сайте")</f>
        <v>фото на сайте</v>
      </c>
    </row>
    <row r="4100" spans="1:19" ht="50.1" customHeight="1">
      <c r="A4100" s="31" t="s">
        <v>35</v>
      </c>
      <c r="B4100" s="32" t="s">
        <v>15202</v>
      </c>
      <c r="C4100" s="31" t="s">
        <v>3108</v>
      </c>
      <c r="D4100" s="31" t="s">
        <v>1364</v>
      </c>
      <c r="E4100" s="31" t="s">
        <v>15203</v>
      </c>
      <c r="F4100" s="31">
        <v>2</v>
      </c>
      <c r="G4100" s="31">
        <v>819</v>
      </c>
      <c r="H4100" s="31">
        <v>10</v>
      </c>
      <c r="I4100" s="31">
        <v>18</v>
      </c>
      <c r="J4100" s="31" t="s">
        <v>15204</v>
      </c>
      <c r="K4100" s="31" t="s">
        <v>33</v>
      </c>
      <c r="L4100" s="31" t="s">
        <v>304</v>
      </c>
      <c r="M4100" s="31">
        <v>287</v>
      </c>
      <c r="N4100" s="31">
        <v>2024</v>
      </c>
      <c r="O4100" s="31" t="s">
        <v>220</v>
      </c>
      <c r="P4100" s="31"/>
      <c r="Q4100" s="31"/>
      <c r="R4100" s="33" t="s">
        <v>15205</v>
      </c>
      <c r="S4100" s="34" t="str">
        <f>HYPERLINK("http://www.cnpol.ru/covers/21381.jpg","фото на сайте")</f>
        <v>фото на сайте</v>
      </c>
    </row>
    <row r="4101" spans="1:19" ht="50.1" customHeight="1">
      <c r="A4101" s="31"/>
      <c r="B4101" s="32" t="s">
        <v>15206</v>
      </c>
      <c r="C4101" s="31" t="s">
        <v>390</v>
      </c>
      <c r="D4101" s="31" t="s">
        <v>3095</v>
      </c>
      <c r="E4101" s="31" t="s">
        <v>15207</v>
      </c>
      <c r="F4101" s="31">
        <v>723</v>
      </c>
      <c r="G4101" s="31">
        <v>86</v>
      </c>
      <c r="H4101" s="31">
        <v>10</v>
      </c>
      <c r="I4101" s="31">
        <v>30</v>
      </c>
      <c r="J4101" s="31" t="s">
        <v>15208</v>
      </c>
      <c r="K4101" s="31" t="s">
        <v>123</v>
      </c>
      <c r="L4101" s="31" t="s">
        <v>56</v>
      </c>
      <c r="M4101" s="31">
        <v>160</v>
      </c>
      <c r="N4101" s="31">
        <v>2017</v>
      </c>
      <c r="O4101" s="31">
        <v>76</v>
      </c>
      <c r="P4101" s="31"/>
      <c r="Q4101" s="31"/>
      <c r="R4101" s="33"/>
      <c r="S4101" s="34" t="str">
        <f>HYPERLINK("http://www.cnpol.ru/covers/17520.jpg","фото на сайте")</f>
        <v>фото на сайте</v>
      </c>
    </row>
    <row r="4102" spans="1:19" ht="50.1" customHeight="1">
      <c r="A4102" s="31"/>
      <c r="B4102" s="32" t="s">
        <v>15209</v>
      </c>
      <c r="C4102" s="31" t="s">
        <v>390</v>
      </c>
      <c r="D4102" s="31" t="s">
        <v>5191</v>
      </c>
      <c r="E4102" s="31" t="s">
        <v>15210</v>
      </c>
      <c r="F4102" s="31">
        <v>682</v>
      </c>
      <c r="G4102" s="31">
        <v>86</v>
      </c>
      <c r="H4102" s="31">
        <v>10</v>
      </c>
      <c r="I4102" s="31">
        <v>30</v>
      </c>
      <c r="J4102" s="31" t="s">
        <v>15211</v>
      </c>
      <c r="K4102" s="31" t="s">
        <v>123</v>
      </c>
      <c r="L4102" s="31" t="s">
        <v>56</v>
      </c>
      <c r="M4102" s="31">
        <v>160</v>
      </c>
      <c r="N4102" s="31">
        <v>2017</v>
      </c>
      <c r="O4102" s="31">
        <v>76</v>
      </c>
      <c r="P4102" s="31"/>
      <c r="Q4102" s="31"/>
      <c r="R4102" s="33"/>
      <c r="S4102" s="34" t="str">
        <f>HYPERLINK("http://www.cnpol.ru/covers/17245.jpg","фото на сайте")</f>
        <v>фото на сайте</v>
      </c>
    </row>
    <row r="4103" spans="1:19" ht="50.1" customHeight="1">
      <c r="A4103" s="31"/>
      <c r="B4103" s="32" t="s">
        <v>15212</v>
      </c>
      <c r="C4103" s="31" t="s">
        <v>1265</v>
      </c>
      <c r="D4103" s="31" t="s">
        <v>1266</v>
      </c>
      <c r="E4103" s="31" t="s">
        <v>15213</v>
      </c>
      <c r="F4103" s="31" t="s">
        <v>31</v>
      </c>
      <c r="G4103" s="31">
        <v>88</v>
      </c>
      <c r="H4103" s="31">
        <v>10</v>
      </c>
      <c r="I4103" s="31">
        <v>80</v>
      </c>
      <c r="J4103" s="31" t="s">
        <v>15214</v>
      </c>
      <c r="K4103" s="31" t="s">
        <v>123</v>
      </c>
      <c r="L4103" s="31" t="s">
        <v>56</v>
      </c>
      <c r="M4103" s="31">
        <v>125</v>
      </c>
      <c r="N4103" s="31">
        <v>2011</v>
      </c>
      <c r="O4103" s="31">
        <v>62</v>
      </c>
      <c r="P4103" s="31"/>
      <c r="Q4103" s="31"/>
      <c r="R4103" s="33"/>
      <c r="S4103" s="34" t="str">
        <f>HYPERLINK("http://www.cnpol.ru/covers/12607.jpg","фото на сайте")</f>
        <v>фото на сайте</v>
      </c>
    </row>
    <row r="4104" spans="1:19" ht="50.1" customHeight="1">
      <c r="A4104" s="31"/>
      <c r="B4104" s="32" t="s">
        <v>15215</v>
      </c>
      <c r="C4104" s="31" t="s">
        <v>953</v>
      </c>
      <c r="D4104" s="31" t="s">
        <v>8436</v>
      </c>
      <c r="E4104" s="31" t="s">
        <v>15216</v>
      </c>
      <c r="F4104" s="31" t="s">
        <v>31</v>
      </c>
      <c r="G4104" s="31">
        <v>154</v>
      </c>
      <c r="H4104" s="31">
        <v>10</v>
      </c>
      <c r="I4104" s="31">
        <v>28</v>
      </c>
      <c r="J4104" s="31" t="s">
        <v>15217</v>
      </c>
      <c r="K4104" s="31" t="s">
        <v>55</v>
      </c>
      <c r="L4104" s="31" t="s">
        <v>56</v>
      </c>
      <c r="M4104" s="31">
        <v>365</v>
      </c>
      <c r="N4104" s="31">
        <v>2008</v>
      </c>
      <c r="O4104" s="31" t="s">
        <v>220</v>
      </c>
      <c r="P4104" s="31"/>
      <c r="Q4104" s="31"/>
      <c r="R4104" s="33"/>
      <c r="S4104" s="34" t="str">
        <f>HYPERLINK("http://www.cnpol.ru/covers/10178.jpg","фото на сайте")</f>
        <v>фото на сайте</v>
      </c>
    </row>
    <row r="4105" spans="1:19" ht="50.1" customHeight="1">
      <c r="A4105" s="31" t="s">
        <v>43</v>
      </c>
      <c r="B4105" s="32" t="s">
        <v>15218</v>
      </c>
      <c r="C4105" s="31" t="s">
        <v>143</v>
      </c>
      <c r="D4105" s="31" t="s">
        <v>15219</v>
      </c>
      <c r="E4105" s="31" t="s">
        <v>15220</v>
      </c>
      <c r="F4105" s="31" t="s">
        <v>31</v>
      </c>
      <c r="G4105" s="35">
        <v>2320</v>
      </c>
      <c r="H4105" s="31">
        <v>10</v>
      </c>
      <c r="I4105" s="31">
        <v>8</v>
      </c>
      <c r="J4105" s="31" t="s">
        <v>15221</v>
      </c>
      <c r="K4105" s="31" t="s">
        <v>147</v>
      </c>
      <c r="L4105" s="31" t="s">
        <v>34</v>
      </c>
      <c r="M4105" s="31">
        <v>191</v>
      </c>
      <c r="N4105" s="31">
        <v>2024</v>
      </c>
      <c r="O4105" s="31">
        <v>283</v>
      </c>
      <c r="P4105" s="31"/>
      <c r="Q4105" s="31"/>
      <c r="R4105" s="33" t="s">
        <v>15222</v>
      </c>
      <c r="S4105" s="34" t="str">
        <f>HYPERLINK("http://www.cnpol.ru/covers/21318.jpg","фото на сайте")</f>
        <v>фото на сайте</v>
      </c>
    </row>
    <row r="4106" spans="1:19" ht="50.1" customHeight="1">
      <c r="A4106" s="31"/>
      <c r="B4106" s="32" t="s">
        <v>15223</v>
      </c>
      <c r="C4106" s="31" t="s">
        <v>15224</v>
      </c>
      <c r="D4106" s="31" t="s">
        <v>15225</v>
      </c>
      <c r="E4106" s="31" t="s">
        <v>15226</v>
      </c>
      <c r="F4106" s="31" t="s">
        <v>31</v>
      </c>
      <c r="G4106" s="31">
        <v>111</v>
      </c>
      <c r="H4106" s="31">
        <v>10</v>
      </c>
      <c r="I4106" s="31">
        <v>12</v>
      </c>
      <c r="J4106" s="31" t="s">
        <v>15227</v>
      </c>
      <c r="K4106" s="31" t="s">
        <v>12929</v>
      </c>
      <c r="L4106" s="31" t="s">
        <v>34</v>
      </c>
      <c r="M4106" s="31" t="s">
        <v>431</v>
      </c>
      <c r="N4106" s="31" t="s">
        <v>431</v>
      </c>
      <c r="O4106" s="31" t="s">
        <v>220</v>
      </c>
      <c r="P4106" s="31"/>
      <c r="Q4106" s="31"/>
      <c r="R4106" s="33"/>
      <c r="S4106" s="34" t="str">
        <f>HYPERLINK("http://www.cnpol.ru/covers/2005.jpg","фото на сайте")</f>
        <v>фото на сайте</v>
      </c>
    </row>
    <row r="4107" spans="1:19" ht="50.1" customHeight="1">
      <c r="A4107" s="31"/>
      <c r="B4107" s="32" t="s">
        <v>15228</v>
      </c>
      <c r="C4107" s="31" t="s">
        <v>400</v>
      </c>
      <c r="D4107" s="31" t="s">
        <v>785</v>
      </c>
      <c r="E4107" s="31" t="s">
        <v>15226</v>
      </c>
      <c r="F4107" s="31" t="s">
        <v>31</v>
      </c>
      <c r="G4107" s="31">
        <v>503</v>
      </c>
      <c r="H4107" s="31">
        <v>10</v>
      </c>
      <c r="I4107" s="31">
        <v>14</v>
      </c>
      <c r="J4107" s="31" t="s">
        <v>15229</v>
      </c>
      <c r="K4107" s="31" t="s">
        <v>33</v>
      </c>
      <c r="L4107" s="31" t="s">
        <v>34</v>
      </c>
      <c r="M4107" s="31">
        <v>288</v>
      </c>
      <c r="N4107" s="31">
        <v>2019</v>
      </c>
      <c r="O4107" s="31">
        <v>252</v>
      </c>
      <c r="P4107" s="31"/>
      <c r="Q4107" s="31"/>
      <c r="R4107" s="33"/>
      <c r="S4107" s="34" t="str">
        <f>HYPERLINK("http://www.cnpol.ru/covers/18761.jpg","фото на сайте")</f>
        <v>фото на сайте</v>
      </c>
    </row>
    <row r="4108" spans="1:19" ht="50.1" customHeight="1">
      <c r="A4108" s="31"/>
      <c r="B4108" s="32" t="s">
        <v>15230</v>
      </c>
      <c r="C4108" s="31" t="s">
        <v>390</v>
      </c>
      <c r="D4108" s="31" t="s">
        <v>3095</v>
      </c>
      <c r="E4108" s="31" t="s">
        <v>15231</v>
      </c>
      <c r="F4108" s="31">
        <v>739</v>
      </c>
      <c r="G4108" s="31">
        <v>86</v>
      </c>
      <c r="H4108" s="31">
        <v>10</v>
      </c>
      <c r="I4108" s="31">
        <v>30</v>
      </c>
      <c r="J4108" s="31" t="s">
        <v>15232</v>
      </c>
      <c r="K4108" s="31" t="s">
        <v>123</v>
      </c>
      <c r="L4108" s="31" t="s">
        <v>56</v>
      </c>
      <c r="M4108" s="31">
        <v>160</v>
      </c>
      <c r="N4108" s="31">
        <v>2017</v>
      </c>
      <c r="O4108" s="31">
        <v>76</v>
      </c>
      <c r="P4108" s="31"/>
      <c r="Q4108" s="31"/>
      <c r="R4108" s="33"/>
      <c r="S4108" s="34" t="str">
        <f>HYPERLINK("http://www.cnpol.ru/covers/17611.jpg","фото на сайте")</f>
        <v>фото на сайте</v>
      </c>
    </row>
    <row r="4109" spans="1:19" ht="50.1" customHeight="1">
      <c r="A4109" s="31"/>
      <c r="B4109" s="32" t="s">
        <v>15233</v>
      </c>
      <c r="C4109" s="31" t="s">
        <v>546</v>
      </c>
      <c r="D4109" s="31" t="s">
        <v>1805</v>
      </c>
      <c r="E4109" s="31" t="s">
        <v>15234</v>
      </c>
      <c r="F4109" s="31">
        <v>217</v>
      </c>
      <c r="G4109" s="31">
        <v>93</v>
      </c>
      <c r="H4109" s="31">
        <v>10</v>
      </c>
      <c r="I4109" s="31">
        <v>30</v>
      </c>
      <c r="J4109" s="31" t="s">
        <v>15235</v>
      </c>
      <c r="K4109" s="31" t="s">
        <v>123</v>
      </c>
      <c r="L4109" s="31" t="s">
        <v>56</v>
      </c>
      <c r="M4109" s="31">
        <v>160</v>
      </c>
      <c r="N4109" s="31">
        <v>2017</v>
      </c>
      <c r="O4109" s="31">
        <v>76</v>
      </c>
      <c r="P4109" s="31"/>
      <c r="Q4109" s="31"/>
      <c r="R4109" s="33"/>
      <c r="S4109" s="34" t="str">
        <f>HYPERLINK("http://www.cnpol.ru/covers/17458.jpg","фото на сайте")</f>
        <v>фото на сайте</v>
      </c>
    </row>
    <row r="4110" spans="1:19" ht="50.1" customHeight="1">
      <c r="A4110" s="31"/>
      <c r="B4110" s="32" t="s">
        <v>15236</v>
      </c>
      <c r="C4110" s="31" t="s">
        <v>400</v>
      </c>
      <c r="D4110" s="31" t="s">
        <v>15237</v>
      </c>
      <c r="E4110" s="31" t="s">
        <v>15238</v>
      </c>
      <c r="F4110" s="31" t="s">
        <v>31</v>
      </c>
      <c r="G4110" s="31">
        <v>503</v>
      </c>
      <c r="H4110" s="31">
        <v>10</v>
      </c>
      <c r="I4110" s="31">
        <v>14</v>
      </c>
      <c r="J4110" s="31" t="s">
        <v>15239</v>
      </c>
      <c r="K4110" s="31" t="s">
        <v>33</v>
      </c>
      <c r="L4110" s="31" t="s">
        <v>34</v>
      </c>
      <c r="M4110" s="31">
        <v>287</v>
      </c>
      <c r="N4110" s="31">
        <v>2021</v>
      </c>
      <c r="O4110" s="31">
        <v>250</v>
      </c>
      <c r="P4110" s="31"/>
      <c r="Q4110" s="31"/>
      <c r="R4110" s="33"/>
      <c r="S4110" s="34" t="str">
        <f>HYPERLINK("http://www.cnpol.ru/covers/19494.jpg","фото на сайте")</f>
        <v>фото на сайте</v>
      </c>
    </row>
    <row r="4111" spans="1:19" ht="50.1" customHeight="1">
      <c r="A4111" s="31"/>
      <c r="B4111" s="32" t="s">
        <v>15240</v>
      </c>
      <c r="C4111" s="31" t="s">
        <v>390</v>
      </c>
      <c r="D4111" s="31" t="s">
        <v>1520</v>
      </c>
      <c r="E4111" s="31" t="s">
        <v>15241</v>
      </c>
      <c r="F4111" s="31">
        <v>673</v>
      </c>
      <c r="G4111" s="31">
        <v>86</v>
      </c>
      <c r="H4111" s="31">
        <v>10</v>
      </c>
      <c r="I4111" s="31">
        <v>30</v>
      </c>
      <c r="J4111" s="31" t="s">
        <v>15242</v>
      </c>
      <c r="K4111" s="31" t="s">
        <v>123</v>
      </c>
      <c r="L4111" s="31" t="s">
        <v>56</v>
      </c>
      <c r="M4111" s="31">
        <v>160</v>
      </c>
      <c r="N4111" s="31">
        <v>2016</v>
      </c>
      <c r="O4111" s="31">
        <v>76</v>
      </c>
      <c r="P4111" s="31"/>
      <c r="Q4111" s="31"/>
      <c r="R4111" s="33"/>
      <c r="S4111" s="34" t="str">
        <f>HYPERLINK("http://www.cnpol.ru/covers/17163.jpg","фото на сайте")</f>
        <v>фото на сайте</v>
      </c>
    </row>
    <row r="4112" spans="1:19" ht="50.1" customHeight="1">
      <c r="A4112" s="31"/>
      <c r="B4112" s="32" t="s">
        <v>15243</v>
      </c>
      <c r="C4112" s="31" t="s">
        <v>546</v>
      </c>
      <c r="D4112" s="31" t="s">
        <v>961</v>
      </c>
      <c r="E4112" s="31" t="s">
        <v>15244</v>
      </c>
      <c r="F4112" s="31">
        <v>351</v>
      </c>
      <c r="G4112" s="31">
        <v>93</v>
      </c>
      <c r="H4112" s="31">
        <v>10</v>
      </c>
      <c r="I4112" s="31">
        <v>30</v>
      </c>
      <c r="J4112" s="31" t="s">
        <v>15245</v>
      </c>
      <c r="K4112" s="31" t="s">
        <v>123</v>
      </c>
      <c r="L4112" s="31" t="s">
        <v>56</v>
      </c>
      <c r="M4112" s="31">
        <v>160</v>
      </c>
      <c r="N4112" s="31">
        <v>2020</v>
      </c>
      <c r="O4112" s="31">
        <v>76</v>
      </c>
      <c r="P4112" s="31"/>
      <c r="Q4112" s="31"/>
      <c r="R4112" s="33"/>
      <c r="S4112" s="34" t="str">
        <f>HYPERLINK("http://www.cnpol.ru/covers/19194.jpg","фото на сайте")</f>
        <v>фото на сайте</v>
      </c>
    </row>
    <row r="4113" spans="1:19" ht="50.1" customHeight="1">
      <c r="A4113" s="31"/>
      <c r="B4113" s="32" t="s">
        <v>15246</v>
      </c>
      <c r="C4113" s="31" t="s">
        <v>390</v>
      </c>
      <c r="D4113" s="31" t="s">
        <v>1461</v>
      </c>
      <c r="E4113" s="31" t="s">
        <v>15247</v>
      </c>
      <c r="F4113" s="31">
        <v>939</v>
      </c>
      <c r="G4113" s="31">
        <v>86</v>
      </c>
      <c r="H4113" s="31">
        <v>10</v>
      </c>
      <c r="I4113" s="31">
        <v>30</v>
      </c>
      <c r="J4113" s="31" t="s">
        <v>15248</v>
      </c>
      <c r="K4113" s="31" t="s">
        <v>123</v>
      </c>
      <c r="L4113" s="31" t="s">
        <v>56</v>
      </c>
      <c r="M4113" s="31">
        <v>160</v>
      </c>
      <c r="N4113" s="31">
        <v>2019</v>
      </c>
      <c r="O4113" s="31">
        <v>76</v>
      </c>
      <c r="P4113" s="31"/>
      <c r="Q4113" s="31"/>
      <c r="R4113" s="33"/>
      <c r="S4113" s="34" t="str">
        <f>HYPERLINK("http://www.cnpol.ru/covers/18929.jpg","фото на сайте")</f>
        <v>фото на сайте</v>
      </c>
    </row>
    <row r="4114" spans="1:19" ht="50.1" customHeight="1">
      <c r="A4114" s="31"/>
      <c r="B4114" s="32" t="s">
        <v>15249</v>
      </c>
      <c r="C4114" s="31" t="s">
        <v>390</v>
      </c>
      <c r="D4114" s="31" t="s">
        <v>9249</v>
      </c>
      <c r="E4114" s="31" t="s">
        <v>15250</v>
      </c>
      <c r="F4114" s="31">
        <v>890</v>
      </c>
      <c r="G4114" s="31">
        <v>86</v>
      </c>
      <c r="H4114" s="31">
        <v>10</v>
      </c>
      <c r="I4114" s="31">
        <v>30</v>
      </c>
      <c r="J4114" s="31" t="s">
        <v>15251</v>
      </c>
      <c r="K4114" s="31" t="s">
        <v>123</v>
      </c>
      <c r="L4114" s="31" t="s">
        <v>56</v>
      </c>
      <c r="M4114" s="31">
        <v>160</v>
      </c>
      <c r="N4114" s="31">
        <v>2019</v>
      </c>
      <c r="O4114" s="31">
        <v>78</v>
      </c>
      <c r="P4114" s="31"/>
      <c r="Q4114" s="31"/>
      <c r="R4114" s="33"/>
      <c r="S4114" s="34" t="str">
        <f>HYPERLINK("http://www.cnpol.ru/covers/18647.jpg","фото на сайте")</f>
        <v>фото на сайте</v>
      </c>
    </row>
    <row r="4115" spans="1:19" ht="50.1" customHeight="1">
      <c r="A4115" s="31" t="s">
        <v>43</v>
      </c>
      <c r="B4115" s="32" t="s">
        <v>15252</v>
      </c>
      <c r="C4115" s="31" t="s">
        <v>390</v>
      </c>
      <c r="D4115" s="31" t="s">
        <v>391</v>
      </c>
      <c r="E4115" s="31" t="s">
        <v>15253</v>
      </c>
      <c r="F4115" s="31">
        <v>1170</v>
      </c>
      <c r="G4115" s="31">
        <v>86</v>
      </c>
      <c r="H4115" s="31">
        <v>10</v>
      </c>
      <c r="I4115" s="31">
        <v>30</v>
      </c>
      <c r="J4115" s="31" t="s">
        <v>15254</v>
      </c>
      <c r="K4115" s="31" t="s">
        <v>123</v>
      </c>
      <c r="L4115" s="31" t="s">
        <v>56</v>
      </c>
      <c r="M4115" s="31">
        <v>159</v>
      </c>
      <c r="N4115" s="31">
        <v>2024</v>
      </c>
      <c r="O4115" s="31">
        <v>76</v>
      </c>
      <c r="P4115" s="31"/>
      <c r="Q4115" s="31"/>
      <c r="R4115" s="33" t="s">
        <v>15255</v>
      </c>
      <c r="S4115" s="34" t="str">
        <f>HYPERLINK("http://www.cnpol.ru/covers/21059.jpg","фото на сайте")</f>
        <v>фото на сайте</v>
      </c>
    </row>
    <row r="4116" spans="1:19" ht="50.1" customHeight="1">
      <c r="A4116" s="31"/>
      <c r="B4116" s="32" t="s">
        <v>15256</v>
      </c>
      <c r="C4116" s="31" t="s">
        <v>390</v>
      </c>
      <c r="D4116" s="31" t="s">
        <v>1698</v>
      </c>
      <c r="E4116" s="31" t="s">
        <v>15257</v>
      </c>
      <c r="F4116" s="31">
        <v>1106</v>
      </c>
      <c r="G4116" s="31">
        <v>86</v>
      </c>
      <c r="H4116" s="31">
        <v>10</v>
      </c>
      <c r="I4116" s="31">
        <v>30</v>
      </c>
      <c r="J4116" s="31" t="s">
        <v>15258</v>
      </c>
      <c r="K4116" s="31" t="s">
        <v>123</v>
      </c>
      <c r="L4116" s="31" t="s">
        <v>56</v>
      </c>
      <c r="M4116" s="31">
        <v>159</v>
      </c>
      <c r="N4116" s="31">
        <v>2022</v>
      </c>
      <c r="O4116" s="31">
        <v>76</v>
      </c>
      <c r="P4116" s="31"/>
      <c r="Q4116" s="31"/>
      <c r="R4116" s="33"/>
      <c r="S4116" s="34" t="str">
        <f>HYPERLINK("http://www.cnpol.ru/covers/20385.jpg","фото на сайте")</f>
        <v>фото на сайте</v>
      </c>
    </row>
    <row r="4117" spans="1:19" ht="50.1" customHeight="1">
      <c r="A4117" s="31"/>
      <c r="B4117" s="32" t="s">
        <v>15259</v>
      </c>
      <c r="C4117" s="31" t="s">
        <v>390</v>
      </c>
      <c r="D4117" s="31" t="s">
        <v>594</v>
      </c>
      <c r="E4117" s="31" t="s">
        <v>15260</v>
      </c>
      <c r="F4117" s="31">
        <v>338</v>
      </c>
      <c r="G4117" s="31">
        <v>86</v>
      </c>
      <c r="H4117" s="31">
        <v>10</v>
      </c>
      <c r="I4117" s="31">
        <v>30</v>
      </c>
      <c r="J4117" s="31" t="s">
        <v>15261</v>
      </c>
      <c r="K4117" s="31" t="s">
        <v>123</v>
      </c>
      <c r="L4117" s="31" t="s">
        <v>56</v>
      </c>
      <c r="M4117" s="31">
        <v>158</v>
      </c>
      <c r="N4117" s="31">
        <v>2013</v>
      </c>
      <c r="O4117" s="31">
        <v>78</v>
      </c>
      <c r="P4117" s="31"/>
      <c r="Q4117" s="31"/>
      <c r="R4117" s="33"/>
      <c r="S4117" s="34" t="str">
        <f>HYPERLINK("http://www.cnpol.ru/covers/14476.jpg","фото на сайте")</f>
        <v>фото на сайте</v>
      </c>
    </row>
    <row r="4118" spans="1:19" ht="50.1" customHeight="1">
      <c r="A4118" s="31"/>
      <c r="B4118" s="32" t="s">
        <v>15262</v>
      </c>
      <c r="C4118" s="31" t="s">
        <v>15263</v>
      </c>
      <c r="D4118" s="31" t="s">
        <v>15264</v>
      </c>
      <c r="E4118" s="31" t="s">
        <v>15265</v>
      </c>
      <c r="F4118" s="31" t="s">
        <v>31</v>
      </c>
      <c r="G4118" s="31">
        <v>389</v>
      </c>
      <c r="H4118" s="31">
        <v>10</v>
      </c>
      <c r="I4118" s="31">
        <v>20</v>
      </c>
      <c r="J4118" s="31" t="s">
        <v>15266</v>
      </c>
      <c r="K4118" s="31" t="s">
        <v>33</v>
      </c>
      <c r="L4118" s="31" t="s">
        <v>34</v>
      </c>
      <c r="M4118" s="31">
        <v>222</v>
      </c>
      <c r="N4118" s="31">
        <v>2009</v>
      </c>
      <c r="O4118" s="31">
        <v>236</v>
      </c>
      <c r="P4118" s="31"/>
      <c r="Q4118" s="31"/>
      <c r="R4118" s="33"/>
      <c r="S4118" s="34" t="str">
        <f>HYPERLINK("http://www.cnpol.ru/covers/11355.jpg","фото на сайте")</f>
        <v>фото на сайте</v>
      </c>
    </row>
    <row r="4119" spans="1:19" ht="50.1" customHeight="1">
      <c r="A4119" s="31"/>
      <c r="B4119" s="32" t="s">
        <v>15267</v>
      </c>
      <c r="C4119" s="31" t="s">
        <v>546</v>
      </c>
      <c r="D4119" s="31" t="s">
        <v>1423</v>
      </c>
      <c r="E4119" s="31" t="s">
        <v>15268</v>
      </c>
      <c r="F4119" s="31">
        <v>310</v>
      </c>
      <c r="G4119" s="31">
        <v>93</v>
      </c>
      <c r="H4119" s="31">
        <v>10</v>
      </c>
      <c r="I4119" s="31">
        <v>30</v>
      </c>
      <c r="J4119" s="31" t="s">
        <v>15269</v>
      </c>
      <c r="K4119" s="31" t="s">
        <v>123</v>
      </c>
      <c r="L4119" s="31" t="s">
        <v>56</v>
      </c>
      <c r="M4119" s="31">
        <v>160</v>
      </c>
      <c r="N4119" s="31">
        <v>2019</v>
      </c>
      <c r="O4119" s="31">
        <v>78</v>
      </c>
      <c r="P4119" s="31"/>
      <c r="Q4119" s="31"/>
      <c r="R4119" s="33"/>
      <c r="S4119" s="34" t="str">
        <f>HYPERLINK("http://www.cnpol.ru/covers/18695.jpg","фото на сайте")</f>
        <v>фото на сайте</v>
      </c>
    </row>
    <row r="4120" spans="1:19" ht="50.1" customHeight="1">
      <c r="A4120" s="31" t="s">
        <v>43</v>
      </c>
      <c r="B4120" s="32" t="s">
        <v>15270</v>
      </c>
      <c r="C4120" s="31" t="s">
        <v>546</v>
      </c>
      <c r="D4120" s="31" t="s">
        <v>9487</v>
      </c>
      <c r="E4120" s="31" t="s">
        <v>15271</v>
      </c>
      <c r="F4120" s="31">
        <v>442</v>
      </c>
      <c r="G4120" s="31">
        <v>93</v>
      </c>
      <c r="H4120" s="31">
        <v>10</v>
      </c>
      <c r="I4120" s="31">
        <v>30</v>
      </c>
      <c r="J4120" s="31" t="s">
        <v>15272</v>
      </c>
      <c r="K4120" s="31" t="s">
        <v>123</v>
      </c>
      <c r="L4120" s="31" t="s">
        <v>56</v>
      </c>
      <c r="M4120" s="31">
        <v>159</v>
      </c>
      <c r="N4120" s="31">
        <v>2024</v>
      </c>
      <c r="O4120" s="31">
        <v>76</v>
      </c>
      <c r="P4120" s="31"/>
      <c r="Q4120" s="31"/>
      <c r="R4120" s="33" t="s">
        <v>15273</v>
      </c>
      <c r="S4120" s="34" t="str">
        <f>HYPERLINK("http://www.cnpol.ru/covers/21055.jpg","фото на сайте")</f>
        <v>фото на сайте</v>
      </c>
    </row>
    <row r="4121" spans="1:19" ht="50.1" customHeight="1">
      <c r="A4121" s="31"/>
      <c r="B4121" s="32" t="s">
        <v>15274</v>
      </c>
      <c r="C4121" s="31" t="s">
        <v>390</v>
      </c>
      <c r="D4121" s="31" t="s">
        <v>547</v>
      </c>
      <c r="E4121" s="31" t="s">
        <v>15275</v>
      </c>
      <c r="F4121" s="31">
        <v>1021</v>
      </c>
      <c r="G4121" s="31">
        <v>86</v>
      </c>
      <c r="H4121" s="31">
        <v>10</v>
      </c>
      <c r="I4121" s="31">
        <v>30</v>
      </c>
      <c r="J4121" s="31" t="s">
        <v>15276</v>
      </c>
      <c r="K4121" s="31" t="s">
        <v>123</v>
      </c>
      <c r="L4121" s="31" t="s">
        <v>56</v>
      </c>
      <c r="M4121" s="31">
        <v>160</v>
      </c>
      <c r="N4121" s="31">
        <v>2021</v>
      </c>
      <c r="O4121" s="31">
        <v>76</v>
      </c>
      <c r="P4121" s="31"/>
      <c r="Q4121" s="31"/>
      <c r="R4121" s="33"/>
      <c r="S4121" s="34" t="str">
        <f>HYPERLINK("http://www.cnpol.ru/covers/19538.jpg","фото на сайте")</f>
        <v>фото на сайте</v>
      </c>
    </row>
    <row r="4122" spans="1:19" ht="50.1" customHeight="1">
      <c r="A4122" s="31"/>
      <c r="B4122" s="32" t="s">
        <v>15277</v>
      </c>
      <c r="C4122" s="31" t="s">
        <v>390</v>
      </c>
      <c r="D4122" s="31" t="s">
        <v>1628</v>
      </c>
      <c r="E4122" s="31" t="s">
        <v>15278</v>
      </c>
      <c r="F4122" s="31">
        <v>1145</v>
      </c>
      <c r="G4122" s="31">
        <v>86</v>
      </c>
      <c r="H4122" s="31">
        <v>10</v>
      </c>
      <c r="I4122" s="31">
        <v>30</v>
      </c>
      <c r="J4122" s="31" t="s">
        <v>15279</v>
      </c>
      <c r="K4122" s="31" t="s">
        <v>123</v>
      </c>
      <c r="L4122" s="31" t="s">
        <v>56</v>
      </c>
      <c r="M4122" s="31">
        <v>159</v>
      </c>
      <c r="N4122" s="31">
        <v>2023</v>
      </c>
      <c r="O4122" s="31">
        <v>76</v>
      </c>
      <c r="P4122" s="31"/>
      <c r="Q4122" s="31"/>
      <c r="R4122" s="33" t="s">
        <v>15280</v>
      </c>
      <c r="S4122" s="34" t="str">
        <f>HYPERLINK("http://www.cnpol.ru/covers/20712.jpg","фото на сайте")</f>
        <v>фото на сайте</v>
      </c>
    </row>
    <row r="4123" spans="1:19" ht="50.1" customHeight="1">
      <c r="A4123" s="31"/>
      <c r="B4123" s="32" t="s">
        <v>15281</v>
      </c>
      <c r="C4123" s="31" t="s">
        <v>546</v>
      </c>
      <c r="D4123" s="31" t="s">
        <v>4519</v>
      </c>
      <c r="E4123" s="31" t="s">
        <v>15282</v>
      </c>
      <c r="F4123" s="31">
        <v>415</v>
      </c>
      <c r="G4123" s="31">
        <v>93</v>
      </c>
      <c r="H4123" s="31">
        <v>10</v>
      </c>
      <c r="I4123" s="31">
        <v>30</v>
      </c>
      <c r="J4123" s="31" t="s">
        <v>15283</v>
      </c>
      <c r="K4123" s="31" t="s">
        <v>123</v>
      </c>
      <c r="L4123" s="31" t="s">
        <v>56</v>
      </c>
      <c r="M4123" s="31">
        <v>159</v>
      </c>
      <c r="N4123" s="31">
        <v>2022</v>
      </c>
      <c r="O4123" s="31">
        <v>76</v>
      </c>
      <c r="P4123" s="31"/>
      <c r="Q4123" s="31"/>
      <c r="R4123" s="33" t="s">
        <v>15284</v>
      </c>
      <c r="S4123" s="34" t="str">
        <f>HYPERLINK("http://www.cnpol.ru/covers/20439.jpg","фото на сайте")</f>
        <v>фото на сайте</v>
      </c>
    </row>
    <row r="4124" spans="1:19" ht="50.1" customHeight="1">
      <c r="A4124" s="31"/>
      <c r="B4124" s="32" t="s">
        <v>15285</v>
      </c>
      <c r="C4124" s="31" t="s">
        <v>546</v>
      </c>
      <c r="D4124" s="31" t="s">
        <v>3986</v>
      </c>
      <c r="E4124" s="31" t="s">
        <v>15286</v>
      </c>
      <c r="F4124" s="31">
        <v>409</v>
      </c>
      <c r="G4124" s="31">
        <v>93</v>
      </c>
      <c r="H4124" s="31">
        <v>10</v>
      </c>
      <c r="I4124" s="31">
        <v>30</v>
      </c>
      <c r="J4124" s="31" t="s">
        <v>15287</v>
      </c>
      <c r="K4124" s="31" t="s">
        <v>123</v>
      </c>
      <c r="L4124" s="31" t="s">
        <v>56</v>
      </c>
      <c r="M4124" s="31">
        <v>159</v>
      </c>
      <c r="N4124" s="31">
        <v>2022</v>
      </c>
      <c r="O4124" s="31">
        <v>76</v>
      </c>
      <c r="P4124" s="31"/>
      <c r="Q4124" s="31"/>
      <c r="R4124" s="33" t="s">
        <v>15288</v>
      </c>
      <c r="S4124" s="34" t="str">
        <f>HYPERLINK("http://www.cnpol.ru/covers/20351.jpg","фото на сайте")</f>
        <v>фото на сайте</v>
      </c>
    </row>
    <row r="4125" spans="1:19" ht="50.1" customHeight="1">
      <c r="A4125" s="31"/>
      <c r="B4125" s="32" t="s">
        <v>15289</v>
      </c>
      <c r="C4125" s="31" t="s">
        <v>546</v>
      </c>
      <c r="D4125" s="31" t="s">
        <v>3170</v>
      </c>
      <c r="E4125" s="31" t="s">
        <v>15290</v>
      </c>
      <c r="F4125" s="31">
        <v>166</v>
      </c>
      <c r="G4125" s="31">
        <v>93</v>
      </c>
      <c r="H4125" s="31">
        <v>10</v>
      </c>
      <c r="I4125" s="31">
        <v>30</v>
      </c>
      <c r="J4125" s="31" t="s">
        <v>15291</v>
      </c>
      <c r="K4125" s="31" t="s">
        <v>123</v>
      </c>
      <c r="L4125" s="31" t="s">
        <v>56</v>
      </c>
      <c r="M4125" s="31">
        <v>160</v>
      </c>
      <c r="N4125" s="31">
        <v>2016</v>
      </c>
      <c r="O4125" s="31">
        <v>76</v>
      </c>
      <c r="P4125" s="31"/>
      <c r="Q4125" s="31"/>
      <c r="R4125" s="33"/>
      <c r="S4125" s="34" t="str">
        <f>HYPERLINK("http://www.cnpol.ru/covers/16692.jpg","фото на сайте")</f>
        <v>фото на сайте</v>
      </c>
    </row>
    <row r="4126" spans="1:19" ht="50.1" customHeight="1">
      <c r="A4126" s="31"/>
      <c r="B4126" s="32" t="s">
        <v>15292</v>
      </c>
      <c r="C4126" s="31" t="s">
        <v>390</v>
      </c>
      <c r="D4126" s="31" t="s">
        <v>4657</v>
      </c>
      <c r="E4126" s="31" t="s">
        <v>15293</v>
      </c>
      <c r="F4126" s="31">
        <v>826</v>
      </c>
      <c r="G4126" s="31">
        <v>86</v>
      </c>
      <c r="H4126" s="31">
        <v>10</v>
      </c>
      <c r="I4126" s="31">
        <v>30</v>
      </c>
      <c r="J4126" s="31" t="s">
        <v>15294</v>
      </c>
      <c r="K4126" s="31" t="s">
        <v>123</v>
      </c>
      <c r="L4126" s="31" t="s">
        <v>56</v>
      </c>
      <c r="M4126" s="31">
        <v>160</v>
      </c>
      <c r="N4126" s="31">
        <v>2018</v>
      </c>
      <c r="O4126" s="31">
        <v>76</v>
      </c>
      <c r="P4126" s="31"/>
      <c r="Q4126" s="31"/>
      <c r="R4126" s="33"/>
      <c r="S4126" s="34" t="str">
        <f>HYPERLINK("http://www.cnpol.ru/covers/18254.jpg","фото на сайте")</f>
        <v>фото на сайте</v>
      </c>
    </row>
    <row r="4127" spans="1:19" ht="50.1" customHeight="1">
      <c r="A4127" s="31"/>
      <c r="B4127" s="32" t="s">
        <v>15295</v>
      </c>
      <c r="C4127" s="31" t="s">
        <v>390</v>
      </c>
      <c r="D4127" s="31" t="s">
        <v>1638</v>
      </c>
      <c r="E4127" s="31" t="s">
        <v>15296</v>
      </c>
      <c r="F4127" s="31">
        <v>895</v>
      </c>
      <c r="G4127" s="31">
        <v>86</v>
      </c>
      <c r="H4127" s="31">
        <v>10</v>
      </c>
      <c r="I4127" s="31">
        <v>30</v>
      </c>
      <c r="J4127" s="31" t="s">
        <v>15297</v>
      </c>
      <c r="K4127" s="31" t="s">
        <v>123</v>
      </c>
      <c r="L4127" s="31" t="s">
        <v>56</v>
      </c>
      <c r="M4127" s="31">
        <v>160</v>
      </c>
      <c r="N4127" s="31">
        <v>2019</v>
      </c>
      <c r="O4127" s="31">
        <v>78</v>
      </c>
      <c r="P4127" s="31"/>
      <c r="Q4127" s="31"/>
      <c r="R4127" s="33"/>
      <c r="S4127" s="34" t="str">
        <f>HYPERLINK("http://www.cnpol.ru/covers/18675.jpg","фото на сайте")</f>
        <v>фото на сайте</v>
      </c>
    </row>
    <row r="4128" spans="1:19" ht="50.1" customHeight="1">
      <c r="A4128" s="31"/>
      <c r="B4128" s="32" t="s">
        <v>15298</v>
      </c>
      <c r="C4128" s="31" t="s">
        <v>390</v>
      </c>
      <c r="D4128" s="31" t="s">
        <v>2359</v>
      </c>
      <c r="E4128" s="31" t="s">
        <v>15299</v>
      </c>
      <c r="F4128" s="31">
        <v>1074</v>
      </c>
      <c r="G4128" s="31">
        <v>86</v>
      </c>
      <c r="H4128" s="31">
        <v>10</v>
      </c>
      <c r="I4128" s="31">
        <v>30</v>
      </c>
      <c r="J4128" s="31" t="s">
        <v>15300</v>
      </c>
      <c r="K4128" s="31" t="s">
        <v>123</v>
      </c>
      <c r="L4128" s="31" t="s">
        <v>56</v>
      </c>
      <c r="M4128" s="31">
        <v>159</v>
      </c>
      <c r="N4128" s="31">
        <v>2022</v>
      </c>
      <c r="O4128" s="31">
        <v>76</v>
      </c>
      <c r="P4128" s="31"/>
      <c r="Q4128" s="31"/>
      <c r="R4128" s="33"/>
      <c r="S4128" s="34" t="str">
        <f>HYPERLINK("http://www.cnpol.ru/covers/20012.jpg","фото на сайте")</f>
        <v>фото на сайте</v>
      </c>
    </row>
    <row r="4129" spans="1:19" ht="50.1" customHeight="1">
      <c r="A4129" s="31"/>
      <c r="B4129" s="32" t="s">
        <v>15301</v>
      </c>
      <c r="C4129" s="31" t="s">
        <v>546</v>
      </c>
      <c r="D4129" s="31" t="s">
        <v>273</v>
      </c>
      <c r="E4129" s="31" t="s">
        <v>15302</v>
      </c>
      <c r="F4129" s="31">
        <v>259</v>
      </c>
      <c r="G4129" s="31">
        <v>93</v>
      </c>
      <c r="H4129" s="31">
        <v>10</v>
      </c>
      <c r="I4129" s="31">
        <v>30</v>
      </c>
      <c r="J4129" s="31" t="s">
        <v>15303</v>
      </c>
      <c r="K4129" s="31" t="s">
        <v>123</v>
      </c>
      <c r="L4129" s="31" t="s">
        <v>56</v>
      </c>
      <c r="M4129" s="31">
        <v>160</v>
      </c>
      <c r="N4129" s="31">
        <v>2018</v>
      </c>
      <c r="O4129" s="31">
        <v>76</v>
      </c>
      <c r="P4129" s="31"/>
      <c r="Q4129" s="31"/>
      <c r="R4129" s="33"/>
      <c r="S4129" s="34" t="str">
        <f>HYPERLINK("http://www.cnpol.ru/covers/18016.jpg","фото на сайте")</f>
        <v>фото на сайте</v>
      </c>
    </row>
    <row r="4130" spans="1:19" ht="50.1" customHeight="1">
      <c r="A4130" s="31"/>
      <c r="B4130" s="32" t="s">
        <v>15304</v>
      </c>
      <c r="C4130" s="31" t="s">
        <v>390</v>
      </c>
      <c r="D4130" s="31" t="s">
        <v>1846</v>
      </c>
      <c r="E4130" s="31" t="s">
        <v>15305</v>
      </c>
      <c r="F4130" s="31">
        <v>999</v>
      </c>
      <c r="G4130" s="31">
        <v>86</v>
      </c>
      <c r="H4130" s="31">
        <v>10</v>
      </c>
      <c r="I4130" s="31">
        <v>30</v>
      </c>
      <c r="J4130" s="31" t="s">
        <v>15306</v>
      </c>
      <c r="K4130" s="31" t="s">
        <v>123</v>
      </c>
      <c r="L4130" s="31" t="s">
        <v>56</v>
      </c>
      <c r="M4130" s="31">
        <v>160</v>
      </c>
      <c r="N4130" s="31">
        <v>2020</v>
      </c>
      <c r="O4130" s="31">
        <v>76</v>
      </c>
      <c r="P4130" s="31"/>
      <c r="Q4130" s="31"/>
      <c r="R4130" s="33"/>
      <c r="S4130" s="34" t="str">
        <f>HYPERLINK("http://www.cnpol.ru/covers/19357.jpg","фото на сайте")</f>
        <v>фото на сайте</v>
      </c>
    </row>
    <row r="4131" spans="1:19" ht="50.1" customHeight="1">
      <c r="A4131" s="31"/>
      <c r="B4131" s="32" t="s">
        <v>15307</v>
      </c>
      <c r="C4131" s="31" t="s">
        <v>546</v>
      </c>
      <c r="D4131" s="31" t="s">
        <v>3610</v>
      </c>
      <c r="E4131" s="31" t="s">
        <v>15308</v>
      </c>
      <c r="F4131" s="31">
        <v>424</v>
      </c>
      <c r="G4131" s="31">
        <v>93</v>
      </c>
      <c r="H4131" s="31">
        <v>10</v>
      </c>
      <c r="I4131" s="31">
        <v>30</v>
      </c>
      <c r="J4131" s="31" t="s">
        <v>15309</v>
      </c>
      <c r="K4131" s="31" t="s">
        <v>123</v>
      </c>
      <c r="L4131" s="31" t="s">
        <v>56</v>
      </c>
      <c r="M4131" s="31">
        <v>159</v>
      </c>
      <c r="N4131" s="31">
        <v>2023</v>
      </c>
      <c r="O4131" s="31">
        <v>76</v>
      </c>
      <c r="P4131" s="31"/>
      <c r="Q4131" s="31"/>
      <c r="R4131" s="33" t="s">
        <v>15310</v>
      </c>
      <c r="S4131" s="34" t="str">
        <f>HYPERLINK("http://www.cnpol.ru/covers/20577.jpg","фото на сайте")</f>
        <v>фото на сайте</v>
      </c>
    </row>
    <row r="4132" spans="1:19" ht="50.1" customHeight="1">
      <c r="A4132" s="31"/>
      <c r="B4132" s="32" t="s">
        <v>15311</v>
      </c>
      <c r="C4132" s="31" t="s">
        <v>546</v>
      </c>
      <c r="D4132" s="31" t="s">
        <v>8716</v>
      </c>
      <c r="E4132" s="31" t="s">
        <v>15312</v>
      </c>
      <c r="F4132" s="31">
        <v>260</v>
      </c>
      <c r="G4132" s="31">
        <v>93</v>
      </c>
      <c r="H4132" s="31">
        <v>10</v>
      </c>
      <c r="I4132" s="31">
        <v>30</v>
      </c>
      <c r="J4132" s="31" t="s">
        <v>15313</v>
      </c>
      <c r="K4132" s="31" t="s">
        <v>123</v>
      </c>
      <c r="L4132" s="31" t="s">
        <v>56</v>
      </c>
      <c r="M4132" s="31">
        <v>160</v>
      </c>
      <c r="N4132" s="31">
        <v>2018</v>
      </c>
      <c r="O4132" s="31">
        <v>76</v>
      </c>
      <c r="P4132" s="31"/>
      <c r="Q4132" s="31"/>
      <c r="R4132" s="33"/>
      <c r="S4132" s="34" t="str">
        <f>HYPERLINK("http://www.cnpol.ru/covers/18040.jpg","фото на сайте")</f>
        <v>фото на сайте</v>
      </c>
    </row>
    <row r="4133" spans="1:19" ht="50.1" customHeight="1">
      <c r="A4133" s="31"/>
      <c r="B4133" s="32" t="s">
        <v>15314</v>
      </c>
      <c r="C4133" s="31" t="s">
        <v>546</v>
      </c>
      <c r="D4133" s="31" t="s">
        <v>2638</v>
      </c>
      <c r="E4133" s="31" t="s">
        <v>15315</v>
      </c>
      <c r="F4133" s="31">
        <v>332</v>
      </c>
      <c r="G4133" s="31">
        <v>93</v>
      </c>
      <c r="H4133" s="31">
        <v>10</v>
      </c>
      <c r="I4133" s="31">
        <v>30</v>
      </c>
      <c r="J4133" s="31" t="s">
        <v>15316</v>
      </c>
      <c r="K4133" s="31" t="s">
        <v>123</v>
      </c>
      <c r="L4133" s="31" t="s">
        <v>56</v>
      </c>
      <c r="M4133" s="31">
        <v>160</v>
      </c>
      <c r="N4133" s="31">
        <v>2019</v>
      </c>
      <c r="O4133" s="31">
        <v>76</v>
      </c>
      <c r="P4133" s="31"/>
      <c r="Q4133" s="31"/>
      <c r="R4133" s="33"/>
      <c r="S4133" s="34" t="str">
        <f>HYPERLINK("http://www.cnpol.ru/covers/18956.jpg","фото на сайте")</f>
        <v>фото на сайте</v>
      </c>
    </row>
    <row r="4134" spans="1:19" ht="50.1" customHeight="1">
      <c r="A4134" s="31"/>
      <c r="B4134" s="32" t="s">
        <v>15317</v>
      </c>
      <c r="C4134" s="31" t="s">
        <v>390</v>
      </c>
      <c r="D4134" s="31" t="s">
        <v>4536</v>
      </c>
      <c r="E4134" s="31" t="s">
        <v>15318</v>
      </c>
      <c r="F4134" s="31">
        <v>936</v>
      </c>
      <c r="G4134" s="31">
        <v>86</v>
      </c>
      <c r="H4134" s="31">
        <v>10</v>
      </c>
      <c r="I4134" s="31">
        <v>30</v>
      </c>
      <c r="J4134" s="31" t="s">
        <v>15319</v>
      </c>
      <c r="K4134" s="31" t="s">
        <v>123</v>
      </c>
      <c r="L4134" s="31" t="s">
        <v>56</v>
      </c>
      <c r="M4134" s="31">
        <v>160</v>
      </c>
      <c r="N4134" s="31">
        <v>2019</v>
      </c>
      <c r="O4134" s="31">
        <v>76</v>
      </c>
      <c r="P4134" s="31"/>
      <c r="Q4134" s="31"/>
      <c r="R4134" s="33"/>
      <c r="S4134" s="34" t="str">
        <f>HYPERLINK("http://www.cnpol.ru/covers/18923.jpg","фото на сайте")</f>
        <v>фото на сайте</v>
      </c>
    </row>
    <row r="4135" spans="1:19" ht="50.1" customHeight="1">
      <c r="A4135" s="31"/>
      <c r="B4135" s="32" t="s">
        <v>15320</v>
      </c>
      <c r="C4135" s="31" t="s">
        <v>546</v>
      </c>
      <c r="D4135" s="31" t="s">
        <v>842</v>
      </c>
      <c r="E4135" s="31" t="s">
        <v>15321</v>
      </c>
      <c r="F4135" s="31">
        <v>275</v>
      </c>
      <c r="G4135" s="31">
        <v>93</v>
      </c>
      <c r="H4135" s="31">
        <v>10</v>
      </c>
      <c r="I4135" s="31">
        <v>30</v>
      </c>
      <c r="J4135" s="31" t="s">
        <v>15322</v>
      </c>
      <c r="K4135" s="31" t="s">
        <v>123</v>
      </c>
      <c r="L4135" s="31" t="s">
        <v>56</v>
      </c>
      <c r="M4135" s="31">
        <v>160</v>
      </c>
      <c r="N4135" s="31">
        <v>2018</v>
      </c>
      <c r="O4135" s="31">
        <v>76</v>
      </c>
      <c r="P4135" s="31"/>
      <c r="Q4135" s="31"/>
      <c r="R4135" s="33"/>
      <c r="S4135" s="34" t="str">
        <f>HYPERLINK("http://www.cnpol.ru/covers/18267.jpg","фото на сайте")</f>
        <v>фото на сайте</v>
      </c>
    </row>
    <row r="4136" spans="1:19" ht="50.1" customHeight="1">
      <c r="A4136" s="31"/>
      <c r="B4136" s="32" t="s">
        <v>15323</v>
      </c>
      <c r="C4136" s="31" t="s">
        <v>390</v>
      </c>
      <c r="D4136" s="31" t="s">
        <v>765</v>
      </c>
      <c r="E4136" s="31" t="s">
        <v>15324</v>
      </c>
      <c r="F4136" s="31">
        <v>915</v>
      </c>
      <c r="G4136" s="31">
        <v>86</v>
      </c>
      <c r="H4136" s="31">
        <v>10</v>
      </c>
      <c r="I4136" s="31">
        <v>30</v>
      </c>
      <c r="J4136" s="31" t="s">
        <v>15325</v>
      </c>
      <c r="K4136" s="31" t="s">
        <v>123</v>
      </c>
      <c r="L4136" s="31" t="s">
        <v>56</v>
      </c>
      <c r="M4136" s="31">
        <v>160</v>
      </c>
      <c r="N4136" s="31">
        <v>2019</v>
      </c>
      <c r="O4136" s="31">
        <v>76</v>
      </c>
      <c r="P4136" s="31"/>
      <c r="Q4136" s="31"/>
      <c r="R4136" s="33"/>
      <c r="S4136" s="34" t="str">
        <f>HYPERLINK("http://www.cnpol.ru/covers/18802.jpg","фото на сайте")</f>
        <v>фото на сайте</v>
      </c>
    </row>
    <row r="4137" spans="1:19" ht="50.1" customHeight="1">
      <c r="A4137" s="31"/>
      <c r="B4137" s="32" t="s">
        <v>15326</v>
      </c>
      <c r="C4137" s="31" t="s">
        <v>546</v>
      </c>
      <c r="D4137" s="31" t="s">
        <v>3610</v>
      </c>
      <c r="E4137" s="31" t="s">
        <v>15327</v>
      </c>
      <c r="F4137" s="31">
        <v>397</v>
      </c>
      <c r="G4137" s="31">
        <v>93</v>
      </c>
      <c r="H4137" s="31">
        <v>10</v>
      </c>
      <c r="I4137" s="31">
        <v>30</v>
      </c>
      <c r="J4137" s="31" t="s">
        <v>15328</v>
      </c>
      <c r="K4137" s="31" t="s">
        <v>123</v>
      </c>
      <c r="L4137" s="31" t="s">
        <v>56</v>
      </c>
      <c r="M4137" s="31">
        <v>159</v>
      </c>
      <c r="N4137" s="31">
        <v>2022</v>
      </c>
      <c r="O4137" s="31">
        <v>76</v>
      </c>
      <c r="P4137" s="31"/>
      <c r="Q4137" s="31"/>
      <c r="R4137" s="33"/>
      <c r="S4137" s="34" t="str">
        <f>HYPERLINK("http://www.cnpol.ru/covers/20090.jpg","фото на сайте")</f>
        <v>фото на сайте</v>
      </c>
    </row>
    <row r="4138" spans="1:19" ht="50.1" customHeight="1">
      <c r="A4138" s="31"/>
      <c r="B4138" s="32" t="s">
        <v>15329</v>
      </c>
      <c r="C4138" s="31" t="s">
        <v>546</v>
      </c>
      <c r="D4138" s="31" t="s">
        <v>1842</v>
      </c>
      <c r="E4138" s="31" t="s">
        <v>15330</v>
      </c>
      <c r="F4138" s="31">
        <v>353</v>
      </c>
      <c r="G4138" s="31">
        <v>93</v>
      </c>
      <c r="H4138" s="31">
        <v>10</v>
      </c>
      <c r="I4138" s="31">
        <v>30</v>
      </c>
      <c r="J4138" s="31" t="s">
        <v>15331</v>
      </c>
      <c r="K4138" s="31" t="s">
        <v>123</v>
      </c>
      <c r="L4138" s="31" t="s">
        <v>56</v>
      </c>
      <c r="M4138" s="31">
        <v>160</v>
      </c>
      <c r="N4138" s="31">
        <v>2020</v>
      </c>
      <c r="O4138" s="31">
        <v>76</v>
      </c>
      <c r="P4138" s="31"/>
      <c r="Q4138" s="31"/>
      <c r="R4138" s="33"/>
      <c r="S4138" s="34" t="str">
        <f>HYPERLINK("http://www.cnpol.ru/covers/19241.jpg","фото на сайте")</f>
        <v>фото на сайте</v>
      </c>
    </row>
    <row r="4139" spans="1:19" ht="50.1" customHeight="1">
      <c r="A4139" s="31"/>
      <c r="B4139" s="32" t="s">
        <v>15332</v>
      </c>
      <c r="C4139" s="31" t="s">
        <v>546</v>
      </c>
      <c r="D4139" s="31" t="s">
        <v>1292</v>
      </c>
      <c r="E4139" s="31" t="s">
        <v>15333</v>
      </c>
      <c r="F4139" s="31">
        <v>121</v>
      </c>
      <c r="G4139" s="31">
        <v>93</v>
      </c>
      <c r="H4139" s="31">
        <v>10</v>
      </c>
      <c r="I4139" s="31">
        <v>30</v>
      </c>
      <c r="J4139" s="31" t="s">
        <v>15334</v>
      </c>
      <c r="K4139" s="31" t="s">
        <v>123</v>
      </c>
      <c r="L4139" s="31" t="s">
        <v>56</v>
      </c>
      <c r="M4139" s="31">
        <v>158</v>
      </c>
      <c r="N4139" s="31">
        <v>2015</v>
      </c>
      <c r="O4139" s="31">
        <v>76</v>
      </c>
      <c r="P4139" s="31"/>
      <c r="Q4139" s="31"/>
      <c r="R4139" s="33"/>
      <c r="S4139" s="34" t="str">
        <f>HYPERLINK("http://www.cnpol.ru/covers/16011.jpg","фото на сайте")</f>
        <v>фото на сайте</v>
      </c>
    </row>
    <row r="4140" spans="1:19" ht="50.1" customHeight="1">
      <c r="A4140" s="31"/>
      <c r="B4140" s="32" t="s">
        <v>15335</v>
      </c>
      <c r="C4140" s="31" t="s">
        <v>390</v>
      </c>
      <c r="D4140" s="31" t="s">
        <v>594</v>
      </c>
      <c r="E4140" s="31" t="s">
        <v>15336</v>
      </c>
      <c r="F4140" s="31">
        <v>1130</v>
      </c>
      <c r="G4140" s="31">
        <v>86</v>
      </c>
      <c r="H4140" s="31">
        <v>10</v>
      </c>
      <c r="I4140" s="31">
        <v>30</v>
      </c>
      <c r="J4140" s="31" t="s">
        <v>15337</v>
      </c>
      <c r="K4140" s="31" t="s">
        <v>123</v>
      </c>
      <c r="L4140" s="31" t="s">
        <v>56</v>
      </c>
      <c r="M4140" s="31">
        <v>159</v>
      </c>
      <c r="N4140" s="31">
        <v>2023</v>
      </c>
      <c r="O4140" s="31">
        <v>76</v>
      </c>
      <c r="P4140" s="31"/>
      <c r="Q4140" s="31"/>
      <c r="R4140" s="33" t="s">
        <v>15338</v>
      </c>
      <c r="S4140" s="34" t="str">
        <f>HYPERLINK("http://www.cnpol.ru/covers/20542.jpg","фото на сайте")</f>
        <v>фото на сайте</v>
      </c>
    </row>
    <row r="4141" spans="1:19" ht="50.1" customHeight="1">
      <c r="A4141" s="31"/>
      <c r="B4141" s="32" t="s">
        <v>15339</v>
      </c>
      <c r="C4141" s="31" t="s">
        <v>1516</v>
      </c>
      <c r="D4141" s="31" t="s">
        <v>1850</v>
      </c>
      <c r="E4141" s="31" t="s">
        <v>15340</v>
      </c>
      <c r="F4141" s="31">
        <v>44</v>
      </c>
      <c r="G4141" s="31">
        <v>106</v>
      </c>
      <c r="H4141" s="31">
        <v>10</v>
      </c>
      <c r="I4141" s="31">
        <v>30</v>
      </c>
      <c r="J4141" s="31" t="s">
        <v>15341</v>
      </c>
      <c r="K4141" s="31" t="s">
        <v>123</v>
      </c>
      <c r="L4141" s="31" t="s">
        <v>56</v>
      </c>
      <c r="M4141" s="31">
        <v>159</v>
      </c>
      <c r="N4141" s="31">
        <v>2023</v>
      </c>
      <c r="O4141" s="31">
        <v>76</v>
      </c>
      <c r="P4141" s="31"/>
      <c r="Q4141" s="31"/>
      <c r="R4141" s="33" t="s">
        <v>15342</v>
      </c>
      <c r="S4141" s="34" t="str">
        <f>HYPERLINK("http://www.cnpol.ru/covers/20868.jpg","фото на сайте")</f>
        <v>фото на сайте</v>
      </c>
    </row>
    <row r="4142" spans="1:19" ht="50.1" customHeight="1">
      <c r="A4142" s="31"/>
      <c r="B4142" s="32" t="s">
        <v>15343</v>
      </c>
      <c r="C4142" s="31" t="s">
        <v>390</v>
      </c>
      <c r="D4142" s="31" t="s">
        <v>11316</v>
      </c>
      <c r="E4142" s="31" t="s">
        <v>15344</v>
      </c>
      <c r="F4142" s="31">
        <v>1058</v>
      </c>
      <c r="G4142" s="31">
        <v>86</v>
      </c>
      <c r="H4142" s="31">
        <v>10</v>
      </c>
      <c r="I4142" s="31">
        <v>30</v>
      </c>
      <c r="J4142" s="31" t="s">
        <v>15345</v>
      </c>
      <c r="K4142" s="31" t="s">
        <v>123</v>
      </c>
      <c r="L4142" s="31" t="s">
        <v>56</v>
      </c>
      <c r="M4142" s="31">
        <v>159</v>
      </c>
      <c r="N4142" s="31">
        <v>2021</v>
      </c>
      <c r="O4142" s="31">
        <v>76</v>
      </c>
      <c r="P4142" s="31"/>
      <c r="Q4142" s="31"/>
      <c r="R4142" s="33"/>
      <c r="S4142" s="34" t="str">
        <f>HYPERLINK("http://www.cnpol.ru/covers/19888.jpg","фото на сайте")</f>
        <v>фото на сайте</v>
      </c>
    </row>
    <row r="4143" spans="1:19" ht="50.1" customHeight="1">
      <c r="A4143" s="31"/>
      <c r="B4143" s="32" t="s">
        <v>15346</v>
      </c>
      <c r="C4143" s="31" t="s">
        <v>546</v>
      </c>
      <c r="D4143" s="31" t="s">
        <v>3610</v>
      </c>
      <c r="E4143" s="31" t="s">
        <v>15347</v>
      </c>
      <c r="F4143" s="31">
        <v>434</v>
      </c>
      <c r="G4143" s="31">
        <v>93</v>
      </c>
      <c r="H4143" s="31">
        <v>10</v>
      </c>
      <c r="I4143" s="31">
        <v>30</v>
      </c>
      <c r="J4143" s="31" t="s">
        <v>15348</v>
      </c>
      <c r="K4143" s="31" t="s">
        <v>123</v>
      </c>
      <c r="L4143" s="31" t="s">
        <v>56</v>
      </c>
      <c r="M4143" s="31">
        <v>159</v>
      </c>
      <c r="N4143" s="31">
        <v>2023</v>
      </c>
      <c r="O4143" s="31">
        <v>76</v>
      </c>
      <c r="P4143" s="31"/>
      <c r="Q4143" s="31"/>
      <c r="R4143" s="33" t="s">
        <v>15349</v>
      </c>
      <c r="S4143" s="34" t="str">
        <f>HYPERLINK("http://www.cnpol.ru/covers/20823.jpg","фото на сайте")</f>
        <v>фото на сайте</v>
      </c>
    </row>
    <row r="4144" spans="1:19" ht="50.1" customHeight="1">
      <c r="A4144" s="31"/>
      <c r="B4144" s="32" t="s">
        <v>15350</v>
      </c>
      <c r="C4144" s="31" t="s">
        <v>390</v>
      </c>
      <c r="D4144" s="31" t="s">
        <v>1801</v>
      </c>
      <c r="E4144" s="31" t="s">
        <v>15351</v>
      </c>
      <c r="F4144" s="31">
        <v>329</v>
      </c>
      <c r="G4144" s="31">
        <v>86</v>
      </c>
      <c r="H4144" s="31">
        <v>10</v>
      </c>
      <c r="I4144" s="31">
        <v>30</v>
      </c>
      <c r="J4144" s="31" t="s">
        <v>15352</v>
      </c>
      <c r="K4144" s="31" t="s">
        <v>123</v>
      </c>
      <c r="L4144" s="31" t="s">
        <v>56</v>
      </c>
      <c r="M4144" s="31">
        <v>158</v>
      </c>
      <c r="N4144" s="31">
        <v>2013</v>
      </c>
      <c r="O4144" s="31">
        <v>76</v>
      </c>
      <c r="P4144" s="31"/>
      <c r="Q4144" s="31"/>
      <c r="R4144" s="33"/>
      <c r="S4144" s="34" t="str">
        <f>HYPERLINK("http://www.cnpol.ru/covers/14378.jpg","фото на сайте")</f>
        <v>фото на сайте</v>
      </c>
    </row>
    <row r="4145" spans="1:19" ht="50.1" customHeight="1">
      <c r="A4145" s="31" t="s">
        <v>43</v>
      </c>
      <c r="B4145" s="32" t="s">
        <v>15353</v>
      </c>
      <c r="C4145" s="31" t="s">
        <v>143</v>
      </c>
      <c r="D4145" s="31" t="s">
        <v>15354</v>
      </c>
      <c r="E4145" s="31" t="s">
        <v>15355</v>
      </c>
      <c r="F4145" s="31" t="s">
        <v>31</v>
      </c>
      <c r="G4145" s="35">
        <v>1107</v>
      </c>
      <c r="H4145" s="31">
        <v>10</v>
      </c>
      <c r="I4145" s="31">
        <v>5</v>
      </c>
      <c r="J4145" s="31" t="s">
        <v>15356</v>
      </c>
      <c r="K4145" s="31" t="s">
        <v>33</v>
      </c>
      <c r="L4145" s="31" t="s">
        <v>34</v>
      </c>
      <c r="M4145" s="31">
        <v>415</v>
      </c>
      <c r="N4145" s="31">
        <v>2025</v>
      </c>
      <c r="O4145" s="31">
        <v>716</v>
      </c>
      <c r="P4145" s="31"/>
      <c r="Q4145" s="31"/>
      <c r="R4145" s="33" t="s">
        <v>15357</v>
      </c>
      <c r="S4145" s="34" t="str">
        <f>HYPERLINK("http://www.cnpol.ru/covers/21472.jpg","фото на сайте")</f>
        <v>фото на сайте</v>
      </c>
    </row>
    <row r="4146" spans="1:19" ht="50.1" customHeight="1">
      <c r="A4146" s="31" t="s">
        <v>43</v>
      </c>
      <c r="B4146" s="32" t="s">
        <v>15358</v>
      </c>
      <c r="C4146" s="31" t="s">
        <v>1050</v>
      </c>
      <c r="D4146" s="31" t="s">
        <v>2477</v>
      </c>
      <c r="E4146" s="31" t="s">
        <v>15359</v>
      </c>
      <c r="F4146" s="31" t="s">
        <v>31</v>
      </c>
      <c r="G4146" s="31">
        <v>385</v>
      </c>
      <c r="H4146" s="31">
        <v>10</v>
      </c>
      <c r="I4146" s="31">
        <v>16</v>
      </c>
      <c r="J4146" s="31" t="s">
        <v>15360</v>
      </c>
      <c r="K4146" s="31" t="s">
        <v>130</v>
      </c>
      <c r="L4146" s="31" t="s">
        <v>210</v>
      </c>
      <c r="M4146" s="31">
        <v>285</v>
      </c>
      <c r="N4146" s="31">
        <v>2025</v>
      </c>
      <c r="O4146" s="31">
        <v>150</v>
      </c>
      <c r="P4146" s="31"/>
      <c r="Q4146" s="31"/>
      <c r="R4146" s="33" t="s">
        <v>15361</v>
      </c>
      <c r="S4146" s="34" t="str">
        <f>HYPERLINK("http://www.cnpol.ru/covers/21508.jpg","фото на сайте")</f>
        <v>фото на сайте</v>
      </c>
    </row>
    <row r="4147" spans="1:19" ht="50.1" customHeight="1">
      <c r="A4147" s="31"/>
      <c r="B4147" s="32" t="s">
        <v>15362</v>
      </c>
      <c r="C4147" s="31" t="s">
        <v>479</v>
      </c>
      <c r="D4147" s="31" t="s">
        <v>15363</v>
      </c>
      <c r="E4147" s="31" t="s">
        <v>15364</v>
      </c>
      <c r="F4147" s="31" t="s">
        <v>31</v>
      </c>
      <c r="G4147" s="31">
        <v>693</v>
      </c>
      <c r="H4147" s="31">
        <v>10</v>
      </c>
      <c r="I4147" s="31">
        <v>8</v>
      </c>
      <c r="J4147" s="31" t="s">
        <v>15365</v>
      </c>
      <c r="K4147" s="31" t="s">
        <v>33</v>
      </c>
      <c r="L4147" s="31" t="s">
        <v>34</v>
      </c>
      <c r="M4147" s="31">
        <v>544</v>
      </c>
      <c r="N4147" s="31">
        <v>2017</v>
      </c>
      <c r="O4147" s="31">
        <v>512</v>
      </c>
      <c r="P4147" s="31"/>
      <c r="Q4147" s="31"/>
      <c r="R4147" s="33"/>
      <c r="S4147" s="34" t="str">
        <f>HYPERLINK("http://www.cnpol.ru/covers/17859.jpg","фото на сайте")</f>
        <v>фото на сайте</v>
      </c>
    </row>
    <row r="4148" spans="1:19" ht="50.1" customHeight="1">
      <c r="A4148" s="31" t="s">
        <v>43</v>
      </c>
      <c r="B4148" s="32" t="s">
        <v>15366</v>
      </c>
      <c r="C4148" s="31" t="s">
        <v>1050</v>
      </c>
      <c r="D4148" s="31" t="s">
        <v>2477</v>
      </c>
      <c r="E4148" s="31" t="s">
        <v>15367</v>
      </c>
      <c r="F4148" s="31" t="s">
        <v>31</v>
      </c>
      <c r="G4148" s="31">
        <v>385</v>
      </c>
      <c r="H4148" s="31">
        <v>10</v>
      </c>
      <c r="I4148" s="31">
        <v>20</v>
      </c>
      <c r="J4148" s="31" t="s">
        <v>15368</v>
      </c>
      <c r="K4148" s="31" t="s">
        <v>130</v>
      </c>
      <c r="L4148" s="31" t="s">
        <v>56</v>
      </c>
      <c r="M4148" s="31">
        <v>221</v>
      </c>
      <c r="N4148" s="31">
        <v>2025</v>
      </c>
      <c r="O4148" s="31">
        <v>145</v>
      </c>
      <c r="P4148" s="31"/>
      <c r="Q4148" s="31"/>
      <c r="R4148" s="33" t="s">
        <v>15369</v>
      </c>
      <c r="S4148" s="34" t="str">
        <f>HYPERLINK("http://www.cnpol.ru/covers/21752.jpg","фото на сайте")</f>
        <v>фото на сайте</v>
      </c>
    </row>
    <row r="4149" spans="1:19" ht="50.1" customHeight="1">
      <c r="A4149" s="31"/>
      <c r="B4149" s="32" t="s">
        <v>15370</v>
      </c>
      <c r="C4149" s="31" t="s">
        <v>741</v>
      </c>
      <c r="D4149" s="31" t="s">
        <v>742</v>
      </c>
      <c r="E4149" s="31" t="s">
        <v>15371</v>
      </c>
      <c r="F4149" s="31" t="s">
        <v>31</v>
      </c>
      <c r="G4149" s="35">
        <v>1058</v>
      </c>
      <c r="H4149" s="31">
        <v>10</v>
      </c>
      <c r="I4149" s="31">
        <v>10</v>
      </c>
      <c r="J4149" s="31" t="s">
        <v>15372</v>
      </c>
      <c r="K4149" s="31" t="s">
        <v>41</v>
      </c>
      <c r="L4149" s="31" t="s">
        <v>34</v>
      </c>
      <c r="M4149" s="31">
        <v>576</v>
      </c>
      <c r="N4149" s="31">
        <v>2017</v>
      </c>
      <c r="O4149" s="31">
        <v>646</v>
      </c>
      <c r="P4149" s="31"/>
      <c r="Q4149" s="31"/>
      <c r="R4149" s="33"/>
      <c r="S4149" s="34" t="str">
        <f>HYPERLINK("http://www.cnpol.ru/covers/17763.jpg","фото на сайте")</f>
        <v>фото на сайте</v>
      </c>
    </row>
    <row r="4150" spans="1:19" ht="50.1" customHeight="1">
      <c r="A4150" s="31"/>
      <c r="B4150" s="32" t="s">
        <v>15373</v>
      </c>
      <c r="C4150" s="31" t="s">
        <v>440</v>
      </c>
      <c r="D4150" s="31" t="s">
        <v>12311</v>
      </c>
      <c r="E4150" s="31" t="s">
        <v>15374</v>
      </c>
      <c r="F4150" s="31" t="s">
        <v>31</v>
      </c>
      <c r="G4150" s="31">
        <v>575</v>
      </c>
      <c r="H4150" s="31">
        <v>10</v>
      </c>
      <c r="I4150" s="31">
        <v>10</v>
      </c>
      <c r="J4150" s="31" t="s">
        <v>15375</v>
      </c>
      <c r="K4150" s="31" t="s">
        <v>33</v>
      </c>
      <c r="L4150" s="31" t="s">
        <v>34</v>
      </c>
      <c r="M4150" s="31">
        <v>352</v>
      </c>
      <c r="N4150" s="31">
        <v>2016</v>
      </c>
      <c r="O4150" s="31">
        <v>300</v>
      </c>
      <c r="P4150" s="31"/>
      <c r="Q4150" s="31"/>
      <c r="R4150" s="33"/>
      <c r="S4150" s="34" t="str">
        <f>HYPERLINK("http://www.cnpol.ru/covers/16533.jpg","фото на сайте")</f>
        <v>фото на сайте</v>
      </c>
    </row>
    <row r="4151" spans="1:19" ht="50.1" customHeight="1">
      <c r="A4151" s="31" t="s">
        <v>35</v>
      </c>
      <c r="B4151" s="32" t="s">
        <v>15376</v>
      </c>
      <c r="C4151" s="31" t="s">
        <v>37</v>
      </c>
      <c r="D4151" s="31" t="s">
        <v>15377</v>
      </c>
      <c r="E4151" s="31" t="s">
        <v>15378</v>
      </c>
      <c r="F4151" s="31" t="s">
        <v>31</v>
      </c>
      <c r="G4151" s="31">
        <v>807</v>
      </c>
      <c r="H4151" s="31">
        <v>10</v>
      </c>
      <c r="I4151" s="31">
        <v>14</v>
      </c>
      <c r="J4151" s="31" t="s">
        <v>15379</v>
      </c>
      <c r="K4151" s="31" t="s">
        <v>33</v>
      </c>
      <c r="L4151" s="31" t="s">
        <v>34</v>
      </c>
      <c r="M4151" s="31">
        <v>239</v>
      </c>
      <c r="N4151" s="31">
        <v>2025</v>
      </c>
      <c r="O4151" s="31">
        <v>280</v>
      </c>
      <c r="P4151" s="31"/>
      <c r="Q4151" s="31"/>
      <c r="R4151" s="33" t="s">
        <v>15380</v>
      </c>
      <c r="S4151" s="34" t="str">
        <f>HYPERLINK("http://www.cnpol.ru/covers/21685.jpg","фото на сайте")</f>
        <v>фото на сайте</v>
      </c>
    </row>
    <row r="4152" spans="1:19" ht="50.1" customHeight="1">
      <c r="A4152" s="31"/>
      <c r="B4152" s="32" t="s">
        <v>15381</v>
      </c>
      <c r="C4152" s="31" t="s">
        <v>1050</v>
      </c>
      <c r="D4152" s="31" t="s">
        <v>15382</v>
      </c>
      <c r="E4152" s="31" t="s">
        <v>15383</v>
      </c>
      <c r="F4152" s="31" t="s">
        <v>31</v>
      </c>
      <c r="G4152" s="31">
        <v>386</v>
      </c>
      <c r="H4152" s="31">
        <v>10</v>
      </c>
      <c r="I4152" s="31">
        <v>16</v>
      </c>
      <c r="J4152" s="31" t="s">
        <v>15384</v>
      </c>
      <c r="K4152" s="31" t="s">
        <v>130</v>
      </c>
      <c r="L4152" s="31" t="s">
        <v>210</v>
      </c>
      <c r="M4152" s="31">
        <v>320</v>
      </c>
      <c r="N4152" s="31">
        <v>2019</v>
      </c>
      <c r="O4152" s="31">
        <v>260</v>
      </c>
      <c r="P4152" s="31"/>
      <c r="Q4152" s="31"/>
      <c r="R4152" s="33"/>
      <c r="S4152" s="34" t="str">
        <f>HYPERLINK("http://www.cnpol.ru/covers/18865.jpg","фото на сайте")</f>
        <v>фото на сайте</v>
      </c>
    </row>
    <row r="4153" spans="1:19" ht="50.1" customHeight="1">
      <c r="A4153" s="31"/>
      <c r="B4153" s="32" t="s">
        <v>15385</v>
      </c>
      <c r="C4153" s="31" t="s">
        <v>15386</v>
      </c>
      <c r="D4153" s="31" t="s">
        <v>15387</v>
      </c>
      <c r="E4153" s="31" t="s">
        <v>15388</v>
      </c>
      <c r="F4153" s="31" t="s">
        <v>31</v>
      </c>
      <c r="G4153" s="31">
        <v>489</v>
      </c>
      <c r="H4153" s="31">
        <v>10</v>
      </c>
      <c r="I4153" s="31">
        <v>14</v>
      </c>
      <c r="J4153" s="31" t="s">
        <v>15389</v>
      </c>
      <c r="K4153" s="31" t="s">
        <v>33</v>
      </c>
      <c r="L4153" s="31" t="s">
        <v>34</v>
      </c>
      <c r="M4153" s="31">
        <v>287</v>
      </c>
      <c r="N4153" s="31">
        <v>2022</v>
      </c>
      <c r="O4153" s="31">
        <v>272</v>
      </c>
      <c r="P4153" s="31"/>
      <c r="Q4153" s="31"/>
      <c r="R4153" s="33" t="s">
        <v>15390</v>
      </c>
      <c r="S4153" s="34" t="str">
        <f>HYPERLINK("http://www.cnpol.ru/covers/20474.jpg","фото на сайте")</f>
        <v>фото на сайте</v>
      </c>
    </row>
    <row r="4154" spans="1:19" ht="50.1" customHeight="1">
      <c r="A4154" s="31"/>
      <c r="B4154" s="32" t="s">
        <v>15391</v>
      </c>
      <c r="C4154" s="31" t="s">
        <v>1390</v>
      </c>
      <c r="D4154" s="31" t="s">
        <v>15392</v>
      </c>
      <c r="E4154" s="31" t="s">
        <v>15393</v>
      </c>
      <c r="F4154" s="31" t="s">
        <v>31</v>
      </c>
      <c r="G4154" s="31">
        <v>807</v>
      </c>
      <c r="H4154" s="31">
        <v>10</v>
      </c>
      <c r="I4154" s="31">
        <v>8</v>
      </c>
      <c r="J4154" s="31" t="s">
        <v>15394</v>
      </c>
      <c r="K4154" s="31" t="s">
        <v>2495</v>
      </c>
      <c r="L4154" s="31" t="s">
        <v>34</v>
      </c>
      <c r="M4154" s="31">
        <v>336</v>
      </c>
      <c r="N4154" s="31">
        <v>2017</v>
      </c>
      <c r="O4154" s="31">
        <v>508</v>
      </c>
      <c r="P4154" s="31"/>
      <c r="Q4154" s="31"/>
      <c r="R4154" s="33"/>
      <c r="S4154" s="34" t="str">
        <f>HYPERLINK("http://www.cnpol.ru/covers/17654.jpg","фото на сайте")</f>
        <v>фото на сайте</v>
      </c>
    </row>
    <row r="4155" spans="1:19" ht="50.1" customHeight="1">
      <c r="A4155" s="31"/>
      <c r="B4155" s="32" t="s">
        <v>15395</v>
      </c>
      <c r="C4155" s="31" t="s">
        <v>390</v>
      </c>
      <c r="D4155" s="31" t="s">
        <v>2294</v>
      </c>
      <c r="E4155" s="31" t="s">
        <v>15396</v>
      </c>
      <c r="F4155" s="31">
        <v>672</v>
      </c>
      <c r="G4155" s="31">
        <v>86</v>
      </c>
      <c r="H4155" s="31">
        <v>10</v>
      </c>
      <c r="I4155" s="31">
        <v>30</v>
      </c>
      <c r="J4155" s="31" t="s">
        <v>15397</v>
      </c>
      <c r="K4155" s="31" t="s">
        <v>123</v>
      </c>
      <c r="L4155" s="31" t="s">
        <v>56</v>
      </c>
      <c r="M4155" s="31">
        <v>160</v>
      </c>
      <c r="N4155" s="31">
        <v>2016</v>
      </c>
      <c r="O4155" s="31">
        <v>76</v>
      </c>
      <c r="P4155" s="31"/>
      <c r="Q4155" s="31"/>
      <c r="R4155" s="33"/>
      <c r="S4155" s="34" t="str">
        <f>HYPERLINK("http://www.cnpol.ru/covers/17162.jpg","фото на сайте")</f>
        <v>фото на сайте</v>
      </c>
    </row>
    <row r="4156" spans="1:19" ht="50.1" customHeight="1">
      <c r="A4156" s="31"/>
      <c r="B4156" s="32" t="s">
        <v>15398</v>
      </c>
      <c r="C4156" s="31" t="s">
        <v>390</v>
      </c>
      <c r="D4156" s="31" t="s">
        <v>1794</v>
      </c>
      <c r="E4156" s="31" t="s">
        <v>15396</v>
      </c>
      <c r="F4156" s="31">
        <v>545</v>
      </c>
      <c r="G4156" s="31">
        <v>86</v>
      </c>
      <c r="H4156" s="31">
        <v>10</v>
      </c>
      <c r="I4156" s="31">
        <v>30</v>
      </c>
      <c r="J4156" s="31" t="s">
        <v>15399</v>
      </c>
      <c r="K4156" s="31" t="s">
        <v>123</v>
      </c>
      <c r="L4156" s="31" t="s">
        <v>56</v>
      </c>
      <c r="M4156" s="31">
        <v>158</v>
      </c>
      <c r="N4156" s="31">
        <v>2015</v>
      </c>
      <c r="O4156" s="31">
        <v>76</v>
      </c>
      <c r="P4156" s="31"/>
      <c r="Q4156" s="31"/>
      <c r="R4156" s="33"/>
      <c r="S4156" s="34" t="str">
        <f>HYPERLINK("http://www.cnpol.ru/covers/16173.jpg","фото на сайте")</f>
        <v>фото на сайте</v>
      </c>
    </row>
    <row r="4157" spans="1:19" ht="50.1" customHeight="1">
      <c r="A4157" s="31"/>
      <c r="B4157" s="32" t="s">
        <v>15400</v>
      </c>
      <c r="C4157" s="31" t="s">
        <v>390</v>
      </c>
      <c r="D4157" s="31" t="s">
        <v>2294</v>
      </c>
      <c r="E4157" s="31" t="s">
        <v>15401</v>
      </c>
      <c r="F4157" s="31">
        <v>707</v>
      </c>
      <c r="G4157" s="31">
        <v>86</v>
      </c>
      <c r="H4157" s="31">
        <v>10</v>
      </c>
      <c r="I4157" s="31">
        <v>30</v>
      </c>
      <c r="J4157" s="31" t="s">
        <v>15402</v>
      </c>
      <c r="K4157" s="31" t="s">
        <v>123</v>
      </c>
      <c r="L4157" s="31" t="s">
        <v>56</v>
      </c>
      <c r="M4157" s="31">
        <v>160</v>
      </c>
      <c r="N4157" s="31">
        <v>2017</v>
      </c>
      <c r="O4157" s="31">
        <v>76</v>
      </c>
      <c r="P4157" s="31"/>
      <c r="Q4157" s="31"/>
      <c r="R4157" s="33"/>
      <c r="S4157" s="34" t="str">
        <f>HYPERLINK("http://www.cnpol.ru/covers/17411.jpg","фото на сайте")</f>
        <v>фото на сайте</v>
      </c>
    </row>
    <row r="4158" spans="1:19" ht="50.1" customHeight="1">
      <c r="A4158" s="31"/>
      <c r="B4158" s="32" t="s">
        <v>15403</v>
      </c>
      <c r="C4158" s="31" t="s">
        <v>390</v>
      </c>
      <c r="D4158" s="31" t="s">
        <v>3610</v>
      </c>
      <c r="E4158" s="31" t="s">
        <v>15404</v>
      </c>
      <c r="F4158" s="31">
        <v>662</v>
      </c>
      <c r="G4158" s="31">
        <v>86</v>
      </c>
      <c r="H4158" s="31">
        <v>10</v>
      </c>
      <c r="I4158" s="31">
        <v>30</v>
      </c>
      <c r="J4158" s="31" t="s">
        <v>15405</v>
      </c>
      <c r="K4158" s="31" t="s">
        <v>123</v>
      </c>
      <c r="L4158" s="31" t="s">
        <v>56</v>
      </c>
      <c r="M4158" s="31">
        <v>160</v>
      </c>
      <c r="N4158" s="31">
        <v>2016</v>
      </c>
      <c r="O4158" s="31">
        <v>76</v>
      </c>
      <c r="P4158" s="31"/>
      <c r="Q4158" s="31"/>
      <c r="R4158" s="33"/>
      <c r="S4158" s="34" t="str">
        <f>HYPERLINK("http://www.cnpol.ru/covers/17082.jpg","фото на сайте")</f>
        <v>фото на сайте</v>
      </c>
    </row>
    <row r="4159" spans="1:19" ht="50.1" customHeight="1">
      <c r="A4159" s="31"/>
      <c r="B4159" s="32" t="s">
        <v>15406</v>
      </c>
      <c r="C4159" s="31" t="s">
        <v>1623</v>
      </c>
      <c r="D4159" s="31" t="s">
        <v>5956</v>
      </c>
      <c r="E4159" s="31" t="s">
        <v>15407</v>
      </c>
      <c r="F4159" s="31" t="s">
        <v>31</v>
      </c>
      <c r="G4159" s="31">
        <v>169</v>
      </c>
      <c r="H4159" s="31">
        <v>10</v>
      </c>
      <c r="I4159" s="31">
        <v>24</v>
      </c>
      <c r="J4159" s="31" t="s">
        <v>15408</v>
      </c>
      <c r="K4159" s="31" t="s">
        <v>55</v>
      </c>
      <c r="L4159" s="31" t="s">
        <v>56</v>
      </c>
      <c r="M4159" s="31">
        <v>288</v>
      </c>
      <c r="N4159" s="31">
        <v>2019</v>
      </c>
      <c r="O4159" s="31">
        <v>122</v>
      </c>
      <c r="P4159" s="31"/>
      <c r="Q4159" s="31"/>
      <c r="R4159" s="33"/>
      <c r="S4159" s="34" t="str">
        <f>HYPERLINK("http://www.cnpol.ru/covers/18806.jpg","фото на сайте")</f>
        <v>фото на сайте</v>
      </c>
    </row>
    <row r="4160" spans="1:19" ht="50.1" customHeight="1">
      <c r="A4160" s="31"/>
      <c r="B4160" s="32" t="s">
        <v>15409</v>
      </c>
      <c r="C4160" s="31" t="s">
        <v>15410</v>
      </c>
      <c r="D4160" s="31" t="s">
        <v>15411</v>
      </c>
      <c r="E4160" s="31" t="s">
        <v>15412</v>
      </c>
      <c r="F4160" s="31" t="s">
        <v>31</v>
      </c>
      <c r="G4160" s="31">
        <v>503</v>
      </c>
      <c r="H4160" s="31">
        <v>10</v>
      </c>
      <c r="I4160" s="31">
        <v>16</v>
      </c>
      <c r="J4160" s="31" t="s">
        <v>15413</v>
      </c>
      <c r="K4160" s="31" t="s">
        <v>33</v>
      </c>
      <c r="L4160" s="31" t="s">
        <v>34</v>
      </c>
      <c r="M4160" s="31">
        <v>256</v>
      </c>
      <c r="N4160" s="31">
        <v>2017</v>
      </c>
      <c r="O4160" s="31">
        <v>234</v>
      </c>
      <c r="P4160" s="31"/>
      <c r="Q4160" s="31"/>
      <c r="R4160" s="33"/>
      <c r="S4160" s="34" t="str">
        <f>HYPERLINK("http://www.cnpol.ru/covers/17689.jpg","фото на сайте")</f>
        <v>фото на сайте</v>
      </c>
    </row>
    <row r="4161" spans="1:19" ht="50.1" customHeight="1">
      <c r="A4161" s="31"/>
      <c r="B4161" s="32" t="s">
        <v>15414</v>
      </c>
      <c r="C4161" s="31" t="s">
        <v>4151</v>
      </c>
      <c r="D4161" s="31" t="s">
        <v>15415</v>
      </c>
      <c r="E4161" s="31" t="s">
        <v>15416</v>
      </c>
      <c r="F4161" s="31" t="s">
        <v>31</v>
      </c>
      <c r="G4161" s="31">
        <v>88</v>
      </c>
      <c r="H4161" s="31">
        <v>10</v>
      </c>
      <c r="I4161" s="31">
        <v>32</v>
      </c>
      <c r="J4161" s="31" t="s">
        <v>15417</v>
      </c>
      <c r="K4161" s="31" t="s">
        <v>55</v>
      </c>
      <c r="L4161" s="31" t="s">
        <v>56</v>
      </c>
      <c r="M4161" s="31">
        <v>216</v>
      </c>
      <c r="N4161" s="31">
        <v>2004</v>
      </c>
      <c r="O4161" s="31">
        <v>94</v>
      </c>
      <c r="P4161" s="31"/>
      <c r="Q4161" s="31"/>
      <c r="R4161" s="33"/>
      <c r="S4161" s="34" t="str">
        <f>HYPERLINK("http://www.cnpol.ru/covers/4638.jpg","фото на сайте")</f>
        <v>фото на сайте</v>
      </c>
    </row>
    <row r="4162" spans="1:19" ht="50.1" customHeight="1">
      <c r="A4162" s="31"/>
      <c r="B4162" s="32" t="s">
        <v>15418</v>
      </c>
      <c r="C4162" s="31" t="s">
        <v>15419</v>
      </c>
      <c r="D4162" s="31" t="s">
        <v>4849</v>
      </c>
      <c r="E4162" s="31" t="s">
        <v>15420</v>
      </c>
      <c r="F4162" s="31" t="s">
        <v>31</v>
      </c>
      <c r="G4162" s="31">
        <v>325</v>
      </c>
      <c r="H4162" s="31">
        <v>10</v>
      </c>
      <c r="I4162" s="31">
        <v>18</v>
      </c>
      <c r="J4162" s="31" t="s">
        <v>15421</v>
      </c>
      <c r="K4162" s="31" t="s">
        <v>33</v>
      </c>
      <c r="L4162" s="31" t="s">
        <v>34</v>
      </c>
      <c r="M4162" s="31">
        <v>288</v>
      </c>
      <c r="N4162" s="31">
        <v>2008</v>
      </c>
      <c r="O4162" s="31">
        <v>254</v>
      </c>
      <c r="P4162" s="31"/>
      <c r="Q4162" s="31"/>
      <c r="R4162" s="33"/>
      <c r="S4162" s="34" t="str">
        <f>HYPERLINK("http://www.cnpol.ru/covers/10214.jpg","фото на сайте")</f>
        <v>фото на сайте</v>
      </c>
    </row>
    <row r="4163" spans="1:19" ht="50.1" customHeight="1">
      <c r="A4163" s="31"/>
      <c r="B4163" s="32" t="s">
        <v>15422</v>
      </c>
      <c r="C4163" s="31" t="s">
        <v>3422</v>
      </c>
      <c r="D4163" s="31" t="s">
        <v>4849</v>
      </c>
      <c r="E4163" s="31" t="s">
        <v>15420</v>
      </c>
      <c r="F4163" s="31" t="s">
        <v>31</v>
      </c>
      <c r="G4163" s="31">
        <v>154</v>
      </c>
      <c r="H4163" s="31">
        <v>10</v>
      </c>
      <c r="I4163" s="31">
        <v>24</v>
      </c>
      <c r="J4163" s="31" t="s">
        <v>15423</v>
      </c>
      <c r="K4163" s="31" t="s">
        <v>55</v>
      </c>
      <c r="L4163" s="31" t="s">
        <v>56</v>
      </c>
      <c r="M4163" s="31">
        <v>318</v>
      </c>
      <c r="N4163" s="31">
        <v>2009</v>
      </c>
      <c r="O4163" s="31" t="s">
        <v>220</v>
      </c>
      <c r="P4163" s="31"/>
      <c r="Q4163" s="31"/>
      <c r="R4163" s="33"/>
      <c r="S4163" s="34" t="str">
        <f>HYPERLINK("http://www.cnpol.ru/covers/11289.jpg","фото на сайте")</f>
        <v>фото на сайте</v>
      </c>
    </row>
    <row r="4164" spans="1:19" ht="50.1" customHeight="1">
      <c r="A4164" s="31"/>
      <c r="B4164" s="32" t="s">
        <v>15424</v>
      </c>
      <c r="C4164" s="31" t="s">
        <v>2742</v>
      </c>
      <c r="D4164" s="31" t="s">
        <v>15425</v>
      </c>
      <c r="E4164" s="31" t="s">
        <v>15426</v>
      </c>
      <c r="F4164" s="31" t="s">
        <v>31</v>
      </c>
      <c r="G4164" s="31">
        <v>575</v>
      </c>
      <c r="H4164" s="31">
        <v>10</v>
      </c>
      <c r="I4164" s="31">
        <v>12</v>
      </c>
      <c r="J4164" s="31" t="s">
        <v>15427</v>
      </c>
      <c r="K4164" s="31" t="s">
        <v>33</v>
      </c>
      <c r="L4164" s="31" t="s">
        <v>34</v>
      </c>
      <c r="M4164" s="31">
        <v>496</v>
      </c>
      <c r="N4164" s="31">
        <v>2018</v>
      </c>
      <c r="O4164" s="31">
        <v>392</v>
      </c>
      <c r="P4164" s="31"/>
      <c r="Q4164" s="31"/>
      <c r="R4164" s="33"/>
      <c r="S4164" s="34" t="str">
        <f>HYPERLINK("http://www.cnpol.ru/covers/18390.jpg","фото на сайте")</f>
        <v>фото на сайте</v>
      </c>
    </row>
    <row r="4165" spans="1:19" ht="50.1" customHeight="1">
      <c r="A4165" s="31"/>
      <c r="B4165" s="32" t="s">
        <v>15428</v>
      </c>
      <c r="C4165" s="31" t="s">
        <v>1781</v>
      </c>
      <c r="D4165" s="31" t="s">
        <v>15429</v>
      </c>
      <c r="E4165" s="31" t="s">
        <v>15430</v>
      </c>
      <c r="F4165" s="31" t="s">
        <v>31</v>
      </c>
      <c r="G4165" s="31">
        <v>441</v>
      </c>
      <c r="H4165" s="31">
        <v>10</v>
      </c>
      <c r="I4165" s="31">
        <v>18</v>
      </c>
      <c r="J4165" s="31" t="s">
        <v>15431</v>
      </c>
      <c r="K4165" s="31" t="s">
        <v>33</v>
      </c>
      <c r="L4165" s="31" t="s">
        <v>34</v>
      </c>
      <c r="M4165" s="31">
        <v>224</v>
      </c>
      <c r="N4165" s="31">
        <v>2016</v>
      </c>
      <c r="O4165" s="31">
        <v>218</v>
      </c>
      <c r="P4165" s="31"/>
      <c r="Q4165" s="31"/>
      <c r="R4165" s="33"/>
      <c r="S4165" s="34" t="str">
        <f>HYPERLINK("http://www.cnpol.ru/covers/17137.jpg","фото на сайте")</f>
        <v>фото на сайте</v>
      </c>
    </row>
    <row r="4166" spans="1:19" ht="50.1" customHeight="1">
      <c r="A4166" s="31"/>
      <c r="B4166" s="32" t="s">
        <v>15432</v>
      </c>
      <c r="C4166" s="31" t="s">
        <v>1323</v>
      </c>
      <c r="D4166" s="31" t="s">
        <v>5436</v>
      </c>
      <c r="E4166" s="31" t="s">
        <v>15433</v>
      </c>
      <c r="F4166" s="31" t="s">
        <v>31</v>
      </c>
      <c r="G4166" s="31">
        <v>169</v>
      </c>
      <c r="H4166" s="31">
        <v>10</v>
      </c>
      <c r="I4166" s="31">
        <v>10</v>
      </c>
      <c r="J4166" s="31" t="s">
        <v>15434</v>
      </c>
      <c r="K4166" s="31" t="s">
        <v>55</v>
      </c>
      <c r="L4166" s="31" t="s">
        <v>56</v>
      </c>
      <c r="M4166" s="31">
        <v>287</v>
      </c>
      <c r="N4166" s="31">
        <v>2023</v>
      </c>
      <c r="O4166" s="31">
        <v>126</v>
      </c>
      <c r="P4166" s="31"/>
      <c r="Q4166" s="31"/>
      <c r="R4166" s="33" t="s">
        <v>15435</v>
      </c>
      <c r="S4166" s="34" t="str">
        <f>HYPERLINK("http://www.cnpol.ru/covers/20754.jpg","фото на сайте")</f>
        <v>фото на сайте</v>
      </c>
    </row>
    <row r="4167" spans="1:19" ht="50.1" customHeight="1">
      <c r="A4167" s="31"/>
      <c r="B4167" s="32" t="s">
        <v>15436</v>
      </c>
      <c r="C4167" s="31" t="s">
        <v>380</v>
      </c>
      <c r="D4167" s="31" t="s">
        <v>15437</v>
      </c>
      <c r="E4167" s="31" t="s">
        <v>15438</v>
      </c>
      <c r="F4167" s="31" t="s">
        <v>31</v>
      </c>
      <c r="G4167" s="31">
        <v>988</v>
      </c>
      <c r="H4167" s="31">
        <v>10</v>
      </c>
      <c r="I4167" s="31">
        <v>10</v>
      </c>
      <c r="J4167" s="31" t="s">
        <v>15439</v>
      </c>
      <c r="K4167" s="31" t="s">
        <v>41</v>
      </c>
      <c r="L4167" s="31" t="s">
        <v>304</v>
      </c>
      <c r="M4167" s="31">
        <v>352</v>
      </c>
      <c r="N4167" s="31">
        <v>2016</v>
      </c>
      <c r="O4167" s="31">
        <v>482</v>
      </c>
      <c r="P4167" s="31"/>
      <c r="Q4167" s="31"/>
      <c r="R4167" s="33"/>
      <c r="S4167" s="34" t="str">
        <f>HYPERLINK("http://www.cnpol.ru/covers/17242.jpg","фото на сайте")</f>
        <v>фото на сайте</v>
      </c>
    </row>
    <row r="4168" spans="1:19" ht="50.1" customHeight="1">
      <c r="A4168" s="31"/>
      <c r="B4168" s="32" t="s">
        <v>15440</v>
      </c>
      <c r="C4168" s="31" t="s">
        <v>1781</v>
      </c>
      <c r="D4168" s="31" t="s">
        <v>15441</v>
      </c>
      <c r="E4168" s="31" t="s">
        <v>15442</v>
      </c>
      <c r="F4168" s="31" t="s">
        <v>31</v>
      </c>
      <c r="G4168" s="31">
        <v>522</v>
      </c>
      <c r="H4168" s="31">
        <v>10</v>
      </c>
      <c r="I4168" s="31">
        <v>14</v>
      </c>
      <c r="J4168" s="31" t="s">
        <v>15443</v>
      </c>
      <c r="K4168" s="31" t="s">
        <v>33</v>
      </c>
      <c r="L4168" s="31" t="s">
        <v>34</v>
      </c>
      <c r="M4168" s="31">
        <v>286</v>
      </c>
      <c r="N4168" s="31">
        <v>2015</v>
      </c>
      <c r="O4168" s="31">
        <v>260</v>
      </c>
      <c r="P4168" s="31"/>
      <c r="Q4168" s="31"/>
      <c r="R4168" s="33"/>
      <c r="S4168" s="34" t="str">
        <f>HYPERLINK("http://www.cnpol.ru/covers/16200.jpg","фото на сайте")</f>
        <v>фото на сайте</v>
      </c>
    </row>
    <row r="4169" spans="1:19" ht="50.1" customHeight="1">
      <c r="A4169" s="31"/>
      <c r="B4169" s="32" t="s">
        <v>15444</v>
      </c>
      <c r="C4169" s="31" t="s">
        <v>413</v>
      </c>
      <c r="D4169" s="31" t="s">
        <v>15445</v>
      </c>
      <c r="E4169" s="31" t="s">
        <v>15446</v>
      </c>
      <c r="F4169" s="31">
        <v>69</v>
      </c>
      <c r="G4169" s="31">
        <v>117</v>
      </c>
      <c r="H4169" s="31">
        <v>10</v>
      </c>
      <c r="I4169" s="31">
        <v>36</v>
      </c>
      <c r="J4169" s="31" t="s">
        <v>15447</v>
      </c>
      <c r="K4169" s="31" t="s">
        <v>123</v>
      </c>
      <c r="L4169" s="31" t="s">
        <v>56</v>
      </c>
      <c r="M4169" s="31">
        <v>190</v>
      </c>
      <c r="N4169" s="31">
        <v>2015</v>
      </c>
      <c r="O4169" s="31">
        <v>90</v>
      </c>
      <c r="P4169" s="31"/>
      <c r="Q4169" s="31"/>
      <c r="R4169" s="33"/>
      <c r="S4169" s="34" t="str">
        <f>HYPERLINK("http://www.cnpol.ru/covers/16178.jpg","фото на сайте")</f>
        <v>фото на сайте</v>
      </c>
    </row>
    <row r="4170" spans="1:19" ht="50.1" customHeight="1">
      <c r="A4170" s="31"/>
      <c r="B4170" s="32" t="s">
        <v>15448</v>
      </c>
      <c r="C4170" s="31" t="s">
        <v>9260</v>
      </c>
      <c r="D4170" s="31" t="s">
        <v>15449</v>
      </c>
      <c r="E4170" s="31" t="s">
        <v>15450</v>
      </c>
      <c r="F4170" s="31" t="s">
        <v>31</v>
      </c>
      <c r="G4170" s="31">
        <v>96</v>
      </c>
      <c r="H4170" s="31">
        <v>10</v>
      </c>
      <c r="I4170" s="31">
        <v>30</v>
      </c>
      <c r="J4170" s="31" t="s">
        <v>15451</v>
      </c>
      <c r="K4170" s="31" t="s">
        <v>130</v>
      </c>
      <c r="L4170" s="31" t="s">
        <v>56</v>
      </c>
      <c r="M4170" s="31">
        <v>190</v>
      </c>
      <c r="N4170" s="31">
        <v>2010</v>
      </c>
      <c r="O4170" s="31">
        <v>110</v>
      </c>
      <c r="P4170" s="31"/>
      <c r="Q4170" s="31"/>
      <c r="R4170" s="33"/>
      <c r="S4170" s="34" t="str">
        <f>HYPERLINK("http://www.cnpol.ru/covers/11860.jpg","фото на сайте")</f>
        <v>фото на сайте</v>
      </c>
    </row>
    <row r="4171" spans="1:19" ht="50.1" customHeight="1">
      <c r="A4171" s="31"/>
      <c r="B4171" s="32" t="s">
        <v>15452</v>
      </c>
      <c r="C4171" s="31" t="s">
        <v>2420</v>
      </c>
      <c r="D4171" s="31" t="s">
        <v>1893</v>
      </c>
      <c r="E4171" s="31" t="s">
        <v>15453</v>
      </c>
      <c r="F4171" s="31" t="s">
        <v>31</v>
      </c>
      <c r="G4171" s="31">
        <v>88</v>
      </c>
      <c r="H4171" s="31">
        <v>10</v>
      </c>
      <c r="I4171" s="31">
        <v>30</v>
      </c>
      <c r="J4171" s="31" t="s">
        <v>15454</v>
      </c>
      <c r="K4171" s="31" t="s">
        <v>123</v>
      </c>
      <c r="L4171" s="31" t="s">
        <v>56</v>
      </c>
      <c r="M4171" s="31">
        <v>159</v>
      </c>
      <c r="N4171" s="31">
        <v>2007</v>
      </c>
      <c r="O4171" s="31">
        <v>82</v>
      </c>
      <c r="P4171" s="31"/>
      <c r="Q4171" s="31"/>
      <c r="R4171" s="33"/>
      <c r="S4171" s="34" t="str">
        <f>HYPERLINK("http://www.cnpol.ru/covers/6485.jpg","фото на сайте")</f>
        <v>фото на сайте</v>
      </c>
    </row>
    <row r="4172" spans="1:19" ht="50.1" customHeight="1">
      <c r="A4172" s="31" t="s">
        <v>35</v>
      </c>
      <c r="B4172" s="32" t="s">
        <v>15455</v>
      </c>
      <c r="C4172" s="31" t="s">
        <v>143</v>
      </c>
      <c r="D4172" s="31" t="s">
        <v>15456</v>
      </c>
      <c r="E4172" s="31" t="s">
        <v>15457</v>
      </c>
      <c r="F4172" s="31" t="s">
        <v>31</v>
      </c>
      <c r="G4172" s="31">
        <v>771</v>
      </c>
      <c r="H4172" s="31">
        <v>10</v>
      </c>
      <c r="I4172" s="31">
        <v>10</v>
      </c>
      <c r="J4172" s="31" t="s">
        <v>15458</v>
      </c>
      <c r="K4172" s="31" t="s">
        <v>33</v>
      </c>
      <c r="L4172" s="31" t="s">
        <v>34</v>
      </c>
      <c r="M4172" s="31">
        <v>223</v>
      </c>
      <c r="N4172" s="31">
        <v>2026</v>
      </c>
      <c r="O4172" s="31" t="s">
        <v>220</v>
      </c>
      <c r="P4172" s="31"/>
      <c r="Q4172" s="31"/>
      <c r="R4172" s="33" t="s">
        <v>15459</v>
      </c>
      <c r="S4172" s="34" t="str">
        <f>HYPERLINK("http://www.cnpol.ru/covers/21906.jpg","фото на сайте")</f>
        <v>фото на сайте</v>
      </c>
    </row>
    <row r="4173" spans="1:19" ht="50.1" customHeight="1">
      <c r="A4173" s="31"/>
      <c r="B4173" s="32" t="s">
        <v>15460</v>
      </c>
      <c r="C4173" s="31" t="s">
        <v>171</v>
      </c>
      <c r="D4173" s="31" t="s">
        <v>172</v>
      </c>
      <c r="E4173" s="31" t="s">
        <v>15461</v>
      </c>
      <c r="F4173" s="31" t="s">
        <v>31</v>
      </c>
      <c r="G4173" s="35">
        <v>1588</v>
      </c>
      <c r="H4173" s="31">
        <v>10</v>
      </c>
      <c r="I4173" s="31">
        <v>5</v>
      </c>
      <c r="J4173" s="31" t="s">
        <v>15462</v>
      </c>
      <c r="K4173" s="31" t="s">
        <v>41</v>
      </c>
      <c r="L4173" s="31" t="s">
        <v>34</v>
      </c>
      <c r="M4173" s="31">
        <v>607</v>
      </c>
      <c r="N4173" s="31">
        <v>2023</v>
      </c>
      <c r="O4173" s="31">
        <v>610</v>
      </c>
      <c r="P4173" s="31"/>
      <c r="Q4173" s="31"/>
      <c r="R4173" s="33" t="s">
        <v>15463</v>
      </c>
      <c r="S4173" s="34" t="str">
        <f>HYPERLINK("http://www.cnpol.ru/covers/20690.jpg","фото на сайте")</f>
        <v>фото на сайте</v>
      </c>
    </row>
    <row r="4174" spans="1:19" ht="50.1" customHeight="1">
      <c r="A4174" s="31"/>
      <c r="B4174" s="32" t="s">
        <v>15464</v>
      </c>
      <c r="C4174" s="31" t="s">
        <v>390</v>
      </c>
      <c r="D4174" s="31" t="s">
        <v>8593</v>
      </c>
      <c r="E4174" s="31" t="s">
        <v>15465</v>
      </c>
      <c r="F4174" s="31">
        <v>341</v>
      </c>
      <c r="G4174" s="31">
        <v>86</v>
      </c>
      <c r="H4174" s="31">
        <v>10</v>
      </c>
      <c r="I4174" s="31">
        <v>30</v>
      </c>
      <c r="J4174" s="31" t="s">
        <v>15466</v>
      </c>
      <c r="K4174" s="31" t="s">
        <v>123</v>
      </c>
      <c r="L4174" s="31" t="s">
        <v>56</v>
      </c>
      <c r="M4174" s="31">
        <v>158</v>
      </c>
      <c r="N4174" s="31">
        <v>2013</v>
      </c>
      <c r="O4174" s="31">
        <v>74</v>
      </c>
      <c r="P4174" s="31"/>
      <c r="Q4174" s="31"/>
      <c r="R4174" s="33"/>
      <c r="S4174" s="34" t="str">
        <f>HYPERLINK("http://www.cnpol.ru/covers/14501.jpg","фото на сайте")</f>
        <v>фото на сайте</v>
      </c>
    </row>
    <row r="4175" spans="1:19" ht="50.1" customHeight="1">
      <c r="A4175" s="31"/>
      <c r="B4175" s="32" t="s">
        <v>15467</v>
      </c>
      <c r="C4175" s="31" t="s">
        <v>418</v>
      </c>
      <c r="D4175" s="31" t="s">
        <v>1183</v>
      </c>
      <c r="E4175" s="31" t="s">
        <v>15468</v>
      </c>
      <c r="F4175" s="31">
        <v>17</v>
      </c>
      <c r="G4175" s="31">
        <v>153</v>
      </c>
      <c r="H4175" s="31">
        <v>10</v>
      </c>
      <c r="I4175" s="31">
        <v>24</v>
      </c>
      <c r="J4175" s="31" t="s">
        <v>15469</v>
      </c>
      <c r="K4175" s="31" t="s">
        <v>123</v>
      </c>
      <c r="L4175" s="31" t="s">
        <v>56</v>
      </c>
      <c r="M4175" s="31">
        <v>286</v>
      </c>
      <c r="N4175" s="31">
        <v>2012</v>
      </c>
      <c r="O4175" s="31">
        <v>130</v>
      </c>
      <c r="P4175" s="31"/>
      <c r="Q4175" s="31"/>
      <c r="R4175" s="33"/>
      <c r="S4175" s="34" t="str">
        <f>HYPERLINK("http://www.cnpol.ru/covers/14026.jpg","фото на сайте")</f>
        <v>фото на сайте</v>
      </c>
    </row>
    <row r="4176" spans="1:19" ht="50.1" customHeight="1">
      <c r="A4176" s="31"/>
      <c r="B4176" s="32" t="s">
        <v>15470</v>
      </c>
      <c r="C4176" s="31" t="s">
        <v>464</v>
      </c>
      <c r="D4176" s="31" t="s">
        <v>465</v>
      </c>
      <c r="E4176" s="31" t="s">
        <v>15471</v>
      </c>
      <c r="F4176" s="31" t="s">
        <v>31</v>
      </c>
      <c r="G4176" s="31">
        <v>119</v>
      </c>
      <c r="H4176" s="31">
        <v>10</v>
      </c>
      <c r="I4176" s="31">
        <v>120</v>
      </c>
      <c r="J4176" s="31" t="s">
        <v>15472</v>
      </c>
      <c r="K4176" s="31" t="s">
        <v>3186</v>
      </c>
      <c r="L4176" s="31" t="s">
        <v>1726</v>
      </c>
      <c r="M4176" s="31">
        <v>10</v>
      </c>
      <c r="N4176" s="31">
        <v>2008</v>
      </c>
      <c r="O4176" s="31">
        <v>38</v>
      </c>
      <c r="P4176" s="31"/>
      <c r="Q4176" s="31"/>
      <c r="R4176" s="33"/>
      <c r="S4176" s="34" t="str">
        <f>HYPERLINK("http://www.cnpol.ru/covers/7517.jpg","фото на сайте")</f>
        <v>фото на сайте</v>
      </c>
    </row>
    <row r="4177" spans="1:19" ht="50.1" customHeight="1">
      <c r="A4177" s="31"/>
      <c r="B4177" s="32" t="s">
        <v>15473</v>
      </c>
      <c r="C4177" s="31" t="s">
        <v>1594</v>
      </c>
      <c r="D4177" s="31" t="s">
        <v>1595</v>
      </c>
      <c r="E4177" s="31" t="s">
        <v>15474</v>
      </c>
      <c r="F4177" s="31" t="s">
        <v>31</v>
      </c>
      <c r="G4177" s="31">
        <v>169</v>
      </c>
      <c r="H4177" s="31">
        <v>10</v>
      </c>
      <c r="I4177" s="31">
        <v>40</v>
      </c>
      <c r="J4177" s="31" t="s">
        <v>15475</v>
      </c>
      <c r="K4177" s="31" t="s">
        <v>55</v>
      </c>
      <c r="L4177" s="31" t="s">
        <v>56</v>
      </c>
      <c r="M4177" s="31">
        <v>256</v>
      </c>
      <c r="N4177" s="31">
        <v>2019</v>
      </c>
      <c r="O4177" s="31">
        <v>110</v>
      </c>
      <c r="P4177" s="31"/>
      <c r="Q4177" s="31"/>
      <c r="R4177" s="33"/>
      <c r="S4177" s="34" t="str">
        <f>HYPERLINK("http://www.cnpol.ru/covers/18610.jpg","фото на сайте")</f>
        <v>фото на сайте</v>
      </c>
    </row>
    <row r="4178" spans="1:19" ht="50.1" customHeight="1">
      <c r="A4178" s="31" t="s">
        <v>35</v>
      </c>
      <c r="B4178" s="32" t="s">
        <v>15476</v>
      </c>
      <c r="C4178" s="31" t="s">
        <v>37</v>
      </c>
      <c r="D4178" s="31" t="s">
        <v>15477</v>
      </c>
      <c r="E4178" s="31" t="s">
        <v>15478</v>
      </c>
      <c r="F4178" s="31" t="s">
        <v>31</v>
      </c>
      <c r="G4178" s="35">
        <v>1110</v>
      </c>
      <c r="H4178" s="31">
        <v>10</v>
      </c>
      <c r="I4178" s="31">
        <v>7</v>
      </c>
      <c r="J4178" s="31" t="s">
        <v>15479</v>
      </c>
      <c r="K4178" s="31" t="s">
        <v>41</v>
      </c>
      <c r="L4178" s="31" t="s">
        <v>34</v>
      </c>
      <c r="M4178" s="31">
        <v>319</v>
      </c>
      <c r="N4178" s="31">
        <v>2025</v>
      </c>
      <c r="O4178" s="31">
        <v>412</v>
      </c>
      <c r="P4178" s="31"/>
      <c r="Q4178" s="31"/>
      <c r="R4178" s="33" t="s">
        <v>15480</v>
      </c>
      <c r="S4178" s="34" t="str">
        <f>HYPERLINK("http://www.cnpol.ru/covers/21525.jpg","фото на сайте")</f>
        <v>фото на сайте</v>
      </c>
    </row>
    <row r="4179" spans="1:19" ht="50.1" customHeight="1">
      <c r="A4179" s="31"/>
      <c r="B4179" s="32" t="s">
        <v>15481</v>
      </c>
      <c r="C4179" s="31" t="s">
        <v>1818</v>
      </c>
      <c r="D4179" s="31" t="s">
        <v>1814</v>
      </c>
      <c r="E4179" s="31" t="s">
        <v>15482</v>
      </c>
      <c r="F4179" s="31" t="s">
        <v>31</v>
      </c>
      <c r="G4179" s="31">
        <v>258</v>
      </c>
      <c r="H4179" s="31">
        <v>10</v>
      </c>
      <c r="I4179" s="31">
        <v>34</v>
      </c>
      <c r="J4179" s="31" t="s">
        <v>15483</v>
      </c>
      <c r="K4179" s="31" t="s">
        <v>130</v>
      </c>
      <c r="L4179" s="31" t="s">
        <v>56</v>
      </c>
      <c r="M4179" s="31">
        <v>160</v>
      </c>
      <c r="N4179" s="31">
        <v>2021</v>
      </c>
      <c r="O4179" s="31">
        <v>134</v>
      </c>
      <c r="P4179" s="31"/>
      <c r="Q4179" s="31"/>
      <c r="R4179" s="33"/>
      <c r="S4179" s="34" t="str">
        <f>HYPERLINK("http://www.cnpol.ru/covers/19893.jpg","фото на сайте")</f>
        <v>фото на сайте</v>
      </c>
    </row>
    <row r="4180" spans="1:19" ht="50.1" customHeight="1">
      <c r="A4180" s="31"/>
      <c r="B4180" s="32" t="s">
        <v>15484</v>
      </c>
      <c r="C4180" s="31" t="s">
        <v>1813</v>
      </c>
      <c r="D4180" s="31" t="s">
        <v>1814</v>
      </c>
      <c r="E4180" s="31" t="s">
        <v>15482</v>
      </c>
      <c r="F4180" s="31" t="s">
        <v>31</v>
      </c>
      <c r="G4180" s="31">
        <v>349</v>
      </c>
      <c r="H4180" s="31">
        <v>10</v>
      </c>
      <c r="I4180" s="31">
        <v>34</v>
      </c>
      <c r="J4180" s="31" t="s">
        <v>15485</v>
      </c>
      <c r="K4180" s="31" t="s">
        <v>33</v>
      </c>
      <c r="L4180" s="31" t="s">
        <v>210</v>
      </c>
      <c r="M4180" s="31">
        <v>160</v>
      </c>
      <c r="N4180" s="31">
        <v>2021</v>
      </c>
      <c r="O4180" s="31">
        <v>106</v>
      </c>
      <c r="P4180" s="31"/>
      <c r="Q4180" s="31"/>
      <c r="R4180" s="33"/>
      <c r="S4180" s="34" t="str">
        <f>HYPERLINK("http://www.cnpol.ru/covers/19837.jpg","фото на сайте")</f>
        <v>фото на сайте</v>
      </c>
    </row>
    <row r="4181" spans="1:19" ht="50.1" customHeight="1">
      <c r="A4181" s="31"/>
      <c r="B4181" s="32" t="s">
        <v>15486</v>
      </c>
      <c r="C4181" s="31" t="s">
        <v>15487</v>
      </c>
      <c r="D4181" s="31" t="s">
        <v>4010</v>
      </c>
      <c r="E4181" s="31" t="s">
        <v>15488</v>
      </c>
      <c r="F4181" s="31" t="s">
        <v>31</v>
      </c>
      <c r="G4181" s="31">
        <v>503</v>
      </c>
      <c r="H4181" s="31">
        <v>10</v>
      </c>
      <c r="I4181" s="31">
        <v>16</v>
      </c>
      <c r="J4181" s="31" t="s">
        <v>15489</v>
      </c>
      <c r="K4181" s="31" t="s">
        <v>194</v>
      </c>
      <c r="L4181" s="31" t="s">
        <v>34</v>
      </c>
      <c r="M4181" s="31">
        <v>192</v>
      </c>
      <c r="N4181" s="31">
        <v>2017</v>
      </c>
      <c r="O4181" s="31">
        <v>188</v>
      </c>
      <c r="P4181" s="31"/>
      <c r="Q4181" s="31"/>
      <c r="R4181" s="33"/>
      <c r="S4181" s="34" t="str">
        <f>HYPERLINK("http://www.cnpol.ru/covers/17322.jpg","фото на сайте")</f>
        <v>фото на сайте</v>
      </c>
    </row>
    <row r="4182" spans="1:19" ht="50.1" customHeight="1">
      <c r="A4182" s="31" t="s">
        <v>43</v>
      </c>
      <c r="B4182" s="32" t="s">
        <v>15490</v>
      </c>
      <c r="C4182" s="31" t="s">
        <v>418</v>
      </c>
      <c r="D4182" s="31" t="s">
        <v>12883</v>
      </c>
      <c r="E4182" s="31" t="s">
        <v>15491</v>
      </c>
      <c r="F4182" s="31">
        <v>126</v>
      </c>
      <c r="G4182" s="31">
        <v>153</v>
      </c>
      <c r="H4182" s="31">
        <v>10</v>
      </c>
      <c r="I4182" s="31">
        <v>16</v>
      </c>
      <c r="J4182" s="31" t="s">
        <v>15492</v>
      </c>
      <c r="K4182" s="31" t="s">
        <v>123</v>
      </c>
      <c r="L4182" s="31" t="s">
        <v>56</v>
      </c>
      <c r="M4182" s="31">
        <v>255</v>
      </c>
      <c r="N4182" s="31">
        <v>2024</v>
      </c>
      <c r="O4182" s="31">
        <v>115</v>
      </c>
      <c r="P4182" s="31"/>
      <c r="Q4182" s="31"/>
      <c r="R4182" s="33" t="s">
        <v>15493</v>
      </c>
      <c r="S4182" s="34" t="str">
        <f>HYPERLINK("http://www.cnpol.ru/covers/21035.jpg","фото на сайте")</f>
        <v>фото на сайте</v>
      </c>
    </row>
    <row r="4183" spans="1:19" ht="50.1" customHeight="1">
      <c r="A4183" s="31"/>
      <c r="B4183" s="32" t="s">
        <v>15494</v>
      </c>
      <c r="C4183" s="31" t="s">
        <v>528</v>
      </c>
      <c r="D4183" s="31" t="s">
        <v>529</v>
      </c>
      <c r="E4183" s="31" t="s">
        <v>15495</v>
      </c>
      <c r="F4183" s="31" t="s">
        <v>31</v>
      </c>
      <c r="G4183" s="31">
        <v>137</v>
      </c>
      <c r="H4183" s="31">
        <v>10</v>
      </c>
      <c r="I4183" s="31">
        <v>28</v>
      </c>
      <c r="J4183" s="31" t="s">
        <v>15496</v>
      </c>
      <c r="K4183" s="31" t="s">
        <v>55</v>
      </c>
      <c r="L4183" s="31" t="s">
        <v>56</v>
      </c>
      <c r="M4183" s="31">
        <v>160</v>
      </c>
      <c r="N4183" s="31">
        <v>2016</v>
      </c>
      <c r="O4183" s="31">
        <v>68</v>
      </c>
      <c r="P4183" s="31"/>
      <c r="Q4183" s="31"/>
      <c r="R4183" s="33"/>
      <c r="S4183" s="34" t="str">
        <f>HYPERLINK("http://www.cnpol.ru/covers/17057.jpg","фото на сайте")</f>
        <v>фото на сайте</v>
      </c>
    </row>
    <row r="4184" spans="1:19" ht="50.1" customHeight="1">
      <c r="A4184" s="31"/>
      <c r="B4184" s="32" t="s">
        <v>15497</v>
      </c>
      <c r="C4184" s="31" t="s">
        <v>4085</v>
      </c>
      <c r="D4184" s="31" t="s">
        <v>15498</v>
      </c>
      <c r="E4184" s="31" t="s">
        <v>15499</v>
      </c>
      <c r="F4184" s="31" t="s">
        <v>31</v>
      </c>
      <c r="G4184" s="31">
        <v>340</v>
      </c>
      <c r="H4184" s="31">
        <v>10</v>
      </c>
      <c r="I4184" s="31">
        <v>8</v>
      </c>
      <c r="J4184" s="31" t="s">
        <v>15500</v>
      </c>
      <c r="K4184" s="31" t="s">
        <v>300</v>
      </c>
      <c r="L4184" s="31" t="s">
        <v>56</v>
      </c>
      <c r="M4184" s="31">
        <v>704</v>
      </c>
      <c r="N4184" s="31">
        <v>2014</v>
      </c>
      <c r="O4184" s="31">
        <v>317</v>
      </c>
      <c r="P4184" s="31"/>
      <c r="Q4184" s="31"/>
      <c r="R4184" s="33"/>
      <c r="S4184" s="34" t="str">
        <f>HYPERLINK("http://www.cnpol.ru/covers/14854.jpg","фото на сайте")</f>
        <v>фото на сайте</v>
      </c>
    </row>
    <row r="4185" spans="1:19" ht="50.1" customHeight="1">
      <c r="A4185" s="31"/>
      <c r="B4185" s="32" t="s">
        <v>15501</v>
      </c>
      <c r="C4185" s="31" t="s">
        <v>520</v>
      </c>
      <c r="D4185" s="31" t="s">
        <v>3091</v>
      </c>
      <c r="E4185" s="31" t="s">
        <v>15502</v>
      </c>
      <c r="F4185" s="31">
        <v>33</v>
      </c>
      <c r="G4185" s="31">
        <v>117</v>
      </c>
      <c r="H4185" s="31">
        <v>10</v>
      </c>
      <c r="I4185" s="31">
        <v>30</v>
      </c>
      <c r="J4185" s="31" t="s">
        <v>15503</v>
      </c>
      <c r="K4185" s="31" t="s">
        <v>123</v>
      </c>
      <c r="L4185" s="31" t="s">
        <v>56</v>
      </c>
      <c r="M4185" s="31">
        <v>190</v>
      </c>
      <c r="N4185" s="31">
        <v>2016</v>
      </c>
      <c r="O4185" s="31">
        <v>90</v>
      </c>
      <c r="P4185" s="31"/>
      <c r="Q4185" s="31"/>
      <c r="R4185" s="33"/>
      <c r="S4185" s="34" t="str">
        <f>HYPERLINK("http://www.cnpol.ru/covers/16988.jpg","фото на сайте")</f>
        <v>фото на сайте</v>
      </c>
    </row>
    <row r="4186" spans="1:19" ht="50.1" customHeight="1">
      <c r="A4186" s="31"/>
      <c r="B4186" s="32" t="s">
        <v>15504</v>
      </c>
      <c r="C4186" s="31" t="s">
        <v>413</v>
      </c>
      <c r="D4186" s="31" t="s">
        <v>11747</v>
      </c>
      <c r="E4186" s="31" t="s">
        <v>15505</v>
      </c>
      <c r="F4186" s="31">
        <v>190</v>
      </c>
      <c r="G4186" s="31">
        <v>117</v>
      </c>
      <c r="H4186" s="31">
        <v>10</v>
      </c>
      <c r="I4186" s="31">
        <v>24</v>
      </c>
      <c r="J4186" s="31" t="s">
        <v>15506</v>
      </c>
      <c r="K4186" s="31" t="s">
        <v>123</v>
      </c>
      <c r="L4186" s="31" t="s">
        <v>56</v>
      </c>
      <c r="M4186" s="31">
        <v>191</v>
      </c>
      <c r="N4186" s="31">
        <v>2023</v>
      </c>
      <c r="O4186" s="31">
        <v>79</v>
      </c>
      <c r="P4186" s="31"/>
      <c r="Q4186" s="31"/>
      <c r="R4186" s="33" t="s">
        <v>15507</v>
      </c>
      <c r="S4186" s="34" t="str">
        <f>HYPERLINK("http://www.cnpol.ru/covers/20719.jpg","фото на сайте")</f>
        <v>фото на сайте</v>
      </c>
    </row>
    <row r="4187" spans="1:19" ht="50.1" customHeight="1">
      <c r="A4187" s="31"/>
      <c r="B4187" s="32" t="s">
        <v>15508</v>
      </c>
      <c r="C4187" s="31" t="s">
        <v>418</v>
      </c>
      <c r="D4187" s="31" t="s">
        <v>726</v>
      </c>
      <c r="E4187" s="31" t="s">
        <v>15509</v>
      </c>
      <c r="F4187" s="31">
        <v>67</v>
      </c>
      <c r="G4187" s="31">
        <v>153</v>
      </c>
      <c r="H4187" s="31">
        <v>10</v>
      </c>
      <c r="I4187" s="31">
        <v>26</v>
      </c>
      <c r="J4187" s="31" t="s">
        <v>15510</v>
      </c>
      <c r="K4187" s="31" t="s">
        <v>123</v>
      </c>
      <c r="L4187" s="31" t="s">
        <v>56</v>
      </c>
      <c r="M4187" s="31">
        <v>256</v>
      </c>
      <c r="N4187" s="31">
        <v>2017</v>
      </c>
      <c r="O4187" s="31">
        <v>118</v>
      </c>
      <c r="P4187" s="31"/>
      <c r="Q4187" s="31"/>
      <c r="R4187" s="33"/>
      <c r="S4187" s="34" t="str">
        <f>HYPERLINK("http://www.cnpol.ru/covers/17282.jpg","фото на сайте")</f>
        <v>фото на сайте</v>
      </c>
    </row>
    <row r="4188" spans="1:19" ht="50.1" customHeight="1">
      <c r="A4188" s="31"/>
      <c r="B4188" s="32" t="s">
        <v>15511</v>
      </c>
      <c r="C4188" s="31" t="s">
        <v>413</v>
      </c>
      <c r="D4188" s="31" t="s">
        <v>1801</v>
      </c>
      <c r="E4188" s="31" t="s">
        <v>15512</v>
      </c>
      <c r="F4188" s="31">
        <v>184</v>
      </c>
      <c r="G4188" s="31">
        <v>117</v>
      </c>
      <c r="H4188" s="31">
        <v>10</v>
      </c>
      <c r="I4188" s="31">
        <v>20</v>
      </c>
      <c r="J4188" s="31" t="s">
        <v>15513</v>
      </c>
      <c r="K4188" s="31" t="s">
        <v>123</v>
      </c>
      <c r="L4188" s="31" t="s">
        <v>56</v>
      </c>
      <c r="M4188" s="31">
        <v>191</v>
      </c>
      <c r="N4188" s="31">
        <v>2021</v>
      </c>
      <c r="O4188" s="31">
        <v>76</v>
      </c>
      <c r="P4188" s="31"/>
      <c r="Q4188" s="31"/>
      <c r="R4188" s="33"/>
      <c r="S4188" s="34" t="str">
        <f>HYPERLINK("http://www.cnpol.ru/covers/19960.jpg","фото на сайте")</f>
        <v>фото на сайте</v>
      </c>
    </row>
    <row r="4189" spans="1:19" ht="50.1" customHeight="1">
      <c r="A4189" s="31"/>
      <c r="B4189" s="32" t="s">
        <v>15514</v>
      </c>
      <c r="C4189" s="31" t="s">
        <v>546</v>
      </c>
      <c r="D4189" s="31" t="s">
        <v>1435</v>
      </c>
      <c r="E4189" s="31" t="s">
        <v>15515</v>
      </c>
      <c r="F4189" s="31">
        <v>378</v>
      </c>
      <c r="G4189" s="31">
        <v>93</v>
      </c>
      <c r="H4189" s="31">
        <v>10</v>
      </c>
      <c r="I4189" s="31">
        <v>30</v>
      </c>
      <c r="J4189" s="31" t="s">
        <v>15516</v>
      </c>
      <c r="K4189" s="31" t="s">
        <v>123</v>
      </c>
      <c r="L4189" s="31" t="s">
        <v>56</v>
      </c>
      <c r="M4189" s="31">
        <v>160</v>
      </c>
      <c r="N4189" s="31">
        <v>2021</v>
      </c>
      <c r="O4189" s="31">
        <v>76</v>
      </c>
      <c r="P4189" s="31"/>
      <c r="Q4189" s="31"/>
      <c r="R4189" s="33"/>
      <c r="S4189" s="34" t="str">
        <f>HYPERLINK("http://www.cnpol.ru/covers/19711.jpg","фото на сайте")</f>
        <v>фото на сайте</v>
      </c>
    </row>
    <row r="4190" spans="1:19" ht="50.1" customHeight="1">
      <c r="A4190" s="31"/>
      <c r="B4190" s="32" t="s">
        <v>15517</v>
      </c>
      <c r="C4190" s="31" t="s">
        <v>380</v>
      </c>
      <c r="D4190" s="31" t="s">
        <v>15518</v>
      </c>
      <c r="E4190" s="31" t="s">
        <v>15519</v>
      </c>
      <c r="F4190" s="31" t="s">
        <v>31</v>
      </c>
      <c r="G4190" s="31">
        <v>988</v>
      </c>
      <c r="H4190" s="31">
        <v>10</v>
      </c>
      <c r="I4190" s="31">
        <v>8</v>
      </c>
      <c r="J4190" s="31" t="s">
        <v>15520</v>
      </c>
      <c r="K4190" s="31" t="s">
        <v>41</v>
      </c>
      <c r="L4190" s="31" t="s">
        <v>304</v>
      </c>
      <c r="M4190" s="31">
        <v>384</v>
      </c>
      <c r="N4190" s="31">
        <v>2016</v>
      </c>
      <c r="O4190" s="31">
        <v>512</v>
      </c>
      <c r="P4190" s="31"/>
      <c r="Q4190" s="31"/>
      <c r="R4190" s="33"/>
      <c r="S4190" s="34" t="str">
        <f>HYPERLINK("http://www.cnpol.ru/covers/17032.jpg","фото на сайте")</f>
        <v>фото на сайте</v>
      </c>
    </row>
    <row r="4191" spans="1:19" ht="50.1" customHeight="1">
      <c r="A4191" s="31"/>
      <c r="B4191" s="32" t="s">
        <v>15521</v>
      </c>
      <c r="C4191" s="31" t="s">
        <v>390</v>
      </c>
      <c r="D4191" s="31" t="s">
        <v>594</v>
      </c>
      <c r="E4191" s="31" t="s">
        <v>15522</v>
      </c>
      <c r="F4191" s="31">
        <v>784</v>
      </c>
      <c r="G4191" s="31">
        <v>86</v>
      </c>
      <c r="H4191" s="31">
        <v>10</v>
      </c>
      <c r="I4191" s="31">
        <v>30</v>
      </c>
      <c r="J4191" s="31" t="s">
        <v>15523</v>
      </c>
      <c r="K4191" s="31" t="s">
        <v>123</v>
      </c>
      <c r="L4191" s="31" t="s">
        <v>56</v>
      </c>
      <c r="M4191" s="31">
        <v>160</v>
      </c>
      <c r="N4191" s="31">
        <v>2018</v>
      </c>
      <c r="O4191" s="31">
        <v>76</v>
      </c>
      <c r="P4191" s="31"/>
      <c r="Q4191" s="31"/>
      <c r="R4191" s="33"/>
      <c r="S4191" s="34" t="str">
        <f>HYPERLINK("http://www.cnpol.ru/covers/17914.jpg","фото на сайте")</f>
        <v>фото на сайте</v>
      </c>
    </row>
    <row r="4192" spans="1:19" ht="50.1" customHeight="1">
      <c r="A4192" s="31"/>
      <c r="B4192" s="32" t="s">
        <v>15524</v>
      </c>
      <c r="C4192" s="31" t="s">
        <v>520</v>
      </c>
      <c r="D4192" s="31" t="s">
        <v>1690</v>
      </c>
      <c r="E4192" s="31" t="s">
        <v>15525</v>
      </c>
      <c r="F4192" s="31">
        <v>44</v>
      </c>
      <c r="G4192" s="31">
        <v>117</v>
      </c>
      <c r="H4192" s="31">
        <v>10</v>
      </c>
      <c r="I4192" s="31">
        <v>36</v>
      </c>
      <c r="J4192" s="31" t="s">
        <v>15526</v>
      </c>
      <c r="K4192" s="31" t="s">
        <v>123</v>
      </c>
      <c r="L4192" s="31" t="s">
        <v>56</v>
      </c>
      <c r="M4192" s="31">
        <v>192</v>
      </c>
      <c r="N4192" s="31">
        <v>2017</v>
      </c>
      <c r="O4192" s="31">
        <v>90</v>
      </c>
      <c r="P4192" s="31"/>
      <c r="Q4192" s="31"/>
      <c r="R4192" s="33"/>
      <c r="S4192" s="34" t="str">
        <f>HYPERLINK("http://www.cnpol.ru/covers/17426.jpg","фото на сайте")</f>
        <v>фото на сайте</v>
      </c>
    </row>
    <row r="4193" spans="1:19" ht="50.1" customHeight="1">
      <c r="A4193" s="31"/>
      <c r="B4193" s="32" t="s">
        <v>15527</v>
      </c>
      <c r="C4193" s="31" t="s">
        <v>400</v>
      </c>
      <c r="D4193" s="31" t="s">
        <v>785</v>
      </c>
      <c r="E4193" s="31" t="s">
        <v>15528</v>
      </c>
      <c r="F4193" s="31" t="s">
        <v>31</v>
      </c>
      <c r="G4193" s="31">
        <v>503</v>
      </c>
      <c r="H4193" s="31">
        <v>10</v>
      </c>
      <c r="I4193" s="31">
        <v>14</v>
      </c>
      <c r="J4193" s="31" t="s">
        <v>15529</v>
      </c>
      <c r="K4193" s="31" t="s">
        <v>33</v>
      </c>
      <c r="L4193" s="31" t="s">
        <v>34</v>
      </c>
      <c r="M4193" s="31">
        <v>288</v>
      </c>
      <c r="N4193" s="31">
        <v>2019</v>
      </c>
      <c r="O4193" s="31">
        <v>252</v>
      </c>
      <c r="P4193" s="31"/>
      <c r="Q4193" s="31"/>
      <c r="R4193" s="33"/>
      <c r="S4193" s="34" t="str">
        <f>HYPERLINK("http://www.cnpol.ru/covers/18590.jpg","фото на сайте")</f>
        <v>фото на сайте</v>
      </c>
    </row>
    <row r="4194" spans="1:19" ht="50.1" customHeight="1">
      <c r="A4194" s="31"/>
      <c r="B4194" s="32" t="s">
        <v>15530</v>
      </c>
      <c r="C4194" s="31" t="s">
        <v>5260</v>
      </c>
      <c r="D4194" s="31" t="s">
        <v>5256</v>
      </c>
      <c r="E4194" s="31" t="s">
        <v>15531</v>
      </c>
      <c r="F4194" s="31" t="s">
        <v>31</v>
      </c>
      <c r="G4194" s="31">
        <v>105</v>
      </c>
      <c r="H4194" s="31">
        <v>10</v>
      </c>
      <c r="I4194" s="31">
        <v>28</v>
      </c>
      <c r="J4194" s="31" t="s">
        <v>15532</v>
      </c>
      <c r="K4194" s="31" t="s">
        <v>130</v>
      </c>
      <c r="L4194" s="31" t="s">
        <v>56</v>
      </c>
      <c r="M4194" s="31">
        <v>190</v>
      </c>
      <c r="N4194" s="31">
        <v>2008</v>
      </c>
      <c r="O4194" s="31">
        <v>94</v>
      </c>
      <c r="P4194" s="31"/>
      <c r="Q4194" s="31"/>
      <c r="R4194" s="33"/>
      <c r="S4194" s="34" t="str">
        <f>HYPERLINK("http://www.cnpol.ru/covers/8687.jpg","фото на сайте")</f>
        <v>фото на сайте</v>
      </c>
    </row>
    <row r="4195" spans="1:19" ht="50.1" customHeight="1">
      <c r="A4195" s="31"/>
      <c r="B4195" s="32" t="s">
        <v>15533</v>
      </c>
      <c r="C4195" s="31" t="s">
        <v>297</v>
      </c>
      <c r="D4195" s="31" t="s">
        <v>13403</v>
      </c>
      <c r="E4195" s="31" t="s">
        <v>15534</v>
      </c>
      <c r="F4195" s="31" t="s">
        <v>31</v>
      </c>
      <c r="G4195" s="31">
        <v>300</v>
      </c>
      <c r="H4195" s="31">
        <v>10</v>
      </c>
      <c r="I4195" s="31">
        <v>20</v>
      </c>
      <c r="J4195" s="31" t="s">
        <v>15535</v>
      </c>
      <c r="K4195" s="31" t="s">
        <v>300</v>
      </c>
      <c r="L4195" s="31" t="s">
        <v>56</v>
      </c>
      <c r="M4195" s="31">
        <v>320</v>
      </c>
      <c r="N4195" s="31">
        <v>2017</v>
      </c>
      <c r="O4195" s="31">
        <v>162</v>
      </c>
      <c r="P4195" s="31"/>
      <c r="Q4195" s="31"/>
      <c r="R4195" s="33"/>
      <c r="S4195" s="34" t="str">
        <f>HYPERLINK("http://www.cnpol.ru/covers/17355.jpg","фото на сайте")</f>
        <v>фото на сайте</v>
      </c>
    </row>
    <row r="4196" spans="1:19" ht="50.1" customHeight="1">
      <c r="A4196" s="31"/>
      <c r="B4196" s="32" t="s">
        <v>15536</v>
      </c>
      <c r="C4196" s="31" t="s">
        <v>3229</v>
      </c>
      <c r="D4196" s="31" t="s">
        <v>15537</v>
      </c>
      <c r="E4196" s="31" t="s">
        <v>15538</v>
      </c>
      <c r="F4196" s="31" t="s">
        <v>31</v>
      </c>
      <c r="G4196" s="31">
        <v>693</v>
      </c>
      <c r="H4196" s="31">
        <v>10</v>
      </c>
      <c r="I4196" s="31">
        <v>14</v>
      </c>
      <c r="J4196" s="31" t="s">
        <v>15539</v>
      </c>
      <c r="K4196" s="31" t="s">
        <v>33</v>
      </c>
      <c r="L4196" s="31" t="s">
        <v>34</v>
      </c>
      <c r="M4196" s="31">
        <v>416</v>
      </c>
      <c r="N4196" s="31">
        <v>2018</v>
      </c>
      <c r="O4196" s="31">
        <v>418</v>
      </c>
      <c r="P4196" s="31"/>
      <c r="Q4196" s="31"/>
      <c r="R4196" s="33"/>
      <c r="S4196" s="34" t="str">
        <f>HYPERLINK("http://www.cnpol.ru/covers/18367.jpg","фото на сайте")</f>
        <v>фото на сайте</v>
      </c>
    </row>
    <row r="4197" spans="1:19" ht="50.1" customHeight="1">
      <c r="A4197" s="31"/>
      <c r="B4197" s="32" t="s">
        <v>15540</v>
      </c>
      <c r="C4197" s="31" t="s">
        <v>28</v>
      </c>
      <c r="D4197" s="31" t="s">
        <v>15541</v>
      </c>
      <c r="E4197" s="31" t="s">
        <v>15542</v>
      </c>
      <c r="F4197" s="31" t="s">
        <v>31</v>
      </c>
      <c r="G4197" s="31">
        <v>522</v>
      </c>
      <c r="H4197" s="31">
        <v>10</v>
      </c>
      <c r="I4197" s="31">
        <v>18</v>
      </c>
      <c r="J4197" s="31" t="s">
        <v>15543</v>
      </c>
      <c r="K4197" s="31" t="s">
        <v>33</v>
      </c>
      <c r="L4197" s="31" t="s">
        <v>34</v>
      </c>
      <c r="M4197" s="31">
        <v>256</v>
      </c>
      <c r="N4197" s="31">
        <v>2012</v>
      </c>
      <c r="O4197" s="31">
        <v>270</v>
      </c>
      <c r="P4197" s="31"/>
      <c r="Q4197" s="31"/>
      <c r="R4197" s="33"/>
      <c r="S4197" s="34" t="str">
        <f>HYPERLINK("http://www.cnpol.ru/covers/14057.jpg","фото на сайте")</f>
        <v>фото на сайте</v>
      </c>
    </row>
    <row r="4198" spans="1:19" ht="50.1" customHeight="1">
      <c r="A4198" s="31"/>
      <c r="B4198" s="32" t="s">
        <v>15544</v>
      </c>
      <c r="C4198" s="31" t="s">
        <v>1623</v>
      </c>
      <c r="D4198" s="31" t="s">
        <v>1624</v>
      </c>
      <c r="E4198" s="31" t="s">
        <v>15545</v>
      </c>
      <c r="F4198" s="31" t="s">
        <v>31</v>
      </c>
      <c r="G4198" s="31">
        <v>169</v>
      </c>
      <c r="H4198" s="31">
        <v>10</v>
      </c>
      <c r="I4198" s="31">
        <v>40</v>
      </c>
      <c r="J4198" s="31" t="s">
        <v>15546</v>
      </c>
      <c r="K4198" s="31" t="s">
        <v>55</v>
      </c>
      <c r="L4198" s="31" t="s">
        <v>56</v>
      </c>
      <c r="M4198" s="31">
        <v>288</v>
      </c>
      <c r="N4198" s="31">
        <v>2019</v>
      </c>
      <c r="O4198" s="31">
        <v>122</v>
      </c>
      <c r="P4198" s="31"/>
      <c r="Q4198" s="31"/>
      <c r="R4198" s="33"/>
      <c r="S4198" s="34" t="str">
        <f>HYPERLINK("http://www.cnpol.ru/covers/18838.jpg","фото на сайте")</f>
        <v>фото на сайте</v>
      </c>
    </row>
    <row r="4199" spans="1:19" ht="50.1" customHeight="1">
      <c r="A4199" s="31"/>
      <c r="B4199" s="32" t="s">
        <v>15547</v>
      </c>
      <c r="C4199" s="31" t="s">
        <v>2434</v>
      </c>
      <c r="D4199" s="31" t="s">
        <v>2435</v>
      </c>
      <c r="E4199" s="31" t="s">
        <v>15548</v>
      </c>
      <c r="F4199" s="31" t="s">
        <v>31</v>
      </c>
      <c r="G4199" s="31">
        <v>875</v>
      </c>
      <c r="H4199" s="31">
        <v>10</v>
      </c>
      <c r="I4199" s="31">
        <v>12</v>
      </c>
      <c r="J4199" s="31" t="s">
        <v>15549</v>
      </c>
      <c r="K4199" s="31" t="s">
        <v>33</v>
      </c>
      <c r="L4199" s="31" t="s">
        <v>34</v>
      </c>
      <c r="M4199" s="31">
        <v>347</v>
      </c>
      <c r="N4199" s="31">
        <v>2023</v>
      </c>
      <c r="O4199" s="31">
        <v>393</v>
      </c>
      <c r="P4199" s="31"/>
      <c r="Q4199" s="31"/>
      <c r="R4199" s="33" t="s">
        <v>15550</v>
      </c>
      <c r="S4199" s="34" t="str">
        <f>HYPERLINK("http://www.cnpol.ru/covers/20744.jpg","фото на сайте")</f>
        <v>фото на сайте</v>
      </c>
    </row>
    <row r="4200" spans="1:19" ht="50.1" customHeight="1">
      <c r="A4200" s="31"/>
      <c r="B4200" s="32" t="s">
        <v>15551</v>
      </c>
      <c r="C4200" s="31" t="s">
        <v>197</v>
      </c>
      <c r="D4200" s="31" t="s">
        <v>213</v>
      </c>
      <c r="E4200" s="31" t="s">
        <v>15552</v>
      </c>
      <c r="F4200" s="31" t="s">
        <v>31</v>
      </c>
      <c r="G4200" s="31">
        <v>862</v>
      </c>
      <c r="H4200" s="31">
        <v>10</v>
      </c>
      <c r="I4200" s="31">
        <v>8</v>
      </c>
      <c r="J4200" s="31" t="s">
        <v>15553</v>
      </c>
      <c r="K4200" s="31" t="s">
        <v>41</v>
      </c>
      <c r="L4200" s="31" t="s">
        <v>34</v>
      </c>
      <c r="M4200" s="31">
        <v>608</v>
      </c>
      <c r="N4200" s="31">
        <v>2007</v>
      </c>
      <c r="O4200" s="31">
        <v>706</v>
      </c>
      <c r="P4200" s="31"/>
      <c r="Q4200" s="31"/>
      <c r="R4200" s="33"/>
      <c r="S4200" s="34" t="str">
        <f>HYPERLINK("http://www.cnpol.ru/covers/7148.jpg","фото на сайте")</f>
        <v>фото на сайте</v>
      </c>
    </row>
    <row r="4201" spans="1:19" ht="50.1" customHeight="1">
      <c r="A4201" s="31" t="s">
        <v>43</v>
      </c>
      <c r="B4201" s="32" t="s">
        <v>15554</v>
      </c>
      <c r="C4201" s="31" t="s">
        <v>37</v>
      </c>
      <c r="D4201" s="31" t="s">
        <v>4456</v>
      </c>
      <c r="E4201" s="31" t="s">
        <v>15555</v>
      </c>
      <c r="F4201" s="31" t="s">
        <v>31</v>
      </c>
      <c r="G4201" s="35">
        <v>1009</v>
      </c>
      <c r="H4201" s="31">
        <v>10</v>
      </c>
      <c r="I4201" s="31">
        <v>10</v>
      </c>
      <c r="J4201" s="31" t="s">
        <v>15556</v>
      </c>
      <c r="K4201" s="31" t="s">
        <v>33</v>
      </c>
      <c r="L4201" s="31" t="s">
        <v>34</v>
      </c>
      <c r="M4201" s="31">
        <v>383</v>
      </c>
      <c r="N4201" s="31">
        <v>2024</v>
      </c>
      <c r="O4201" s="31">
        <v>234</v>
      </c>
      <c r="P4201" s="31"/>
      <c r="Q4201" s="31"/>
      <c r="R4201" s="33" t="s">
        <v>15557</v>
      </c>
      <c r="S4201" s="34" t="str">
        <f>HYPERLINK("http://www.cnpol.ru/covers/21272.jpg","фото на сайте")</f>
        <v>фото на сайте</v>
      </c>
    </row>
    <row r="4202" spans="1:19" ht="50.1" customHeight="1">
      <c r="A4202" s="31"/>
      <c r="B4202" s="32" t="s">
        <v>15558</v>
      </c>
      <c r="C4202" s="31" t="s">
        <v>390</v>
      </c>
      <c r="D4202" s="31" t="s">
        <v>2868</v>
      </c>
      <c r="E4202" s="31" t="s">
        <v>15559</v>
      </c>
      <c r="F4202" s="31">
        <v>1150</v>
      </c>
      <c r="G4202" s="31">
        <v>86</v>
      </c>
      <c r="H4202" s="31">
        <v>10</v>
      </c>
      <c r="I4202" s="31">
        <v>30</v>
      </c>
      <c r="J4202" s="31" t="s">
        <v>15560</v>
      </c>
      <c r="K4202" s="31" t="s">
        <v>123</v>
      </c>
      <c r="L4202" s="31" t="s">
        <v>56</v>
      </c>
      <c r="M4202" s="31">
        <v>159</v>
      </c>
      <c r="N4202" s="31">
        <v>2023</v>
      </c>
      <c r="O4202" s="31">
        <v>76</v>
      </c>
      <c r="P4202" s="31"/>
      <c r="Q4202" s="31"/>
      <c r="R4202" s="33" t="s">
        <v>15561</v>
      </c>
      <c r="S4202" s="34" t="str">
        <f>HYPERLINK("http://www.cnpol.ru/covers/20785.jpg","фото на сайте")</f>
        <v>фото на сайте</v>
      </c>
    </row>
    <row r="4203" spans="1:19" ht="50.1" customHeight="1">
      <c r="A4203" s="31"/>
      <c r="B4203" s="32" t="s">
        <v>15562</v>
      </c>
      <c r="C4203" s="31" t="s">
        <v>6139</v>
      </c>
      <c r="D4203" s="31" t="s">
        <v>9711</v>
      </c>
      <c r="E4203" s="31" t="s">
        <v>15563</v>
      </c>
      <c r="F4203" s="31" t="s">
        <v>31</v>
      </c>
      <c r="G4203" s="31">
        <v>88</v>
      </c>
      <c r="H4203" s="31">
        <v>10</v>
      </c>
      <c r="I4203" s="31">
        <v>40</v>
      </c>
      <c r="J4203" s="31" t="s">
        <v>15564</v>
      </c>
      <c r="K4203" s="31" t="s">
        <v>123</v>
      </c>
      <c r="L4203" s="31" t="s">
        <v>56</v>
      </c>
      <c r="M4203" s="31">
        <v>160</v>
      </c>
      <c r="N4203" s="31">
        <v>2009</v>
      </c>
      <c r="O4203" s="31">
        <v>78</v>
      </c>
      <c r="P4203" s="31"/>
      <c r="Q4203" s="31"/>
      <c r="R4203" s="33"/>
      <c r="S4203" s="34" t="str">
        <f>HYPERLINK("http://www.cnpol.ru/covers/11505.jpg","фото на сайте")</f>
        <v>фото на сайте</v>
      </c>
    </row>
    <row r="4204" spans="1:19" ht="50.1" customHeight="1">
      <c r="A4204" s="31"/>
      <c r="B4204" s="32" t="s">
        <v>15565</v>
      </c>
      <c r="C4204" s="31" t="s">
        <v>413</v>
      </c>
      <c r="D4204" s="31" t="s">
        <v>1581</v>
      </c>
      <c r="E4204" s="31" t="s">
        <v>15566</v>
      </c>
      <c r="F4204" s="31">
        <v>121</v>
      </c>
      <c r="G4204" s="31">
        <v>117</v>
      </c>
      <c r="H4204" s="31">
        <v>10</v>
      </c>
      <c r="I4204" s="31">
        <v>36</v>
      </c>
      <c r="J4204" s="31" t="s">
        <v>15567</v>
      </c>
      <c r="K4204" s="31" t="s">
        <v>123</v>
      </c>
      <c r="L4204" s="31" t="s">
        <v>56</v>
      </c>
      <c r="M4204" s="31">
        <v>192</v>
      </c>
      <c r="N4204" s="31">
        <v>2016</v>
      </c>
      <c r="O4204" s="31">
        <v>90</v>
      </c>
      <c r="P4204" s="31"/>
      <c r="Q4204" s="31"/>
      <c r="R4204" s="33"/>
      <c r="S4204" s="34" t="str">
        <f>HYPERLINK("http://www.cnpol.ru/covers/17011.jpg","фото на сайте")</f>
        <v>фото на сайте</v>
      </c>
    </row>
    <row r="4205" spans="1:19" ht="50.1" customHeight="1">
      <c r="A4205" s="31" t="s">
        <v>43</v>
      </c>
      <c r="B4205" s="32" t="s">
        <v>15568</v>
      </c>
      <c r="C4205" s="31" t="s">
        <v>37</v>
      </c>
      <c r="D4205" s="31" t="s">
        <v>1139</v>
      </c>
      <c r="E4205" s="31" t="s">
        <v>15569</v>
      </c>
      <c r="F4205" s="31" t="s">
        <v>31</v>
      </c>
      <c r="G4205" s="31">
        <v>807</v>
      </c>
      <c r="H4205" s="31">
        <v>10</v>
      </c>
      <c r="I4205" s="31">
        <v>16</v>
      </c>
      <c r="J4205" s="31" t="s">
        <v>15570</v>
      </c>
      <c r="K4205" s="31" t="s">
        <v>33</v>
      </c>
      <c r="L4205" s="31" t="s">
        <v>34</v>
      </c>
      <c r="M4205" s="31">
        <v>221</v>
      </c>
      <c r="N4205" s="31">
        <v>2024</v>
      </c>
      <c r="O4205" s="31">
        <v>266</v>
      </c>
      <c r="P4205" s="31"/>
      <c r="Q4205" s="31"/>
      <c r="R4205" s="33" t="s">
        <v>15571</v>
      </c>
      <c r="S4205" s="34" t="str">
        <f>HYPERLINK("http://www.cnpol.ru/covers/21344.jpg","фото на сайте")</f>
        <v>фото на сайте</v>
      </c>
    </row>
    <row r="4206" spans="1:19" ht="50.1" customHeight="1">
      <c r="A4206" s="31"/>
      <c r="B4206" s="32" t="s">
        <v>15572</v>
      </c>
      <c r="C4206" s="31" t="s">
        <v>37</v>
      </c>
      <c r="D4206" s="31" t="s">
        <v>15573</v>
      </c>
      <c r="E4206" s="31" t="s">
        <v>15574</v>
      </c>
      <c r="F4206" s="31" t="s">
        <v>31</v>
      </c>
      <c r="G4206" s="31">
        <v>719</v>
      </c>
      <c r="H4206" s="31">
        <v>10</v>
      </c>
      <c r="I4206" s="31">
        <v>6</v>
      </c>
      <c r="J4206" s="31" t="s">
        <v>15575</v>
      </c>
      <c r="K4206" s="31" t="s">
        <v>33</v>
      </c>
      <c r="L4206" s="31" t="s">
        <v>34</v>
      </c>
      <c r="M4206" s="31">
        <v>640</v>
      </c>
      <c r="N4206" s="31">
        <v>2021</v>
      </c>
      <c r="O4206" s="31">
        <v>466</v>
      </c>
      <c r="P4206" s="31"/>
      <c r="Q4206" s="31"/>
      <c r="R4206" s="33"/>
      <c r="S4206" s="34" t="str">
        <f>HYPERLINK("http://www.cnpol.ru/covers/19523.jpg","фото на сайте")</f>
        <v>фото на сайте</v>
      </c>
    </row>
    <row r="4207" spans="1:19" ht="50.1" customHeight="1">
      <c r="A4207" s="31"/>
      <c r="B4207" s="32" t="s">
        <v>15576</v>
      </c>
      <c r="C4207" s="31" t="s">
        <v>2056</v>
      </c>
      <c r="D4207" s="31" t="s">
        <v>15577</v>
      </c>
      <c r="E4207" s="31" t="s">
        <v>15578</v>
      </c>
      <c r="F4207" s="31" t="s">
        <v>31</v>
      </c>
      <c r="G4207" s="35">
        <v>1412</v>
      </c>
      <c r="H4207" s="31">
        <v>10</v>
      </c>
      <c r="I4207" s="31">
        <v>8</v>
      </c>
      <c r="J4207" s="31" t="s">
        <v>15579</v>
      </c>
      <c r="K4207" s="31" t="s">
        <v>33</v>
      </c>
      <c r="L4207" s="31" t="s">
        <v>34</v>
      </c>
      <c r="M4207" s="31">
        <v>624</v>
      </c>
      <c r="N4207" s="31">
        <v>2021</v>
      </c>
      <c r="O4207" s="31">
        <v>472</v>
      </c>
      <c r="P4207" s="31"/>
      <c r="Q4207" s="31"/>
      <c r="R4207" s="33"/>
      <c r="S4207" s="34" t="str">
        <f>HYPERLINK("http://www.cnpol.ru/covers/19706.jpg","фото на сайте")</f>
        <v>фото на сайте</v>
      </c>
    </row>
    <row r="4208" spans="1:19" ht="50.1" customHeight="1">
      <c r="A4208" s="31"/>
      <c r="B4208" s="32" t="s">
        <v>15580</v>
      </c>
      <c r="C4208" s="31" t="s">
        <v>1050</v>
      </c>
      <c r="D4208" s="31" t="s">
        <v>3357</v>
      </c>
      <c r="E4208" s="31" t="s">
        <v>15581</v>
      </c>
      <c r="F4208" s="31" t="s">
        <v>31</v>
      </c>
      <c r="G4208" s="31">
        <v>386</v>
      </c>
      <c r="H4208" s="31">
        <v>10</v>
      </c>
      <c r="I4208" s="31">
        <v>24</v>
      </c>
      <c r="J4208" s="31" t="s">
        <v>15582</v>
      </c>
      <c r="K4208" s="31" t="s">
        <v>33</v>
      </c>
      <c r="L4208" s="31" t="s">
        <v>210</v>
      </c>
      <c r="M4208" s="31">
        <v>224</v>
      </c>
      <c r="N4208" s="31">
        <v>2020</v>
      </c>
      <c r="O4208" s="31">
        <v>208</v>
      </c>
      <c r="P4208" s="31"/>
      <c r="Q4208" s="31"/>
      <c r="R4208" s="33"/>
      <c r="S4208" s="34" t="str">
        <f>HYPERLINK("http://www.cnpol.ru/covers/19129.jpg","фото на сайте")</f>
        <v>фото на сайте</v>
      </c>
    </row>
    <row r="4209" spans="1:19" ht="50.1" customHeight="1">
      <c r="A4209" s="31"/>
      <c r="B4209" s="32" t="s">
        <v>15583</v>
      </c>
      <c r="C4209" s="31" t="s">
        <v>1050</v>
      </c>
      <c r="D4209" s="31" t="s">
        <v>15584</v>
      </c>
      <c r="E4209" s="31" t="s">
        <v>15585</v>
      </c>
      <c r="F4209" s="31" t="s">
        <v>31</v>
      </c>
      <c r="G4209" s="31">
        <v>386</v>
      </c>
      <c r="H4209" s="31">
        <v>10</v>
      </c>
      <c r="I4209" s="31">
        <v>20</v>
      </c>
      <c r="J4209" s="31" t="s">
        <v>15586</v>
      </c>
      <c r="K4209" s="31" t="s">
        <v>33</v>
      </c>
      <c r="L4209" s="31" t="s">
        <v>210</v>
      </c>
      <c r="M4209" s="31">
        <v>256</v>
      </c>
      <c r="N4209" s="31">
        <v>2018</v>
      </c>
      <c r="O4209" s="31">
        <v>186</v>
      </c>
      <c r="P4209" s="31"/>
      <c r="Q4209" s="31"/>
      <c r="R4209" s="33"/>
      <c r="S4209" s="34" t="str">
        <f>HYPERLINK("http://www.cnpol.ru/covers/18306.jpg","фото на сайте")</f>
        <v>фото на сайте</v>
      </c>
    </row>
    <row r="4210" spans="1:19" ht="50.1" customHeight="1">
      <c r="A4210" s="31"/>
      <c r="B4210" s="32" t="s">
        <v>15587</v>
      </c>
      <c r="C4210" s="31" t="s">
        <v>779</v>
      </c>
      <c r="D4210" s="31" t="s">
        <v>15588</v>
      </c>
      <c r="E4210" s="31" t="s">
        <v>15589</v>
      </c>
      <c r="F4210" s="31" t="s">
        <v>31</v>
      </c>
      <c r="G4210" s="31">
        <v>777</v>
      </c>
      <c r="H4210" s="31">
        <v>10</v>
      </c>
      <c r="I4210" s="31">
        <v>16</v>
      </c>
      <c r="J4210" s="31" t="s">
        <v>15590</v>
      </c>
      <c r="K4210" s="31" t="s">
        <v>33</v>
      </c>
      <c r="L4210" s="31" t="s">
        <v>34</v>
      </c>
      <c r="M4210" s="31">
        <v>207</v>
      </c>
      <c r="N4210" s="31">
        <v>2021</v>
      </c>
      <c r="O4210" s="31">
        <v>132</v>
      </c>
      <c r="P4210" s="31"/>
      <c r="Q4210" s="31"/>
      <c r="R4210" s="33"/>
      <c r="S4210" s="34" t="str">
        <f>HYPERLINK("http://www.cnpol.ru/covers/19870.jpg","фото на сайте")</f>
        <v>фото на сайте</v>
      </c>
    </row>
    <row r="4211" spans="1:19" ht="50.1" customHeight="1">
      <c r="A4211" s="31"/>
      <c r="B4211" s="32" t="s">
        <v>15591</v>
      </c>
      <c r="C4211" s="31" t="s">
        <v>15592</v>
      </c>
      <c r="D4211" s="31" t="s">
        <v>15593</v>
      </c>
      <c r="E4211" s="31" t="s">
        <v>15594</v>
      </c>
      <c r="F4211" s="31" t="s">
        <v>31</v>
      </c>
      <c r="G4211" s="31">
        <v>539</v>
      </c>
      <c r="H4211" s="31">
        <v>10</v>
      </c>
      <c r="I4211" s="31">
        <v>14</v>
      </c>
      <c r="J4211" s="31" t="s">
        <v>15595</v>
      </c>
      <c r="K4211" s="31" t="s">
        <v>33</v>
      </c>
      <c r="L4211" s="31" t="s">
        <v>34</v>
      </c>
      <c r="M4211" s="31">
        <v>270</v>
      </c>
      <c r="N4211" s="31">
        <v>2008</v>
      </c>
      <c r="O4211" s="31">
        <v>302</v>
      </c>
      <c r="P4211" s="31"/>
      <c r="Q4211" s="31"/>
      <c r="R4211" s="33"/>
      <c r="S4211" s="34" t="str">
        <f>HYPERLINK("http://www.cnpol.ru/covers/10185.jpg","фото на сайте")</f>
        <v>фото на сайте</v>
      </c>
    </row>
    <row r="4212" spans="1:19" ht="50.1" customHeight="1">
      <c r="A4212" s="31" t="s">
        <v>43</v>
      </c>
      <c r="B4212" s="32" t="s">
        <v>15596</v>
      </c>
      <c r="C4212" s="31" t="s">
        <v>779</v>
      </c>
      <c r="D4212" s="31" t="s">
        <v>15597</v>
      </c>
      <c r="E4212" s="31" t="s">
        <v>15598</v>
      </c>
      <c r="F4212" s="31" t="s">
        <v>31</v>
      </c>
      <c r="G4212" s="31">
        <v>887</v>
      </c>
      <c r="H4212" s="31">
        <v>10</v>
      </c>
      <c r="I4212" s="31">
        <v>10</v>
      </c>
      <c r="J4212" s="31" t="s">
        <v>15599</v>
      </c>
      <c r="K4212" s="31" t="s">
        <v>33</v>
      </c>
      <c r="L4212" s="31" t="s">
        <v>34</v>
      </c>
      <c r="M4212" s="31">
        <v>270</v>
      </c>
      <c r="N4212" s="31">
        <v>2026</v>
      </c>
      <c r="O4212" s="31" t="s">
        <v>220</v>
      </c>
      <c r="P4212" s="31"/>
      <c r="Q4212" s="31"/>
      <c r="R4212" s="33" t="s">
        <v>15600</v>
      </c>
      <c r="S4212" s="34" t="str">
        <f>HYPERLINK("http://www.cnpol.ru/covers/21878.jpg","фото на сайте")</f>
        <v>фото на сайте</v>
      </c>
    </row>
    <row r="4213" spans="1:19" ht="50.1" customHeight="1">
      <c r="A4213" s="31"/>
      <c r="B4213" s="32" t="s">
        <v>15601</v>
      </c>
      <c r="C4213" s="31" t="s">
        <v>390</v>
      </c>
      <c r="D4213" s="31" t="s">
        <v>1754</v>
      </c>
      <c r="E4213" s="31" t="s">
        <v>15602</v>
      </c>
      <c r="F4213" s="31">
        <v>1033</v>
      </c>
      <c r="G4213" s="31">
        <v>86</v>
      </c>
      <c r="H4213" s="31">
        <v>10</v>
      </c>
      <c r="I4213" s="31">
        <v>30</v>
      </c>
      <c r="J4213" s="31" t="s">
        <v>15603</v>
      </c>
      <c r="K4213" s="31" t="s">
        <v>123</v>
      </c>
      <c r="L4213" s="31" t="s">
        <v>56</v>
      </c>
      <c r="M4213" s="31">
        <v>160</v>
      </c>
      <c r="N4213" s="31">
        <v>2021</v>
      </c>
      <c r="O4213" s="31">
        <v>76</v>
      </c>
      <c r="P4213" s="31"/>
      <c r="Q4213" s="31"/>
      <c r="R4213" s="33"/>
      <c r="S4213" s="34" t="str">
        <f>HYPERLINK("http://www.cnpol.ru/covers/19642.jpg","фото на сайте")</f>
        <v>фото на сайте</v>
      </c>
    </row>
    <row r="4214" spans="1:19" ht="50.1" customHeight="1">
      <c r="A4214" s="31"/>
      <c r="B4214" s="32" t="s">
        <v>15604</v>
      </c>
      <c r="C4214" s="31" t="s">
        <v>390</v>
      </c>
      <c r="D4214" s="31" t="s">
        <v>2177</v>
      </c>
      <c r="E4214" s="31" t="s">
        <v>15605</v>
      </c>
      <c r="F4214" s="31">
        <v>885</v>
      </c>
      <c r="G4214" s="31">
        <v>86</v>
      </c>
      <c r="H4214" s="31">
        <v>10</v>
      </c>
      <c r="I4214" s="31">
        <v>30</v>
      </c>
      <c r="J4214" s="31" t="s">
        <v>15606</v>
      </c>
      <c r="K4214" s="31" t="s">
        <v>123</v>
      </c>
      <c r="L4214" s="31" t="s">
        <v>56</v>
      </c>
      <c r="M4214" s="31">
        <v>160</v>
      </c>
      <c r="N4214" s="31">
        <v>2019</v>
      </c>
      <c r="O4214" s="31">
        <v>78</v>
      </c>
      <c r="P4214" s="31"/>
      <c r="Q4214" s="31"/>
      <c r="R4214" s="33"/>
      <c r="S4214" s="34" t="str">
        <f>HYPERLINK("http://www.cnpol.ru/covers/18604.jpg","фото на сайте")</f>
        <v>фото на сайте</v>
      </c>
    </row>
    <row r="4215" spans="1:19" ht="50.1" customHeight="1">
      <c r="A4215" s="31"/>
      <c r="B4215" s="32" t="s">
        <v>15607</v>
      </c>
      <c r="C4215" s="31" t="s">
        <v>390</v>
      </c>
      <c r="D4215" s="31" t="s">
        <v>1343</v>
      </c>
      <c r="E4215" s="31" t="s">
        <v>15608</v>
      </c>
      <c r="F4215" s="31">
        <v>486</v>
      </c>
      <c r="G4215" s="31">
        <v>86</v>
      </c>
      <c r="H4215" s="31">
        <v>10</v>
      </c>
      <c r="I4215" s="31">
        <v>30</v>
      </c>
      <c r="J4215" s="31" t="s">
        <v>15609</v>
      </c>
      <c r="K4215" s="31" t="s">
        <v>123</v>
      </c>
      <c r="L4215" s="31" t="s">
        <v>56</v>
      </c>
      <c r="M4215" s="31">
        <v>158</v>
      </c>
      <c r="N4215" s="31">
        <v>2015</v>
      </c>
      <c r="O4215" s="31">
        <v>74</v>
      </c>
      <c r="P4215" s="31"/>
      <c r="Q4215" s="31"/>
      <c r="R4215" s="33"/>
      <c r="S4215" s="34" t="str">
        <f>HYPERLINK("http://www.cnpol.ru/covers/15771.jpg","фото на сайте")</f>
        <v>фото на сайте</v>
      </c>
    </row>
    <row r="4216" spans="1:19" ht="50.1" customHeight="1">
      <c r="A4216" s="31"/>
      <c r="B4216" s="32" t="s">
        <v>15610</v>
      </c>
      <c r="C4216" s="31" t="s">
        <v>993</v>
      </c>
      <c r="D4216" s="31" t="s">
        <v>8572</v>
      </c>
      <c r="E4216" s="31" t="s">
        <v>15611</v>
      </c>
      <c r="F4216" s="31" t="s">
        <v>31</v>
      </c>
      <c r="G4216" s="31">
        <v>88</v>
      </c>
      <c r="H4216" s="31">
        <v>10</v>
      </c>
      <c r="I4216" s="31">
        <v>40</v>
      </c>
      <c r="J4216" s="31" t="s">
        <v>15612</v>
      </c>
      <c r="K4216" s="31" t="s">
        <v>123</v>
      </c>
      <c r="L4216" s="31" t="s">
        <v>56</v>
      </c>
      <c r="M4216" s="31">
        <v>125</v>
      </c>
      <c r="N4216" s="31">
        <v>2008</v>
      </c>
      <c r="O4216" s="31">
        <v>60</v>
      </c>
      <c r="P4216" s="31"/>
      <c r="Q4216" s="31"/>
      <c r="R4216" s="33"/>
      <c r="S4216" s="34" t="str">
        <f>HYPERLINK("http://www.cnpol.ru/covers/10008.jpg","фото на сайте")</f>
        <v>фото на сайте</v>
      </c>
    </row>
    <row r="4217" spans="1:19" ht="50.1" customHeight="1">
      <c r="A4217" s="31"/>
      <c r="B4217" s="32" t="s">
        <v>15613</v>
      </c>
      <c r="C4217" s="31" t="s">
        <v>1050</v>
      </c>
      <c r="D4217" s="31" t="s">
        <v>15614</v>
      </c>
      <c r="E4217" s="31" t="s">
        <v>15615</v>
      </c>
      <c r="F4217" s="31" t="s">
        <v>31</v>
      </c>
      <c r="G4217" s="31">
        <v>386</v>
      </c>
      <c r="H4217" s="31">
        <v>10</v>
      </c>
      <c r="I4217" s="31">
        <v>16</v>
      </c>
      <c r="J4217" s="31" t="s">
        <v>15616</v>
      </c>
      <c r="K4217" s="31" t="s">
        <v>33</v>
      </c>
      <c r="L4217" s="31" t="s">
        <v>210</v>
      </c>
      <c r="M4217" s="31">
        <v>349</v>
      </c>
      <c r="N4217" s="31">
        <v>2023</v>
      </c>
      <c r="O4217" s="31">
        <v>252</v>
      </c>
      <c r="P4217" s="31"/>
      <c r="Q4217" s="31"/>
      <c r="R4217" s="33" t="s">
        <v>15617</v>
      </c>
      <c r="S4217" s="34" t="str">
        <f>HYPERLINK("http://www.cnpol.ru/covers/20806.jpg","фото на сайте")</f>
        <v>фото на сайте</v>
      </c>
    </row>
    <row r="4218" spans="1:19" ht="50.1" customHeight="1">
      <c r="A4218" s="31"/>
      <c r="B4218" s="32" t="s">
        <v>15618</v>
      </c>
      <c r="C4218" s="31" t="s">
        <v>390</v>
      </c>
      <c r="D4218" s="31" t="s">
        <v>4721</v>
      </c>
      <c r="E4218" s="31" t="s">
        <v>15619</v>
      </c>
      <c r="F4218" s="31">
        <v>510</v>
      </c>
      <c r="G4218" s="31">
        <v>86</v>
      </c>
      <c r="H4218" s="31">
        <v>10</v>
      </c>
      <c r="I4218" s="31">
        <v>30</v>
      </c>
      <c r="J4218" s="31" t="s">
        <v>15620</v>
      </c>
      <c r="K4218" s="31" t="s">
        <v>123</v>
      </c>
      <c r="L4218" s="31" t="s">
        <v>56</v>
      </c>
      <c r="M4218" s="31">
        <v>158</v>
      </c>
      <c r="N4218" s="31">
        <v>2015</v>
      </c>
      <c r="O4218" s="31">
        <v>78</v>
      </c>
      <c r="P4218" s="31"/>
      <c r="Q4218" s="31"/>
      <c r="R4218" s="33"/>
      <c r="S4218" s="34" t="str">
        <f>HYPERLINK("http://www.cnpol.ru/covers/15958.jpg","фото на сайте")</f>
        <v>фото на сайте</v>
      </c>
    </row>
    <row r="4219" spans="1:19" ht="50.1" customHeight="1">
      <c r="A4219" s="31"/>
      <c r="B4219" s="32" t="s">
        <v>15621</v>
      </c>
      <c r="C4219" s="31" t="s">
        <v>479</v>
      </c>
      <c r="D4219" s="31" t="s">
        <v>13362</v>
      </c>
      <c r="E4219" s="31" t="s">
        <v>15622</v>
      </c>
      <c r="F4219" s="31" t="s">
        <v>31</v>
      </c>
      <c r="G4219" s="31">
        <v>593</v>
      </c>
      <c r="H4219" s="31">
        <v>10</v>
      </c>
      <c r="I4219" s="31">
        <v>14</v>
      </c>
      <c r="J4219" s="31" t="s">
        <v>15623</v>
      </c>
      <c r="K4219" s="31" t="s">
        <v>33</v>
      </c>
      <c r="L4219" s="31" t="s">
        <v>34</v>
      </c>
      <c r="M4219" s="31">
        <v>288</v>
      </c>
      <c r="N4219" s="31">
        <v>2016</v>
      </c>
      <c r="O4219" s="31">
        <v>316</v>
      </c>
      <c r="P4219" s="31"/>
      <c r="Q4219" s="31"/>
      <c r="R4219" s="33"/>
      <c r="S4219" s="34" t="str">
        <f>HYPERLINK("http://www.cnpol.ru/covers/16914.jpg","фото на сайте")</f>
        <v>фото на сайте</v>
      </c>
    </row>
    <row r="4220" spans="1:19" ht="50.1" customHeight="1">
      <c r="A4220" s="31"/>
      <c r="B4220" s="32" t="s">
        <v>15624</v>
      </c>
      <c r="C4220" s="31" t="s">
        <v>479</v>
      </c>
      <c r="D4220" s="31" t="s">
        <v>15625</v>
      </c>
      <c r="E4220" s="31" t="s">
        <v>15626</v>
      </c>
      <c r="F4220" s="31" t="s">
        <v>31</v>
      </c>
      <c r="G4220" s="31">
        <v>461</v>
      </c>
      <c r="H4220" s="31">
        <v>10</v>
      </c>
      <c r="I4220" s="31">
        <v>16</v>
      </c>
      <c r="J4220" s="31" t="s">
        <v>15627</v>
      </c>
      <c r="K4220" s="31" t="s">
        <v>33</v>
      </c>
      <c r="L4220" s="31" t="s">
        <v>34</v>
      </c>
      <c r="M4220" s="31">
        <v>256</v>
      </c>
      <c r="N4220" s="31">
        <v>2018</v>
      </c>
      <c r="O4220" s="31">
        <v>232</v>
      </c>
      <c r="P4220" s="31"/>
      <c r="Q4220" s="31"/>
      <c r="R4220" s="33"/>
      <c r="S4220" s="34" t="str">
        <f>HYPERLINK("http://www.cnpol.ru/covers/18037.jpg","фото на сайте")</f>
        <v>фото на сайте</v>
      </c>
    </row>
    <row r="4221" spans="1:19" ht="50.1" customHeight="1">
      <c r="A4221" s="31" t="s">
        <v>43</v>
      </c>
      <c r="B4221" s="32" t="s">
        <v>15628</v>
      </c>
      <c r="C4221" s="31" t="s">
        <v>143</v>
      </c>
      <c r="D4221" s="31" t="s">
        <v>15629</v>
      </c>
      <c r="E4221" s="31" t="s">
        <v>15630</v>
      </c>
      <c r="F4221" s="31" t="s">
        <v>31</v>
      </c>
      <c r="G4221" s="35">
        <v>1610</v>
      </c>
      <c r="H4221" s="31">
        <v>10</v>
      </c>
      <c r="I4221" s="31">
        <v>4</v>
      </c>
      <c r="J4221" s="31" t="s">
        <v>15631</v>
      </c>
      <c r="K4221" s="31" t="s">
        <v>41</v>
      </c>
      <c r="L4221" s="31" t="s">
        <v>34</v>
      </c>
      <c r="M4221" s="31">
        <v>798</v>
      </c>
      <c r="N4221" s="31">
        <v>2025</v>
      </c>
      <c r="O4221" s="31">
        <v>764</v>
      </c>
      <c r="P4221" s="31"/>
      <c r="Q4221" s="31"/>
      <c r="R4221" s="33" t="s">
        <v>15632</v>
      </c>
      <c r="S4221" s="34" t="str">
        <f>HYPERLINK("http://www.cnpol.ru/covers/21532.jpg","фото на сайте")</f>
        <v>фото на сайте</v>
      </c>
    </row>
    <row r="4222" spans="1:19" ht="50.1" customHeight="1">
      <c r="A4222" s="31" t="s">
        <v>43</v>
      </c>
      <c r="B4222" s="32" t="s">
        <v>15633</v>
      </c>
      <c r="C4222" s="31" t="s">
        <v>143</v>
      </c>
      <c r="D4222" s="31" t="s">
        <v>15629</v>
      </c>
      <c r="E4222" s="31" t="s">
        <v>15634</v>
      </c>
      <c r="F4222" s="31" t="s">
        <v>31</v>
      </c>
      <c r="G4222" s="35">
        <v>1290</v>
      </c>
      <c r="H4222" s="31">
        <v>10</v>
      </c>
      <c r="I4222" s="31">
        <v>5</v>
      </c>
      <c r="J4222" s="31" t="s">
        <v>15635</v>
      </c>
      <c r="K4222" s="31" t="s">
        <v>41</v>
      </c>
      <c r="L4222" s="31" t="s">
        <v>34</v>
      </c>
      <c r="M4222" s="31">
        <v>508</v>
      </c>
      <c r="N4222" s="31">
        <v>2025</v>
      </c>
      <c r="O4222" s="31">
        <v>542</v>
      </c>
      <c r="P4222" s="31"/>
      <c r="Q4222" s="31"/>
      <c r="R4222" s="33" t="s">
        <v>15636</v>
      </c>
      <c r="S4222" s="34" t="str">
        <f>HYPERLINK("http://www.cnpol.ru/covers/21531.jpg","фото на сайте")</f>
        <v>фото на сайте</v>
      </c>
    </row>
    <row r="4223" spans="1:19" ht="50.1" customHeight="1">
      <c r="A4223" s="31"/>
      <c r="B4223" s="32" t="s">
        <v>15637</v>
      </c>
      <c r="C4223" s="31" t="s">
        <v>37</v>
      </c>
      <c r="D4223" s="31" t="s">
        <v>13362</v>
      </c>
      <c r="E4223" s="31" t="s">
        <v>15638</v>
      </c>
      <c r="F4223" s="31" t="s">
        <v>31</v>
      </c>
      <c r="G4223" s="31">
        <v>593</v>
      </c>
      <c r="H4223" s="31">
        <v>10</v>
      </c>
      <c r="I4223" s="31">
        <v>18</v>
      </c>
      <c r="J4223" s="31" t="s">
        <v>15639</v>
      </c>
      <c r="K4223" s="31" t="s">
        <v>33</v>
      </c>
      <c r="L4223" s="31" t="s">
        <v>34</v>
      </c>
      <c r="M4223" s="31">
        <v>288</v>
      </c>
      <c r="N4223" s="31">
        <v>2017</v>
      </c>
      <c r="O4223" s="31">
        <v>314</v>
      </c>
      <c r="P4223" s="31"/>
      <c r="Q4223" s="31"/>
      <c r="R4223" s="33"/>
      <c r="S4223" s="34" t="str">
        <f>HYPERLINK("http://www.cnpol.ru/covers/17509.jpg","фото на сайте")</f>
        <v>фото на сайте</v>
      </c>
    </row>
    <row r="4224" spans="1:19" ht="50.1" customHeight="1">
      <c r="A4224" s="31" t="s">
        <v>35</v>
      </c>
      <c r="B4224" s="32" t="s">
        <v>15640</v>
      </c>
      <c r="C4224" s="31" t="s">
        <v>37</v>
      </c>
      <c r="D4224" s="31" t="s">
        <v>15641</v>
      </c>
      <c r="E4224" s="31" t="s">
        <v>15642</v>
      </c>
      <c r="F4224" s="31" t="s">
        <v>31</v>
      </c>
      <c r="G4224" s="31">
        <v>874</v>
      </c>
      <c r="H4224" s="31">
        <v>10</v>
      </c>
      <c r="I4224" s="31">
        <v>8</v>
      </c>
      <c r="J4224" s="31" t="s">
        <v>15643</v>
      </c>
      <c r="K4224" s="31" t="s">
        <v>33</v>
      </c>
      <c r="L4224" s="31" t="s">
        <v>34</v>
      </c>
      <c r="M4224" s="31">
        <v>315</v>
      </c>
      <c r="N4224" s="31">
        <v>2025</v>
      </c>
      <c r="O4224" s="31">
        <v>366</v>
      </c>
      <c r="P4224" s="31"/>
      <c r="Q4224" s="31"/>
      <c r="R4224" s="33" t="s">
        <v>15644</v>
      </c>
      <c r="S4224" s="34" t="str">
        <f>HYPERLINK("http://www.cnpol.ru/covers/21522.jpg","фото на сайте")</f>
        <v>фото на сайте</v>
      </c>
    </row>
    <row r="4225" spans="1:19" ht="50.1" customHeight="1">
      <c r="A4225" s="31"/>
      <c r="B4225" s="32" t="s">
        <v>15645</v>
      </c>
      <c r="C4225" s="31" t="s">
        <v>15646</v>
      </c>
      <c r="D4225" s="31" t="s">
        <v>15647</v>
      </c>
      <c r="E4225" s="31" t="s">
        <v>15648</v>
      </c>
      <c r="F4225" s="31" t="s">
        <v>31</v>
      </c>
      <c r="G4225" s="31">
        <v>620</v>
      </c>
      <c r="H4225" s="31">
        <v>10</v>
      </c>
      <c r="I4225" s="31">
        <v>10</v>
      </c>
      <c r="J4225" s="31" t="s">
        <v>15649</v>
      </c>
      <c r="K4225" s="31" t="s">
        <v>319</v>
      </c>
      <c r="L4225" s="31" t="s">
        <v>34</v>
      </c>
      <c r="M4225" s="31">
        <v>192</v>
      </c>
      <c r="N4225" s="31">
        <v>2014</v>
      </c>
      <c r="O4225" s="31">
        <v>504</v>
      </c>
      <c r="P4225" s="31"/>
      <c r="Q4225" s="31"/>
      <c r="R4225" s="33"/>
      <c r="S4225" s="34" t="str">
        <f>HYPERLINK("http://www.cnpol.ru/covers/14817.jpg","фото на сайте")</f>
        <v>фото на сайте</v>
      </c>
    </row>
    <row r="4226" spans="1:19" ht="50.1" customHeight="1">
      <c r="A4226" s="31" t="s">
        <v>43</v>
      </c>
      <c r="B4226" s="32" t="s">
        <v>15650</v>
      </c>
      <c r="C4226" s="31" t="s">
        <v>454</v>
      </c>
      <c r="D4226" s="31" t="s">
        <v>3307</v>
      </c>
      <c r="E4226" s="31" t="s">
        <v>15651</v>
      </c>
      <c r="F4226" s="31" t="s">
        <v>31</v>
      </c>
      <c r="G4226" s="35">
        <v>1009</v>
      </c>
      <c r="H4226" s="31">
        <v>10</v>
      </c>
      <c r="I4226" s="31">
        <v>5</v>
      </c>
      <c r="J4226" s="31" t="s">
        <v>15652</v>
      </c>
      <c r="K4226" s="31" t="s">
        <v>33</v>
      </c>
      <c r="L4226" s="31" t="s">
        <v>34</v>
      </c>
      <c r="M4226" s="31">
        <v>380</v>
      </c>
      <c r="N4226" s="31">
        <v>2024</v>
      </c>
      <c r="O4226" s="31">
        <v>324</v>
      </c>
      <c r="P4226" s="31"/>
      <c r="Q4226" s="31"/>
      <c r="R4226" s="33" t="s">
        <v>15653</v>
      </c>
      <c r="S4226" s="34" t="str">
        <f>HYPERLINK("http://www.cnpol.ru/covers/21354.jpg","фото на сайте")</f>
        <v>фото на сайте</v>
      </c>
    </row>
    <row r="4227" spans="1:19" ht="50.1" customHeight="1">
      <c r="A4227" s="31" t="s">
        <v>43</v>
      </c>
      <c r="B4227" s="32" t="s">
        <v>15654</v>
      </c>
      <c r="C4227" s="31" t="s">
        <v>746</v>
      </c>
      <c r="D4227" s="31" t="s">
        <v>15655</v>
      </c>
      <c r="E4227" s="31" t="s">
        <v>15656</v>
      </c>
      <c r="F4227" s="31" t="s">
        <v>31</v>
      </c>
      <c r="G4227" s="31">
        <v>522</v>
      </c>
      <c r="H4227" s="31">
        <v>10</v>
      </c>
      <c r="I4227" s="31">
        <v>16</v>
      </c>
      <c r="J4227" s="31" t="s">
        <v>15657</v>
      </c>
      <c r="K4227" s="31" t="s">
        <v>33</v>
      </c>
      <c r="L4227" s="31" t="s">
        <v>34</v>
      </c>
      <c r="M4227" s="31">
        <v>319</v>
      </c>
      <c r="N4227" s="31">
        <v>2025</v>
      </c>
      <c r="O4227" s="31">
        <v>222</v>
      </c>
      <c r="P4227" s="31"/>
      <c r="Q4227" s="31"/>
      <c r="R4227" s="33" t="s">
        <v>15658</v>
      </c>
      <c r="S4227" s="34" t="str">
        <f>HYPERLINK("http://www.cnpol.ru/covers/21639.jpg","фото на сайте")</f>
        <v>фото на сайте</v>
      </c>
    </row>
    <row r="4228" spans="1:19" ht="50.1" customHeight="1">
      <c r="A4228" s="31" t="s">
        <v>43</v>
      </c>
      <c r="B4228" s="32" t="s">
        <v>15659</v>
      </c>
      <c r="C4228" s="31" t="s">
        <v>37</v>
      </c>
      <c r="D4228" s="31" t="s">
        <v>15660</v>
      </c>
      <c r="E4228" s="31" t="s">
        <v>15661</v>
      </c>
      <c r="F4228" s="31" t="s">
        <v>31</v>
      </c>
      <c r="G4228" s="35">
        <v>1107</v>
      </c>
      <c r="H4228" s="31">
        <v>10</v>
      </c>
      <c r="I4228" s="31">
        <v>8</v>
      </c>
      <c r="J4228" s="31" t="s">
        <v>15662</v>
      </c>
      <c r="K4228" s="31" t="s">
        <v>33</v>
      </c>
      <c r="L4228" s="31" t="s">
        <v>34</v>
      </c>
      <c r="M4228" s="31">
        <v>431</v>
      </c>
      <c r="N4228" s="31">
        <v>2026</v>
      </c>
      <c r="O4228" s="31" t="s">
        <v>220</v>
      </c>
      <c r="P4228" s="31"/>
      <c r="Q4228" s="31"/>
      <c r="R4228" s="33" t="s">
        <v>15663</v>
      </c>
      <c r="S4228" s="34" t="str">
        <f>HYPERLINK("http://www.cnpol.ru/covers/21885.jpg","фото на сайте")</f>
        <v>фото на сайте</v>
      </c>
    </row>
    <row r="4229" spans="1:19" ht="50.1" customHeight="1">
      <c r="A4229" s="31"/>
      <c r="B4229" s="32" t="s">
        <v>15664</v>
      </c>
      <c r="C4229" s="31" t="s">
        <v>37</v>
      </c>
      <c r="D4229" s="31" t="s">
        <v>15665</v>
      </c>
      <c r="E4229" s="31" t="s">
        <v>15666</v>
      </c>
      <c r="F4229" s="31" t="s">
        <v>31</v>
      </c>
      <c r="G4229" s="35">
        <v>1821</v>
      </c>
      <c r="H4229" s="31">
        <v>10</v>
      </c>
      <c r="I4229" s="31">
        <v>6</v>
      </c>
      <c r="J4229" s="31" t="s">
        <v>15667</v>
      </c>
      <c r="K4229" s="31" t="s">
        <v>33</v>
      </c>
      <c r="L4229" s="31" t="s">
        <v>34</v>
      </c>
      <c r="M4229" s="31">
        <v>702</v>
      </c>
      <c r="N4229" s="31">
        <v>2022</v>
      </c>
      <c r="O4229" s="31">
        <v>664</v>
      </c>
      <c r="P4229" s="31"/>
      <c r="Q4229" s="31"/>
      <c r="R4229" s="33"/>
      <c r="S4229" s="34" t="str">
        <f>HYPERLINK("http://www.cnpol.ru/covers/20124.jpg","фото на сайте")</f>
        <v>фото на сайте</v>
      </c>
    </row>
    <row r="4230" spans="1:19" ht="50.1" customHeight="1">
      <c r="A4230" s="31" t="s">
        <v>43</v>
      </c>
      <c r="B4230" s="32" t="s">
        <v>15668</v>
      </c>
      <c r="C4230" s="31" t="s">
        <v>454</v>
      </c>
      <c r="D4230" s="31" t="s">
        <v>15669</v>
      </c>
      <c r="E4230" s="31" t="s">
        <v>15670</v>
      </c>
      <c r="F4230" s="31" t="s">
        <v>31</v>
      </c>
      <c r="G4230" s="31">
        <v>938</v>
      </c>
      <c r="H4230" s="31">
        <v>10</v>
      </c>
      <c r="I4230" s="31">
        <v>12</v>
      </c>
      <c r="J4230" s="31" t="s">
        <v>15671</v>
      </c>
      <c r="K4230" s="31" t="s">
        <v>33</v>
      </c>
      <c r="L4230" s="31" t="s">
        <v>34</v>
      </c>
      <c r="M4230" s="31">
        <v>319</v>
      </c>
      <c r="N4230" s="31">
        <v>2021</v>
      </c>
      <c r="O4230" s="31">
        <v>299</v>
      </c>
      <c r="P4230" s="31"/>
      <c r="Q4230" s="31"/>
      <c r="R4230" s="33" t="s">
        <v>15672</v>
      </c>
      <c r="S4230" s="34" t="str">
        <f>HYPERLINK("http://www.cnpol.ru/covers/21437.jpg","фото на сайте")</f>
        <v>фото на сайте</v>
      </c>
    </row>
    <row r="4231" spans="1:19" ht="50.1" customHeight="1">
      <c r="A4231" s="31"/>
      <c r="B4231" s="32" t="s">
        <v>15673</v>
      </c>
      <c r="C4231" s="31" t="s">
        <v>3144</v>
      </c>
      <c r="D4231" s="31" t="s">
        <v>2408</v>
      </c>
      <c r="E4231" s="31" t="s">
        <v>15674</v>
      </c>
      <c r="F4231" s="31" t="s">
        <v>31</v>
      </c>
      <c r="G4231" s="31">
        <v>503</v>
      </c>
      <c r="H4231" s="31">
        <v>10</v>
      </c>
      <c r="I4231" s="31">
        <v>12</v>
      </c>
      <c r="J4231" s="31" t="s">
        <v>15675</v>
      </c>
      <c r="K4231" s="31" t="s">
        <v>33</v>
      </c>
      <c r="L4231" s="31" t="s">
        <v>34</v>
      </c>
      <c r="M4231" s="31">
        <v>351</v>
      </c>
      <c r="N4231" s="31">
        <v>2017</v>
      </c>
      <c r="O4231" s="31">
        <v>304</v>
      </c>
      <c r="P4231" s="31"/>
      <c r="Q4231" s="31"/>
      <c r="R4231" s="33"/>
      <c r="S4231" s="34" t="str">
        <f>HYPERLINK("http://www.cnpol.ru/covers/17536.jpg","фото на сайте")</f>
        <v>фото на сайте</v>
      </c>
    </row>
    <row r="4232" spans="1:19" ht="50.1" customHeight="1">
      <c r="A4232" s="31" t="s">
        <v>43</v>
      </c>
      <c r="B4232" s="32" t="s">
        <v>15676</v>
      </c>
      <c r="C4232" s="31" t="s">
        <v>454</v>
      </c>
      <c r="D4232" s="31" t="s">
        <v>15677</v>
      </c>
      <c r="E4232" s="31" t="s">
        <v>15678</v>
      </c>
      <c r="F4232" s="31" t="s">
        <v>31</v>
      </c>
      <c r="G4232" s="35">
        <v>1198</v>
      </c>
      <c r="H4232" s="31">
        <v>10</v>
      </c>
      <c r="I4232" s="31">
        <v>8</v>
      </c>
      <c r="J4232" s="31" t="s">
        <v>15679</v>
      </c>
      <c r="K4232" s="31" t="s">
        <v>33</v>
      </c>
      <c r="L4232" s="31" t="s">
        <v>34</v>
      </c>
      <c r="M4232" s="31">
        <v>474</v>
      </c>
      <c r="N4232" s="31">
        <v>2024</v>
      </c>
      <c r="O4232" s="31">
        <v>365</v>
      </c>
      <c r="P4232" s="31"/>
      <c r="Q4232" s="31"/>
      <c r="R4232" s="33" t="s">
        <v>15680</v>
      </c>
      <c r="S4232" s="34" t="str">
        <f>HYPERLINK("http://www.cnpol.ru/covers/21301.jpg","фото на сайте")</f>
        <v>фото на сайте</v>
      </c>
    </row>
    <row r="4233" spans="1:19" ht="50.1" customHeight="1">
      <c r="A4233" s="31"/>
      <c r="B4233" s="32" t="s">
        <v>15681</v>
      </c>
      <c r="C4233" s="31" t="s">
        <v>1516</v>
      </c>
      <c r="D4233" s="31" t="s">
        <v>15682</v>
      </c>
      <c r="E4233" s="31" t="s">
        <v>15683</v>
      </c>
      <c r="F4233" s="31">
        <v>42</v>
      </c>
      <c r="G4233" s="31">
        <v>106</v>
      </c>
      <c r="H4233" s="31">
        <v>10</v>
      </c>
      <c r="I4233" s="31">
        <v>30</v>
      </c>
      <c r="J4233" s="31" t="s">
        <v>15684</v>
      </c>
      <c r="K4233" s="31" t="s">
        <v>123</v>
      </c>
      <c r="L4233" s="31" t="s">
        <v>56</v>
      </c>
      <c r="M4233" s="31">
        <v>159</v>
      </c>
      <c r="N4233" s="31">
        <v>2022</v>
      </c>
      <c r="O4233" s="31">
        <v>79</v>
      </c>
      <c r="P4233" s="31"/>
      <c r="Q4233" s="31"/>
      <c r="R4233" s="33" t="s">
        <v>15685</v>
      </c>
      <c r="S4233" s="34" t="str">
        <f>HYPERLINK("http://www.cnpol.ru/covers/20422.jpg","фото на сайте")</f>
        <v>фото на сайте</v>
      </c>
    </row>
    <row r="4234" spans="1:19" ht="50.1" customHeight="1">
      <c r="A4234" s="31"/>
      <c r="B4234" s="32" t="s">
        <v>15686</v>
      </c>
      <c r="C4234" s="31" t="s">
        <v>546</v>
      </c>
      <c r="D4234" s="31" t="s">
        <v>1427</v>
      </c>
      <c r="E4234" s="31" t="s">
        <v>15687</v>
      </c>
      <c r="F4234" s="31">
        <v>278</v>
      </c>
      <c r="G4234" s="31">
        <v>93</v>
      </c>
      <c r="H4234" s="31">
        <v>10</v>
      </c>
      <c r="I4234" s="31">
        <v>30</v>
      </c>
      <c r="J4234" s="31" t="s">
        <v>15688</v>
      </c>
      <c r="K4234" s="31" t="s">
        <v>123</v>
      </c>
      <c r="L4234" s="31" t="s">
        <v>56</v>
      </c>
      <c r="M4234" s="31">
        <v>160</v>
      </c>
      <c r="N4234" s="31">
        <v>2018</v>
      </c>
      <c r="O4234" s="31">
        <v>76</v>
      </c>
      <c r="P4234" s="31"/>
      <c r="Q4234" s="31"/>
      <c r="R4234" s="33"/>
      <c r="S4234" s="34" t="str">
        <f>HYPERLINK("http://www.cnpol.ru/covers/18299.jpg","фото на сайте")</f>
        <v>фото на сайте</v>
      </c>
    </row>
    <row r="4235" spans="1:19" ht="50.1" customHeight="1">
      <c r="A4235" s="31"/>
      <c r="B4235" s="32" t="s">
        <v>15689</v>
      </c>
      <c r="C4235" s="31" t="s">
        <v>1102</v>
      </c>
      <c r="D4235" s="31" t="s">
        <v>15690</v>
      </c>
      <c r="E4235" s="31" t="s">
        <v>15691</v>
      </c>
      <c r="F4235" s="31" t="s">
        <v>31</v>
      </c>
      <c r="G4235" s="31">
        <v>593</v>
      </c>
      <c r="H4235" s="31">
        <v>10</v>
      </c>
      <c r="I4235" s="31">
        <v>16</v>
      </c>
      <c r="J4235" s="31" t="s">
        <v>15692</v>
      </c>
      <c r="K4235" s="31" t="s">
        <v>33</v>
      </c>
      <c r="L4235" s="31" t="s">
        <v>34</v>
      </c>
      <c r="M4235" s="31">
        <v>288</v>
      </c>
      <c r="N4235" s="31">
        <v>2017</v>
      </c>
      <c r="O4235" s="31">
        <v>256</v>
      </c>
      <c r="P4235" s="31"/>
      <c r="Q4235" s="31"/>
      <c r="R4235" s="33"/>
      <c r="S4235" s="34" t="str">
        <f>HYPERLINK("http://www.cnpol.ru/covers/17607.jpg","фото на сайте")</f>
        <v>фото на сайте</v>
      </c>
    </row>
    <row r="4236" spans="1:19" ht="50.1" customHeight="1">
      <c r="A4236" s="31"/>
      <c r="B4236" s="32" t="s">
        <v>15693</v>
      </c>
      <c r="C4236" s="31" t="s">
        <v>390</v>
      </c>
      <c r="D4236" s="31" t="s">
        <v>11747</v>
      </c>
      <c r="E4236" s="31" t="s">
        <v>15694</v>
      </c>
      <c r="F4236" s="31">
        <v>1044</v>
      </c>
      <c r="G4236" s="31">
        <v>86</v>
      </c>
      <c r="H4236" s="31">
        <v>10</v>
      </c>
      <c r="I4236" s="31">
        <v>30</v>
      </c>
      <c r="J4236" s="31" t="s">
        <v>15695</v>
      </c>
      <c r="K4236" s="31" t="s">
        <v>123</v>
      </c>
      <c r="L4236" s="31" t="s">
        <v>56</v>
      </c>
      <c r="M4236" s="31">
        <v>160</v>
      </c>
      <c r="N4236" s="31">
        <v>2021</v>
      </c>
      <c r="O4236" s="31">
        <v>76</v>
      </c>
      <c r="P4236" s="31"/>
      <c r="Q4236" s="31"/>
      <c r="R4236" s="33"/>
      <c r="S4236" s="34" t="str">
        <f>HYPERLINK("http://www.cnpol.ru/covers/19735.jpg","фото на сайте")</f>
        <v>фото на сайте</v>
      </c>
    </row>
    <row r="4237" spans="1:19" ht="50.1" customHeight="1">
      <c r="A4237" s="31"/>
      <c r="B4237" s="32" t="s">
        <v>15696</v>
      </c>
      <c r="C4237" s="31" t="s">
        <v>390</v>
      </c>
      <c r="D4237" s="31" t="s">
        <v>11316</v>
      </c>
      <c r="E4237" s="31" t="s">
        <v>15697</v>
      </c>
      <c r="F4237" s="31">
        <v>1027</v>
      </c>
      <c r="G4237" s="31">
        <v>86</v>
      </c>
      <c r="H4237" s="31">
        <v>10</v>
      </c>
      <c r="I4237" s="31">
        <v>30</v>
      </c>
      <c r="J4237" s="31" t="s">
        <v>15698</v>
      </c>
      <c r="K4237" s="31" t="s">
        <v>123</v>
      </c>
      <c r="L4237" s="31" t="s">
        <v>56</v>
      </c>
      <c r="M4237" s="31">
        <v>160</v>
      </c>
      <c r="N4237" s="31">
        <v>2021</v>
      </c>
      <c r="O4237" s="31">
        <v>76</v>
      </c>
      <c r="P4237" s="31"/>
      <c r="Q4237" s="31"/>
      <c r="R4237" s="33"/>
      <c r="S4237" s="34" t="str">
        <f>HYPERLINK("http://www.cnpol.ru/covers/19581.jpg","фото на сайте")</f>
        <v>фото на сайте</v>
      </c>
    </row>
    <row r="4238" spans="1:19" ht="50.1" customHeight="1">
      <c r="A4238" s="31" t="s">
        <v>43</v>
      </c>
      <c r="B4238" s="32" t="s">
        <v>15699</v>
      </c>
      <c r="C4238" s="31" t="s">
        <v>546</v>
      </c>
      <c r="D4238" s="31" t="s">
        <v>1435</v>
      </c>
      <c r="E4238" s="31" t="s">
        <v>15700</v>
      </c>
      <c r="F4238" s="31">
        <v>440</v>
      </c>
      <c r="G4238" s="31">
        <v>93</v>
      </c>
      <c r="H4238" s="31">
        <v>10</v>
      </c>
      <c r="I4238" s="31">
        <v>30</v>
      </c>
      <c r="J4238" s="31" t="s">
        <v>15701</v>
      </c>
      <c r="K4238" s="31" t="s">
        <v>123</v>
      </c>
      <c r="L4238" s="31" t="s">
        <v>56</v>
      </c>
      <c r="M4238" s="31">
        <v>159</v>
      </c>
      <c r="N4238" s="31">
        <v>2024</v>
      </c>
      <c r="O4238" s="31">
        <v>76</v>
      </c>
      <c r="P4238" s="31"/>
      <c r="Q4238" s="31"/>
      <c r="R4238" s="33" t="s">
        <v>15702</v>
      </c>
      <c r="S4238" s="34" t="str">
        <f>HYPERLINK("http://www.cnpol.ru/covers/20989.jpg","фото на сайте")</f>
        <v>фото на сайте</v>
      </c>
    </row>
    <row r="4239" spans="1:19" ht="50.1" customHeight="1">
      <c r="A4239" s="31" t="s">
        <v>43</v>
      </c>
      <c r="B4239" s="32" t="s">
        <v>15703</v>
      </c>
      <c r="C4239" s="31" t="s">
        <v>2631</v>
      </c>
      <c r="D4239" s="31" t="s">
        <v>9354</v>
      </c>
      <c r="E4239" s="31" t="s">
        <v>15704</v>
      </c>
      <c r="F4239" s="31" t="s">
        <v>31</v>
      </c>
      <c r="G4239" s="35">
        <v>2908</v>
      </c>
      <c r="H4239" s="31">
        <v>10</v>
      </c>
      <c r="I4239" s="31">
        <v>3</v>
      </c>
      <c r="J4239" s="31" t="s">
        <v>15705</v>
      </c>
      <c r="K4239" s="31" t="s">
        <v>147</v>
      </c>
      <c r="L4239" s="31" t="s">
        <v>34</v>
      </c>
      <c r="M4239" s="31">
        <v>909</v>
      </c>
      <c r="N4239" s="31">
        <v>2024</v>
      </c>
      <c r="O4239" s="31">
        <v>1301</v>
      </c>
      <c r="P4239" s="31"/>
      <c r="Q4239" s="31"/>
      <c r="R4239" s="33" t="s">
        <v>15706</v>
      </c>
      <c r="S4239" s="34" t="str">
        <f>HYPERLINK("http://www.cnpol.ru/covers/21317.jpg","фото на сайте")</f>
        <v>фото на сайте</v>
      </c>
    </row>
    <row r="4240" spans="1:19" ht="50.1" customHeight="1">
      <c r="A4240" s="31"/>
      <c r="B4240" s="32" t="s">
        <v>15707</v>
      </c>
      <c r="C4240" s="31" t="s">
        <v>45</v>
      </c>
      <c r="D4240" s="31" t="s">
        <v>182</v>
      </c>
      <c r="E4240" s="31" t="s">
        <v>15708</v>
      </c>
      <c r="F4240" s="31" t="s">
        <v>31</v>
      </c>
      <c r="G4240" s="35">
        <v>1174</v>
      </c>
      <c r="H4240" s="31">
        <v>10</v>
      </c>
      <c r="I4240" s="31">
        <v>10</v>
      </c>
      <c r="J4240" s="31" t="s">
        <v>15709</v>
      </c>
      <c r="K4240" s="31" t="s">
        <v>33</v>
      </c>
      <c r="L4240" s="31" t="s">
        <v>34</v>
      </c>
      <c r="M4240" s="31">
        <v>476</v>
      </c>
      <c r="N4240" s="31">
        <v>2021</v>
      </c>
      <c r="O4240" s="31">
        <v>594</v>
      </c>
      <c r="P4240" s="31"/>
      <c r="Q4240" s="31"/>
      <c r="R4240" s="33"/>
      <c r="S4240" s="34" t="str">
        <f>HYPERLINK("http://www.cnpol.ru/covers/19658.jpg","фото на сайте")</f>
        <v>фото на сайте</v>
      </c>
    </row>
    <row r="4241" spans="1:19" ht="50.1" customHeight="1">
      <c r="A4241" s="31" t="s">
        <v>35</v>
      </c>
      <c r="B4241" s="32" t="s">
        <v>15710</v>
      </c>
      <c r="C4241" s="31" t="s">
        <v>1328</v>
      </c>
      <c r="D4241" s="31" t="s">
        <v>1786</v>
      </c>
      <c r="E4241" s="31" t="s">
        <v>15711</v>
      </c>
      <c r="F4241" s="31" t="s">
        <v>31</v>
      </c>
      <c r="G4241" s="31">
        <v>489</v>
      </c>
      <c r="H4241" s="31">
        <v>10</v>
      </c>
      <c r="I4241" s="31">
        <v>16</v>
      </c>
      <c r="J4241" s="31" t="s">
        <v>15712</v>
      </c>
      <c r="K4241" s="31" t="s">
        <v>33</v>
      </c>
      <c r="L4241" s="31" t="s">
        <v>210</v>
      </c>
      <c r="M4241" s="31">
        <v>319</v>
      </c>
      <c r="N4241" s="31">
        <v>2025</v>
      </c>
      <c r="O4241" s="31" t="s">
        <v>220</v>
      </c>
      <c r="P4241" s="31"/>
      <c r="Q4241" s="31"/>
      <c r="R4241" s="33" t="s">
        <v>15713</v>
      </c>
      <c r="S4241" s="34" t="str">
        <f>HYPERLINK("http://www.cnpol.ru/covers/21782.jpg","фото на сайте")</f>
        <v>фото на сайте</v>
      </c>
    </row>
    <row r="4242" spans="1:19" ht="50.1" customHeight="1">
      <c r="A4242" s="31"/>
      <c r="B4242" s="32" t="s">
        <v>15714</v>
      </c>
      <c r="C4242" s="31" t="s">
        <v>528</v>
      </c>
      <c r="D4242" s="31" t="s">
        <v>529</v>
      </c>
      <c r="E4242" s="31" t="s">
        <v>15715</v>
      </c>
      <c r="F4242" s="31" t="s">
        <v>31</v>
      </c>
      <c r="G4242" s="31">
        <v>137</v>
      </c>
      <c r="H4242" s="31">
        <v>10</v>
      </c>
      <c r="I4242" s="31">
        <v>40</v>
      </c>
      <c r="J4242" s="31" t="s">
        <v>15716</v>
      </c>
      <c r="K4242" s="31" t="s">
        <v>55</v>
      </c>
      <c r="L4242" s="31" t="s">
        <v>56</v>
      </c>
      <c r="M4242" s="31">
        <v>160</v>
      </c>
      <c r="N4242" s="31">
        <v>2016</v>
      </c>
      <c r="O4242" s="31">
        <v>66</v>
      </c>
      <c r="P4242" s="31"/>
      <c r="Q4242" s="31"/>
      <c r="R4242" s="33"/>
      <c r="S4242" s="34" t="str">
        <f>HYPERLINK("http://www.cnpol.ru/covers/16743.jpg","фото на сайте")</f>
        <v>фото на сайте</v>
      </c>
    </row>
    <row r="4243" spans="1:19" ht="50.1" customHeight="1">
      <c r="A4243" s="31"/>
      <c r="B4243" s="32" t="s">
        <v>15717</v>
      </c>
      <c r="C4243" s="31" t="s">
        <v>400</v>
      </c>
      <c r="D4243" s="31" t="s">
        <v>1369</v>
      </c>
      <c r="E4243" s="31" t="s">
        <v>15718</v>
      </c>
      <c r="F4243" s="31" t="s">
        <v>31</v>
      </c>
      <c r="G4243" s="31">
        <v>503</v>
      </c>
      <c r="H4243" s="31">
        <v>10</v>
      </c>
      <c r="I4243" s="31">
        <v>14</v>
      </c>
      <c r="J4243" s="31" t="s">
        <v>15719</v>
      </c>
      <c r="K4243" s="31" t="s">
        <v>33</v>
      </c>
      <c r="L4243" s="31" t="s">
        <v>34</v>
      </c>
      <c r="M4243" s="31">
        <v>320</v>
      </c>
      <c r="N4243" s="31">
        <v>2017</v>
      </c>
      <c r="O4243" s="31">
        <v>272</v>
      </c>
      <c r="P4243" s="31"/>
      <c r="Q4243" s="31"/>
      <c r="R4243" s="33"/>
      <c r="S4243" s="34" t="str">
        <f>HYPERLINK("http://www.cnpol.ru/covers/17450.jpg","фото на сайте")</f>
        <v>фото на сайте</v>
      </c>
    </row>
    <row r="4244" spans="1:19" ht="50.1" customHeight="1">
      <c r="A4244" s="31"/>
      <c r="B4244" s="32" t="s">
        <v>15720</v>
      </c>
      <c r="C4244" s="31" t="s">
        <v>863</v>
      </c>
      <c r="D4244" s="31" t="s">
        <v>5948</v>
      </c>
      <c r="E4244" s="31" t="s">
        <v>15721</v>
      </c>
      <c r="F4244" s="31" t="s">
        <v>31</v>
      </c>
      <c r="G4244" s="31">
        <v>773</v>
      </c>
      <c r="H4244" s="31">
        <v>10</v>
      </c>
      <c r="I4244" s="31">
        <v>6</v>
      </c>
      <c r="J4244" s="31" t="s">
        <v>15722</v>
      </c>
      <c r="K4244" s="31" t="s">
        <v>41</v>
      </c>
      <c r="L4244" s="31" t="s">
        <v>34</v>
      </c>
      <c r="M4244" s="31">
        <v>527</v>
      </c>
      <c r="N4244" s="31">
        <v>2023</v>
      </c>
      <c r="O4244" s="31">
        <v>566</v>
      </c>
      <c r="P4244" s="31"/>
      <c r="Q4244" s="31"/>
      <c r="R4244" s="33" t="s">
        <v>15723</v>
      </c>
      <c r="S4244" s="34" t="str">
        <f>HYPERLINK("http://www.cnpol.ru/covers/20833.jpg","фото на сайте")</f>
        <v>фото на сайте</v>
      </c>
    </row>
    <row r="4245" spans="1:19" ht="50.1" customHeight="1">
      <c r="A4245" s="31"/>
      <c r="B4245" s="32" t="s">
        <v>15724</v>
      </c>
      <c r="C4245" s="31" t="s">
        <v>385</v>
      </c>
      <c r="D4245" s="31" t="s">
        <v>386</v>
      </c>
      <c r="E4245" s="31" t="s">
        <v>15725</v>
      </c>
      <c r="F4245" s="31" t="s">
        <v>31</v>
      </c>
      <c r="G4245" s="31">
        <v>162</v>
      </c>
      <c r="H4245" s="31">
        <v>10</v>
      </c>
      <c r="I4245" s="31">
        <v>32</v>
      </c>
      <c r="J4245" s="31" t="s">
        <v>15726</v>
      </c>
      <c r="K4245" s="31" t="s">
        <v>55</v>
      </c>
      <c r="L4245" s="31" t="s">
        <v>56</v>
      </c>
      <c r="M4245" s="31">
        <v>250</v>
      </c>
      <c r="N4245" s="31">
        <v>2016</v>
      </c>
      <c r="O4245" s="31">
        <v>110</v>
      </c>
      <c r="P4245" s="31"/>
      <c r="Q4245" s="31"/>
      <c r="R4245" s="33"/>
      <c r="S4245" s="34" t="str">
        <f>HYPERLINK("http://www.cnpol.ru/covers/0104.jpg","фото на сайте")</f>
        <v>фото на сайте</v>
      </c>
    </row>
    <row r="4246" spans="1:19" ht="50.1" customHeight="1">
      <c r="A4246" s="31"/>
      <c r="B4246" s="32" t="s">
        <v>15727</v>
      </c>
      <c r="C4246" s="31" t="s">
        <v>206</v>
      </c>
      <c r="D4246" s="31" t="s">
        <v>15728</v>
      </c>
      <c r="E4246" s="31" t="s">
        <v>15729</v>
      </c>
      <c r="F4246" s="31" t="s">
        <v>31</v>
      </c>
      <c r="G4246" s="31">
        <v>321</v>
      </c>
      <c r="H4246" s="31">
        <v>10</v>
      </c>
      <c r="I4246" s="31">
        <v>20</v>
      </c>
      <c r="J4246" s="31" t="s">
        <v>15730</v>
      </c>
      <c r="K4246" s="31" t="s">
        <v>123</v>
      </c>
      <c r="L4246" s="31" t="s">
        <v>210</v>
      </c>
      <c r="M4246" s="31">
        <v>237</v>
      </c>
      <c r="N4246" s="31">
        <v>2008</v>
      </c>
      <c r="O4246" s="31">
        <v>170</v>
      </c>
      <c r="P4246" s="31"/>
      <c r="Q4246" s="31"/>
      <c r="R4246" s="33"/>
      <c r="S4246" s="34" t="str">
        <f>HYPERLINK("http://www.cnpol.ru/covers/7584.jpg","фото на сайте")</f>
        <v>фото на сайте</v>
      </c>
    </row>
    <row r="4247" spans="1:19" ht="50.1" customHeight="1">
      <c r="A4247" s="31"/>
      <c r="B4247" s="32" t="s">
        <v>15731</v>
      </c>
      <c r="C4247" s="31" t="s">
        <v>385</v>
      </c>
      <c r="D4247" s="31" t="s">
        <v>386</v>
      </c>
      <c r="E4247" s="31" t="s">
        <v>15732</v>
      </c>
      <c r="F4247" s="31" t="s">
        <v>31</v>
      </c>
      <c r="G4247" s="31">
        <v>162</v>
      </c>
      <c r="H4247" s="31">
        <v>10</v>
      </c>
      <c r="I4247" s="31">
        <v>32</v>
      </c>
      <c r="J4247" s="31" t="s">
        <v>15733</v>
      </c>
      <c r="K4247" s="31" t="s">
        <v>55</v>
      </c>
      <c r="L4247" s="31" t="s">
        <v>56</v>
      </c>
      <c r="M4247" s="31">
        <v>256</v>
      </c>
      <c r="N4247" s="31">
        <v>2016</v>
      </c>
      <c r="O4247" s="31">
        <v>108</v>
      </c>
      <c r="P4247" s="31"/>
      <c r="Q4247" s="31"/>
      <c r="R4247" s="33"/>
      <c r="S4247" s="34" t="str">
        <f>HYPERLINK("http://www.cnpol.ru/covers/16613.jpg","фото на сайте")</f>
        <v>фото на сайте</v>
      </c>
    </row>
    <row r="4248" spans="1:19" ht="50.1" customHeight="1">
      <c r="A4248" s="31"/>
      <c r="B4248" s="32" t="s">
        <v>15734</v>
      </c>
      <c r="C4248" s="31" t="s">
        <v>390</v>
      </c>
      <c r="D4248" s="31" t="s">
        <v>1427</v>
      </c>
      <c r="E4248" s="31" t="s">
        <v>15735</v>
      </c>
      <c r="F4248" s="31">
        <v>678</v>
      </c>
      <c r="G4248" s="31">
        <v>86</v>
      </c>
      <c r="H4248" s="31">
        <v>10</v>
      </c>
      <c r="I4248" s="31">
        <v>30</v>
      </c>
      <c r="J4248" s="31" t="s">
        <v>15736</v>
      </c>
      <c r="K4248" s="31" t="s">
        <v>123</v>
      </c>
      <c r="L4248" s="31" t="s">
        <v>56</v>
      </c>
      <c r="M4248" s="31">
        <v>160</v>
      </c>
      <c r="N4248" s="31">
        <v>2016</v>
      </c>
      <c r="O4248" s="31">
        <v>76</v>
      </c>
      <c r="P4248" s="31"/>
      <c r="Q4248" s="31"/>
      <c r="R4248" s="33"/>
      <c r="S4248" s="34" t="str">
        <f>HYPERLINK("http://www.cnpol.ru/covers/17207.jpg","фото на сайте")</f>
        <v>фото на сайте</v>
      </c>
    </row>
    <row r="4249" spans="1:19" ht="50.1" customHeight="1">
      <c r="A4249" s="31"/>
      <c r="B4249" s="32" t="s">
        <v>15737</v>
      </c>
      <c r="C4249" s="31" t="s">
        <v>464</v>
      </c>
      <c r="D4249" s="31" t="s">
        <v>1495</v>
      </c>
      <c r="E4249" s="31" t="s">
        <v>15738</v>
      </c>
      <c r="F4249" s="31" t="s">
        <v>31</v>
      </c>
      <c r="G4249" s="31">
        <v>137</v>
      </c>
      <c r="H4249" s="31">
        <v>10</v>
      </c>
      <c r="I4249" s="31">
        <v>40</v>
      </c>
      <c r="J4249" s="31" t="s">
        <v>15739</v>
      </c>
      <c r="K4249" s="31" t="s">
        <v>468</v>
      </c>
      <c r="L4249" s="31" t="s">
        <v>56</v>
      </c>
      <c r="M4249" s="31">
        <v>18</v>
      </c>
      <c r="N4249" s="31">
        <v>2005</v>
      </c>
      <c r="O4249" s="31">
        <v>88</v>
      </c>
      <c r="P4249" s="31"/>
      <c r="Q4249" s="31"/>
      <c r="R4249" s="33"/>
      <c r="S4249" s="34" t="str">
        <f>HYPERLINK("http://www.cnpol.ru/covers/6005.jpg","фото на сайте")</f>
        <v>фото на сайте</v>
      </c>
    </row>
    <row r="4250" spans="1:19" ht="50.1" customHeight="1">
      <c r="A4250" s="31" t="s">
        <v>35</v>
      </c>
      <c r="B4250" s="32" t="s">
        <v>15740</v>
      </c>
      <c r="C4250" s="31" t="s">
        <v>143</v>
      </c>
      <c r="D4250" s="31" t="s">
        <v>15741</v>
      </c>
      <c r="E4250" s="31" t="s">
        <v>15742</v>
      </c>
      <c r="F4250" s="31" t="s">
        <v>31</v>
      </c>
      <c r="G4250" s="31">
        <v>851</v>
      </c>
      <c r="H4250" s="31">
        <v>10</v>
      </c>
      <c r="I4250" s="31">
        <v>10</v>
      </c>
      <c r="J4250" s="31" t="s">
        <v>15743</v>
      </c>
      <c r="K4250" s="31" t="s">
        <v>33</v>
      </c>
      <c r="L4250" s="31" t="s">
        <v>34</v>
      </c>
      <c r="M4250" s="31">
        <v>287</v>
      </c>
      <c r="N4250" s="31">
        <v>2025</v>
      </c>
      <c r="O4250" s="31">
        <v>342</v>
      </c>
      <c r="P4250" s="31"/>
      <c r="Q4250" s="31"/>
      <c r="R4250" s="33" t="s">
        <v>15744</v>
      </c>
      <c r="S4250" s="34" t="str">
        <f>HYPERLINK("http://www.cnpol.ru/covers/21564.jpg","фото на сайте")</f>
        <v>фото на сайте</v>
      </c>
    </row>
    <row r="4251" spans="1:19" ht="50.1" customHeight="1">
      <c r="A4251" s="31"/>
      <c r="B4251" s="32" t="s">
        <v>15745</v>
      </c>
      <c r="C4251" s="31" t="s">
        <v>37</v>
      </c>
      <c r="D4251" s="31" t="s">
        <v>15746</v>
      </c>
      <c r="E4251" s="31" t="s">
        <v>15747</v>
      </c>
      <c r="F4251" s="31" t="s">
        <v>31</v>
      </c>
      <c r="G4251" s="31">
        <v>392</v>
      </c>
      <c r="H4251" s="31">
        <v>10</v>
      </c>
      <c r="I4251" s="31">
        <v>20</v>
      </c>
      <c r="J4251" s="31" t="s">
        <v>15748</v>
      </c>
      <c r="K4251" s="31" t="s">
        <v>33</v>
      </c>
      <c r="L4251" s="31" t="s">
        <v>34</v>
      </c>
      <c r="M4251" s="31">
        <v>191</v>
      </c>
      <c r="N4251" s="31">
        <v>2023</v>
      </c>
      <c r="O4251" s="31">
        <v>206</v>
      </c>
      <c r="P4251" s="31"/>
      <c r="Q4251" s="31"/>
      <c r="R4251" s="33" t="s">
        <v>15749</v>
      </c>
      <c r="S4251" s="34" t="str">
        <f>HYPERLINK("http://www.cnpol.ru/covers/20775.jpg","фото на сайте")</f>
        <v>фото на сайте</v>
      </c>
    </row>
    <row r="4252" spans="1:19" ht="50.1" customHeight="1">
      <c r="A4252" s="31"/>
      <c r="B4252" s="32" t="s">
        <v>15750</v>
      </c>
      <c r="C4252" s="31" t="s">
        <v>400</v>
      </c>
      <c r="D4252" s="31" t="s">
        <v>1149</v>
      </c>
      <c r="E4252" s="31" t="s">
        <v>15751</v>
      </c>
      <c r="F4252" s="31" t="s">
        <v>31</v>
      </c>
      <c r="G4252" s="31">
        <v>503</v>
      </c>
      <c r="H4252" s="31">
        <v>10</v>
      </c>
      <c r="I4252" s="31">
        <v>10</v>
      </c>
      <c r="J4252" s="31" t="s">
        <v>15752</v>
      </c>
      <c r="K4252" s="31" t="s">
        <v>33</v>
      </c>
      <c r="L4252" s="31" t="s">
        <v>34</v>
      </c>
      <c r="M4252" s="31">
        <v>415</v>
      </c>
      <c r="N4252" s="31">
        <v>2012</v>
      </c>
      <c r="O4252" s="31">
        <v>336</v>
      </c>
      <c r="P4252" s="31"/>
      <c r="Q4252" s="31"/>
      <c r="R4252" s="33"/>
      <c r="S4252" s="34" t="str">
        <f>HYPERLINK("http://www.cnpol.ru/covers/13324.jpg","фото на сайте")</f>
        <v>фото на сайте</v>
      </c>
    </row>
    <row r="4253" spans="1:19" ht="50.1" customHeight="1">
      <c r="A4253" s="31"/>
      <c r="B4253" s="32" t="s">
        <v>15753</v>
      </c>
      <c r="C4253" s="31" t="s">
        <v>1940</v>
      </c>
      <c r="D4253" s="31" t="s">
        <v>15754</v>
      </c>
      <c r="E4253" s="31" t="s">
        <v>15755</v>
      </c>
      <c r="F4253" s="31" t="s">
        <v>31</v>
      </c>
      <c r="G4253" s="31">
        <v>154</v>
      </c>
      <c r="H4253" s="31">
        <v>10</v>
      </c>
      <c r="I4253" s="31">
        <v>24</v>
      </c>
      <c r="J4253" s="31" t="s">
        <v>15756</v>
      </c>
      <c r="K4253" s="31" t="s">
        <v>55</v>
      </c>
      <c r="L4253" s="31" t="s">
        <v>56</v>
      </c>
      <c r="M4253" s="31">
        <v>319</v>
      </c>
      <c r="N4253" s="31">
        <v>2010</v>
      </c>
      <c r="O4253" s="31">
        <v>136</v>
      </c>
      <c r="P4253" s="31"/>
      <c r="Q4253" s="31"/>
      <c r="R4253" s="33"/>
      <c r="S4253" s="34" t="str">
        <f>HYPERLINK("http://www.cnpol.ru/covers/11441.jpg","фото на сайте")</f>
        <v>фото на сайте</v>
      </c>
    </row>
    <row r="4254" spans="1:19" ht="50.1" customHeight="1">
      <c r="A4254" s="31"/>
      <c r="B4254" s="32" t="s">
        <v>15757</v>
      </c>
      <c r="C4254" s="31" t="s">
        <v>413</v>
      </c>
      <c r="D4254" s="31" t="s">
        <v>1705</v>
      </c>
      <c r="E4254" s="31" t="s">
        <v>15758</v>
      </c>
      <c r="F4254" s="31">
        <v>156</v>
      </c>
      <c r="G4254" s="31">
        <v>117</v>
      </c>
      <c r="H4254" s="31">
        <v>10</v>
      </c>
      <c r="I4254" s="31">
        <v>30</v>
      </c>
      <c r="J4254" s="31" t="s">
        <v>15759</v>
      </c>
      <c r="K4254" s="31" t="s">
        <v>123</v>
      </c>
      <c r="L4254" s="31" t="s">
        <v>56</v>
      </c>
      <c r="M4254" s="31">
        <v>192</v>
      </c>
      <c r="N4254" s="31">
        <v>2018</v>
      </c>
      <c r="O4254" s="31">
        <v>90</v>
      </c>
      <c r="P4254" s="31"/>
      <c r="Q4254" s="31"/>
      <c r="R4254" s="33"/>
      <c r="S4254" s="34" t="str">
        <f>HYPERLINK("http://www.cnpol.ru/covers/18228.jpg","фото на сайте")</f>
        <v>фото на сайте</v>
      </c>
    </row>
    <row r="4255" spans="1:19" ht="50.1" customHeight="1">
      <c r="A4255" s="31"/>
      <c r="B4255" s="32" t="s">
        <v>15760</v>
      </c>
      <c r="C4255" s="31" t="s">
        <v>1668</v>
      </c>
      <c r="D4255" s="31" t="s">
        <v>1669</v>
      </c>
      <c r="E4255" s="31" t="s">
        <v>15761</v>
      </c>
      <c r="F4255" s="31" t="s">
        <v>31</v>
      </c>
      <c r="G4255" s="31">
        <v>575</v>
      </c>
      <c r="H4255" s="31">
        <v>10</v>
      </c>
      <c r="I4255" s="31">
        <v>14</v>
      </c>
      <c r="J4255" s="31" t="s">
        <v>15762</v>
      </c>
      <c r="K4255" s="31" t="s">
        <v>33</v>
      </c>
      <c r="L4255" s="31" t="s">
        <v>34</v>
      </c>
      <c r="M4255" s="31">
        <v>319</v>
      </c>
      <c r="N4255" s="31">
        <v>2023</v>
      </c>
      <c r="O4255" s="31">
        <v>315</v>
      </c>
      <c r="P4255" s="31"/>
      <c r="Q4255" s="31"/>
      <c r="R4255" s="33" t="s">
        <v>15763</v>
      </c>
      <c r="S4255" s="34" t="str">
        <f>HYPERLINK("http://www.cnpol.ru/covers/20598.jpg","фото на сайте")</f>
        <v>фото на сайте</v>
      </c>
    </row>
    <row r="4256" spans="1:19" ht="50.1" customHeight="1">
      <c r="A4256" s="31"/>
      <c r="B4256" s="32" t="s">
        <v>15764</v>
      </c>
      <c r="C4256" s="31" t="s">
        <v>390</v>
      </c>
      <c r="D4256" s="31" t="s">
        <v>3691</v>
      </c>
      <c r="E4256" s="31" t="s">
        <v>15765</v>
      </c>
      <c r="F4256" s="31">
        <v>911</v>
      </c>
      <c r="G4256" s="31">
        <v>86</v>
      </c>
      <c r="H4256" s="31">
        <v>10</v>
      </c>
      <c r="I4256" s="31">
        <v>30</v>
      </c>
      <c r="J4256" s="31" t="s">
        <v>15766</v>
      </c>
      <c r="K4256" s="31" t="s">
        <v>123</v>
      </c>
      <c r="L4256" s="31" t="s">
        <v>56</v>
      </c>
      <c r="M4256" s="31">
        <v>160</v>
      </c>
      <c r="N4256" s="31">
        <v>2019</v>
      </c>
      <c r="O4256" s="31">
        <v>76</v>
      </c>
      <c r="P4256" s="31"/>
      <c r="Q4256" s="31"/>
      <c r="R4256" s="33"/>
      <c r="S4256" s="34" t="str">
        <f>HYPERLINK("http://www.cnpol.ru/covers/18775.jpg","фото на сайте")</f>
        <v>фото на сайте</v>
      </c>
    </row>
    <row r="4257" spans="1:19" ht="50.1" customHeight="1">
      <c r="A4257" s="31"/>
      <c r="B4257" s="32" t="s">
        <v>15767</v>
      </c>
      <c r="C4257" s="31" t="s">
        <v>1338</v>
      </c>
      <c r="D4257" s="31" t="s">
        <v>15768</v>
      </c>
      <c r="E4257" s="31" t="s">
        <v>15769</v>
      </c>
      <c r="F4257" s="31" t="s">
        <v>31</v>
      </c>
      <c r="G4257" s="31">
        <v>154</v>
      </c>
      <c r="H4257" s="31">
        <v>10</v>
      </c>
      <c r="I4257" s="31">
        <v>30</v>
      </c>
      <c r="J4257" s="31" t="s">
        <v>15770</v>
      </c>
      <c r="K4257" s="31" t="s">
        <v>55</v>
      </c>
      <c r="L4257" s="31" t="s">
        <v>56</v>
      </c>
      <c r="M4257" s="31">
        <v>255</v>
      </c>
      <c r="N4257" s="31">
        <v>2008</v>
      </c>
      <c r="O4257" s="31">
        <v>100</v>
      </c>
      <c r="P4257" s="31"/>
      <c r="Q4257" s="31"/>
      <c r="R4257" s="33"/>
      <c r="S4257" s="34" t="str">
        <f>HYPERLINK("http://www.cnpol.ru/covers/10787.jpg","фото на сайте")</f>
        <v>фото на сайте</v>
      </c>
    </row>
    <row r="4258" spans="1:19" ht="50.1" customHeight="1">
      <c r="A4258" s="31"/>
      <c r="B4258" s="32" t="s">
        <v>15771</v>
      </c>
      <c r="C4258" s="31" t="s">
        <v>1237</v>
      </c>
      <c r="D4258" s="31" t="s">
        <v>1238</v>
      </c>
      <c r="E4258" s="31" t="s">
        <v>15772</v>
      </c>
      <c r="F4258" s="31" t="s">
        <v>31</v>
      </c>
      <c r="G4258" s="31">
        <v>807</v>
      </c>
      <c r="H4258" s="31">
        <v>10</v>
      </c>
      <c r="I4258" s="31">
        <v>10</v>
      </c>
      <c r="J4258" s="31" t="s">
        <v>15773</v>
      </c>
      <c r="K4258" s="31" t="s">
        <v>33</v>
      </c>
      <c r="L4258" s="31" t="s">
        <v>34</v>
      </c>
      <c r="M4258" s="31">
        <v>480</v>
      </c>
      <c r="N4258" s="31">
        <v>2019</v>
      </c>
      <c r="O4258" s="31">
        <v>478</v>
      </c>
      <c r="P4258" s="31"/>
      <c r="Q4258" s="31"/>
      <c r="R4258" s="33"/>
      <c r="S4258" s="34" t="str">
        <f>HYPERLINK("http://www.cnpol.ru/covers/18922.jpg","фото на сайте")</f>
        <v>фото на сайте</v>
      </c>
    </row>
    <row r="4259" spans="1:19" ht="50.1" customHeight="1">
      <c r="A4259" s="31"/>
      <c r="B4259" s="32" t="s">
        <v>15774</v>
      </c>
      <c r="C4259" s="31" t="s">
        <v>390</v>
      </c>
      <c r="D4259" s="31" t="s">
        <v>12940</v>
      </c>
      <c r="E4259" s="31" t="s">
        <v>15775</v>
      </c>
      <c r="F4259" s="31">
        <v>234</v>
      </c>
      <c r="G4259" s="31">
        <v>86</v>
      </c>
      <c r="H4259" s="31">
        <v>10</v>
      </c>
      <c r="I4259" s="31">
        <v>30</v>
      </c>
      <c r="J4259" s="31" t="s">
        <v>15776</v>
      </c>
      <c r="K4259" s="31" t="s">
        <v>123</v>
      </c>
      <c r="L4259" s="31" t="s">
        <v>56</v>
      </c>
      <c r="M4259" s="31">
        <v>158</v>
      </c>
      <c r="N4259" s="31">
        <v>2012</v>
      </c>
      <c r="O4259" s="31">
        <v>78</v>
      </c>
      <c r="P4259" s="31"/>
      <c r="Q4259" s="31"/>
      <c r="R4259" s="33"/>
      <c r="S4259" s="34" t="str">
        <f>HYPERLINK("http://www.cnpol.ru/covers/13982.jpg","фото на сайте")</f>
        <v>фото на сайте</v>
      </c>
    </row>
    <row r="4260" spans="1:19" ht="50.1" customHeight="1">
      <c r="A4260" s="31"/>
      <c r="B4260" s="32" t="s">
        <v>15777</v>
      </c>
      <c r="C4260" s="31" t="s">
        <v>390</v>
      </c>
      <c r="D4260" s="31" t="s">
        <v>1794</v>
      </c>
      <c r="E4260" s="31" t="s">
        <v>15778</v>
      </c>
      <c r="F4260" s="31">
        <v>490</v>
      </c>
      <c r="G4260" s="31">
        <v>86</v>
      </c>
      <c r="H4260" s="31">
        <v>10</v>
      </c>
      <c r="I4260" s="31">
        <v>30</v>
      </c>
      <c r="J4260" s="31" t="s">
        <v>15779</v>
      </c>
      <c r="K4260" s="31" t="s">
        <v>123</v>
      </c>
      <c r="L4260" s="31" t="s">
        <v>56</v>
      </c>
      <c r="M4260" s="31">
        <v>158</v>
      </c>
      <c r="N4260" s="31">
        <v>2015</v>
      </c>
      <c r="O4260" s="31">
        <v>74</v>
      </c>
      <c r="P4260" s="31"/>
      <c r="Q4260" s="31"/>
      <c r="R4260" s="33"/>
      <c r="S4260" s="34" t="str">
        <f>HYPERLINK("http://www.cnpol.ru/covers/15804.jpg","фото на сайте")</f>
        <v>фото на сайте</v>
      </c>
    </row>
    <row r="4261" spans="1:19" ht="50.1" customHeight="1">
      <c r="A4261" s="31"/>
      <c r="B4261" s="32" t="s">
        <v>15780</v>
      </c>
      <c r="C4261" s="31" t="s">
        <v>546</v>
      </c>
      <c r="D4261" s="31" t="s">
        <v>1801</v>
      </c>
      <c r="E4261" s="31" t="s">
        <v>15781</v>
      </c>
      <c r="F4261" s="31">
        <v>167</v>
      </c>
      <c r="G4261" s="31">
        <v>93</v>
      </c>
      <c r="H4261" s="31">
        <v>10</v>
      </c>
      <c r="I4261" s="31">
        <v>30</v>
      </c>
      <c r="J4261" s="31" t="s">
        <v>15782</v>
      </c>
      <c r="K4261" s="31" t="s">
        <v>123</v>
      </c>
      <c r="L4261" s="31" t="s">
        <v>56</v>
      </c>
      <c r="M4261" s="31">
        <v>160</v>
      </c>
      <c r="N4261" s="31">
        <v>2016</v>
      </c>
      <c r="O4261" s="31">
        <v>76</v>
      </c>
      <c r="P4261" s="31"/>
      <c r="Q4261" s="31"/>
      <c r="R4261" s="33"/>
      <c r="S4261" s="34" t="str">
        <f>HYPERLINK("http://www.cnpol.ru/covers/16706.jpg","фото на сайте")</f>
        <v>фото на сайте</v>
      </c>
    </row>
    <row r="4262" spans="1:19" ht="50.1" customHeight="1">
      <c r="A4262" s="31" t="s">
        <v>43</v>
      </c>
      <c r="B4262" s="32" t="s">
        <v>15783</v>
      </c>
      <c r="C4262" s="31" t="s">
        <v>390</v>
      </c>
      <c r="D4262" s="31" t="s">
        <v>1846</v>
      </c>
      <c r="E4262" s="31" t="s">
        <v>15784</v>
      </c>
      <c r="F4262" s="31">
        <v>1166</v>
      </c>
      <c r="G4262" s="31">
        <v>86</v>
      </c>
      <c r="H4262" s="31">
        <v>10</v>
      </c>
      <c r="I4262" s="31">
        <v>30</v>
      </c>
      <c r="J4262" s="31" t="s">
        <v>15785</v>
      </c>
      <c r="K4262" s="31" t="s">
        <v>123</v>
      </c>
      <c r="L4262" s="31" t="s">
        <v>56</v>
      </c>
      <c r="M4262" s="31">
        <v>159</v>
      </c>
      <c r="N4262" s="31">
        <v>2024</v>
      </c>
      <c r="O4262" s="31">
        <v>76</v>
      </c>
      <c r="P4262" s="31"/>
      <c r="Q4262" s="31"/>
      <c r="R4262" s="33" t="s">
        <v>15786</v>
      </c>
      <c r="S4262" s="34" t="str">
        <f>HYPERLINK("http://www.cnpol.ru/covers/21007.jpg","фото на сайте")</f>
        <v>фото на сайте</v>
      </c>
    </row>
    <row r="4263" spans="1:19" ht="50.1" customHeight="1">
      <c r="A4263" s="31"/>
      <c r="B4263" s="32" t="s">
        <v>15787</v>
      </c>
      <c r="C4263" s="31" t="s">
        <v>390</v>
      </c>
      <c r="D4263" s="31" t="s">
        <v>9249</v>
      </c>
      <c r="E4263" s="31" t="s">
        <v>15788</v>
      </c>
      <c r="F4263" s="31">
        <v>817</v>
      </c>
      <c r="G4263" s="31">
        <v>86</v>
      </c>
      <c r="H4263" s="31">
        <v>10</v>
      </c>
      <c r="I4263" s="31">
        <v>30</v>
      </c>
      <c r="J4263" s="31" t="s">
        <v>15789</v>
      </c>
      <c r="K4263" s="31" t="s">
        <v>123</v>
      </c>
      <c r="L4263" s="31" t="s">
        <v>56</v>
      </c>
      <c r="M4263" s="31">
        <v>160</v>
      </c>
      <c r="N4263" s="31">
        <v>2018</v>
      </c>
      <c r="O4263" s="31">
        <v>76</v>
      </c>
      <c r="P4263" s="31"/>
      <c r="Q4263" s="31"/>
      <c r="R4263" s="33"/>
      <c r="S4263" s="34" t="str">
        <f>HYPERLINK("http://www.cnpol.ru/covers/18195.jpg","фото на сайте")</f>
        <v>фото на сайте</v>
      </c>
    </row>
    <row r="4264" spans="1:19" ht="50.1" customHeight="1">
      <c r="A4264" s="31"/>
      <c r="B4264" s="32" t="s">
        <v>15790</v>
      </c>
      <c r="C4264" s="31" t="s">
        <v>390</v>
      </c>
      <c r="D4264" s="31" t="s">
        <v>12062</v>
      </c>
      <c r="E4264" s="31" t="s">
        <v>15791</v>
      </c>
      <c r="F4264" s="31">
        <v>1141</v>
      </c>
      <c r="G4264" s="31">
        <v>86</v>
      </c>
      <c r="H4264" s="31">
        <v>10</v>
      </c>
      <c r="I4264" s="31">
        <v>30</v>
      </c>
      <c r="J4264" s="31" t="s">
        <v>15792</v>
      </c>
      <c r="K4264" s="31" t="s">
        <v>123</v>
      </c>
      <c r="L4264" s="31" t="s">
        <v>56</v>
      </c>
      <c r="M4264" s="31">
        <v>159</v>
      </c>
      <c r="N4264" s="31">
        <v>2023</v>
      </c>
      <c r="O4264" s="31">
        <v>76</v>
      </c>
      <c r="P4264" s="31"/>
      <c r="Q4264" s="31"/>
      <c r="R4264" s="33" t="s">
        <v>15793</v>
      </c>
      <c r="S4264" s="34" t="str">
        <f>HYPERLINK("http://www.cnpol.ru/covers/20662.jpg","фото на сайте")</f>
        <v>фото на сайте</v>
      </c>
    </row>
    <row r="4265" spans="1:19" ht="50.1" customHeight="1">
      <c r="A4265" s="31"/>
      <c r="B4265" s="32" t="s">
        <v>15794</v>
      </c>
      <c r="C4265" s="31" t="s">
        <v>546</v>
      </c>
      <c r="D4265" s="31" t="s">
        <v>4935</v>
      </c>
      <c r="E4265" s="31" t="s">
        <v>15795</v>
      </c>
      <c r="F4265" s="31">
        <v>387</v>
      </c>
      <c r="G4265" s="31">
        <v>93</v>
      </c>
      <c r="H4265" s="31">
        <v>10</v>
      </c>
      <c r="I4265" s="31">
        <v>30</v>
      </c>
      <c r="J4265" s="31" t="s">
        <v>15796</v>
      </c>
      <c r="K4265" s="31" t="s">
        <v>123</v>
      </c>
      <c r="L4265" s="31" t="s">
        <v>56</v>
      </c>
      <c r="M4265" s="31">
        <v>159</v>
      </c>
      <c r="N4265" s="31">
        <v>2021</v>
      </c>
      <c r="O4265" s="31">
        <v>76</v>
      </c>
      <c r="P4265" s="31"/>
      <c r="Q4265" s="31"/>
      <c r="R4265" s="33"/>
      <c r="S4265" s="34" t="str">
        <f>HYPERLINK("http://www.cnpol.ru/covers/19890.jpg","фото на сайте")</f>
        <v>фото на сайте</v>
      </c>
    </row>
    <row r="4266" spans="1:19" ht="50.1" customHeight="1">
      <c r="A4266" s="31"/>
      <c r="B4266" s="32" t="s">
        <v>15797</v>
      </c>
      <c r="C4266" s="31" t="s">
        <v>390</v>
      </c>
      <c r="D4266" s="31" t="s">
        <v>6150</v>
      </c>
      <c r="E4266" s="31" t="s">
        <v>15798</v>
      </c>
      <c r="F4266" s="31">
        <v>1035</v>
      </c>
      <c r="G4266" s="31">
        <v>86</v>
      </c>
      <c r="H4266" s="31">
        <v>10</v>
      </c>
      <c r="I4266" s="31">
        <v>30</v>
      </c>
      <c r="J4266" s="31" t="s">
        <v>15799</v>
      </c>
      <c r="K4266" s="31" t="s">
        <v>123</v>
      </c>
      <c r="L4266" s="31" t="s">
        <v>56</v>
      </c>
      <c r="M4266" s="31">
        <v>160</v>
      </c>
      <c r="N4266" s="31">
        <v>2021</v>
      </c>
      <c r="O4266" s="31">
        <v>76</v>
      </c>
      <c r="P4266" s="31"/>
      <c r="Q4266" s="31"/>
      <c r="R4266" s="33"/>
      <c r="S4266" s="34" t="str">
        <f>HYPERLINK("http://www.cnpol.ru/covers/19645.jpg","фото на сайте")</f>
        <v>фото на сайте</v>
      </c>
    </row>
    <row r="4267" spans="1:19" ht="50.1" customHeight="1">
      <c r="A4267" s="31"/>
      <c r="B4267" s="32" t="s">
        <v>15800</v>
      </c>
      <c r="C4267" s="31" t="s">
        <v>546</v>
      </c>
      <c r="D4267" s="31" t="s">
        <v>15801</v>
      </c>
      <c r="E4267" s="31" t="s">
        <v>15802</v>
      </c>
      <c r="F4267" s="31">
        <v>72</v>
      </c>
      <c r="G4267" s="31">
        <v>93</v>
      </c>
      <c r="H4267" s="31">
        <v>10</v>
      </c>
      <c r="I4267" s="31">
        <v>30</v>
      </c>
      <c r="J4267" s="31" t="s">
        <v>15803</v>
      </c>
      <c r="K4267" s="31" t="s">
        <v>123</v>
      </c>
      <c r="L4267" s="31" t="s">
        <v>56</v>
      </c>
      <c r="M4267" s="31">
        <v>158</v>
      </c>
      <c r="N4267" s="31">
        <v>2014</v>
      </c>
      <c r="O4267" s="31">
        <v>74</v>
      </c>
      <c r="P4267" s="31"/>
      <c r="Q4267" s="31"/>
      <c r="R4267" s="33"/>
      <c r="S4267" s="34" t="str">
        <f>HYPERLINK("http://www.cnpol.ru/covers/15275.jpg","фото на сайте")</f>
        <v>фото на сайте</v>
      </c>
    </row>
    <row r="4268" spans="1:19" ht="50.1" customHeight="1">
      <c r="A4268" s="31"/>
      <c r="B4268" s="32" t="s">
        <v>15804</v>
      </c>
      <c r="C4268" s="31" t="s">
        <v>390</v>
      </c>
      <c r="D4268" s="31" t="s">
        <v>1713</v>
      </c>
      <c r="E4268" s="31" t="s">
        <v>15805</v>
      </c>
      <c r="F4268" s="31">
        <v>830</v>
      </c>
      <c r="G4268" s="31">
        <v>86</v>
      </c>
      <c r="H4268" s="31">
        <v>10</v>
      </c>
      <c r="I4268" s="31">
        <v>30</v>
      </c>
      <c r="J4268" s="31" t="s">
        <v>15806</v>
      </c>
      <c r="K4268" s="31" t="s">
        <v>123</v>
      </c>
      <c r="L4268" s="31" t="s">
        <v>56</v>
      </c>
      <c r="M4268" s="31">
        <v>160</v>
      </c>
      <c r="N4268" s="31">
        <v>2018</v>
      </c>
      <c r="O4268" s="31">
        <v>76</v>
      </c>
      <c r="P4268" s="31"/>
      <c r="Q4268" s="31"/>
      <c r="R4268" s="33"/>
      <c r="S4268" s="34" t="str">
        <f>HYPERLINK("http://www.cnpol.ru/covers/18271.jpg","фото на сайте")</f>
        <v>фото на сайте</v>
      </c>
    </row>
    <row r="4269" spans="1:19" ht="50.1" customHeight="1">
      <c r="A4269" s="31"/>
      <c r="B4269" s="32" t="s">
        <v>15807</v>
      </c>
      <c r="C4269" s="31" t="s">
        <v>390</v>
      </c>
      <c r="D4269" s="31" t="s">
        <v>10815</v>
      </c>
      <c r="E4269" s="31" t="s">
        <v>15808</v>
      </c>
      <c r="F4269" s="31">
        <v>985</v>
      </c>
      <c r="G4269" s="31">
        <v>86</v>
      </c>
      <c r="H4269" s="31">
        <v>10</v>
      </c>
      <c r="I4269" s="31">
        <v>30</v>
      </c>
      <c r="J4269" s="31" t="s">
        <v>15809</v>
      </c>
      <c r="K4269" s="31" t="s">
        <v>123</v>
      </c>
      <c r="L4269" s="31" t="s">
        <v>56</v>
      </c>
      <c r="M4269" s="31">
        <v>160</v>
      </c>
      <c r="N4269" s="31">
        <v>2020</v>
      </c>
      <c r="O4269" s="31">
        <v>76</v>
      </c>
      <c r="P4269" s="31"/>
      <c r="Q4269" s="31"/>
      <c r="R4269" s="33"/>
      <c r="S4269" s="34" t="str">
        <f>HYPERLINK("http://www.cnpol.ru/covers/19240.jpg","фото на сайте")</f>
        <v>фото на сайте</v>
      </c>
    </row>
    <row r="4270" spans="1:19" ht="50.1" customHeight="1">
      <c r="A4270" s="31"/>
      <c r="B4270" s="32" t="s">
        <v>15810</v>
      </c>
      <c r="C4270" s="31" t="s">
        <v>390</v>
      </c>
      <c r="D4270" s="31" t="s">
        <v>4402</v>
      </c>
      <c r="E4270" s="31" t="s">
        <v>15811</v>
      </c>
      <c r="F4270" s="31">
        <v>1121</v>
      </c>
      <c r="G4270" s="31">
        <v>86</v>
      </c>
      <c r="H4270" s="31">
        <v>10</v>
      </c>
      <c r="I4270" s="31">
        <v>30</v>
      </c>
      <c r="J4270" s="31" t="s">
        <v>15812</v>
      </c>
      <c r="K4270" s="31" t="s">
        <v>123</v>
      </c>
      <c r="L4270" s="31" t="s">
        <v>56</v>
      </c>
      <c r="M4270" s="31">
        <v>159</v>
      </c>
      <c r="N4270" s="31">
        <v>2022</v>
      </c>
      <c r="O4270" s="31">
        <v>76</v>
      </c>
      <c r="P4270" s="31"/>
      <c r="Q4270" s="31"/>
      <c r="R4270" s="33" t="s">
        <v>15813</v>
      </c>
      <c r="S4270" s="34" t="str">
        <f>HYPERLINK("http://www.cnpol.ru/covers/20478.jpg","фото на сайте")</f>
        <v>фото на сайте</v>
      </c>
    </row>
    <row r="4271" spans="1:19" ht="50.1" customHeight="1">
      <c r="A4271" s="31" t="s">
        <v>43</v>
      </c>
      <c r="B4271" s="32" t="s">
        <v>15814</v>
      </c>
      <c r="C4271" s="31" t="s">
        <v>418</v>
      </c>
      <c r="D4271" s="31" t="s">
        <v>3894</v>
      </c>
      <c r="E4271" s="31" t="s">
        <v>15815</v>
      </c>
      <c r="F4271" s="31">
        <v>128</v>
      </c>
      <c r="G4271" s="31">
        <v>153</v>
      </c>
      <c r="H4271" s="31">
        <v>10</v>
      </c>
      <c r="I4271" s="31">
        <v>24</v>
      </c>
      <c r="J4271" s="31" t="s">
        <v>15816</v>
      </c>
      <c r="K4271" s="31" t="s">
        <v>123</v>
      </c>
      <c r="L4271" s="31" t="s">
        <v>56</v>
      </c>
      <c r="M4271" s="31">
        <v>255</v>
      </c>
      <c r="N4271" s="31">
        <v>2024</v>
      </c>
      <c r="O4271" s="31">
        <v>120</v>
      </c>
      <c r="P4271" s="31"/>
      <c r="Q4271" s="31"/>
      <c r="R4271" s="33" t="s">
        <v>15817</v>
      </c>
      <c r="S4271" s="34" t="str">
        <f>HYPERLINK("http://www.cnpol.ru/covers/21324.jpg","фото на сайте")</f>
        <v>фото на сайте</v>
      </c>
    </row>
    <row r="4272" spans="1:19" ht="50.1" customHeight="1">
      <c r="A4272" s="31" t="s">
        <v>43</v>
      </c>
      <c r="B4272" s="32" t="s">
        <v>15818</v>
      </c>
      <c r="C4272" s="31" t="s">
        <v>1516</v>
      </c>
      <c r="D4272" s="31" t="s">
        <v>4570</v>
      </c>
      <c r="E4272" s="31" t="s">
        <v>15819</v>
      </c>
      <c r="F4272" s="31">
        <v>47</v>
      </c>
      <c r="G4272" s="31">
        <v>106</v>
      </c>
      <c r="H4272" s="31">
        <v>10</v>
      </c>
      <c r="I4272" s="31">
        <v>30</v>
      </c>
      <c r="J4272" s="31" t="s">
        <v>15820</v>
      </c>
      <c r="K4272" s="31" t="s">
        <v>123</v>
      </c>
      <c r="L4272" s="31" t="s">
        <v>56</v>
      </c>
      <c r="M4272" s="31">
        <v>159</v>
      </c>
      <c r="N4272" s="31">
        <v>2024</v>
      </c>
      <c r="O4272" s="31">
        <v>76</v>
      </c>
      <c r="P4272" s="31"/>
      <c r="Q4272" s="31"/>
      <c r="R4272" s="33" t="s">
        <v>15821</v>
      </c>
      <c r="S4272" s="34" t="str">
        <f>HYPERLINK("http://www.cnpol.ru/covers/21322.jpg","фото на сайте")</f>
        <v>фото на сайте</v>
      </c>
    </row>
    <row r="4273" spans="1:19" ht="50.1" customHeight="1">
      <c r="A4273" s="31" t="s">
        <v>43</v>
      </c>
      <c r="B4273" s="32" t="s">
        <v>15822</v>
      </c>
      <c r="C4273" s="31" t="s">
        <v>390</v>
      </c>
      <c r="D4273" s="31" t="s">
        <v>1681</v>
      </c>
      <c r="E4273" s="31" t="s">
        <v>15823</v>
      </c>
      <c r="F4273" s="31">
        <v>1169</v>
      </c>
      <c r="G4273" s="31">
        <v>86</v>
      </c>
      <c r="H4273" s="31">
        <v>10</v>
      </c>
      <c r="I4273" s="31">
        <v>30</v>
      </c>
      <c r="J4273" s="31" t="s">
        <v>15824</v>
      </c>
      <c r="K4273" s="31" t="s">
        <v>123</v>
      </c>
      <c r="L4273" s="31" t="s">
        <v>56</v>
      </c>
      <c r="M4273" s="31">
        <v>159</v>
      </c>
      <c r="N4273" s="31">
        <v>2024</v>
      </c>
      <c r="O4273" s="31">
        <v>76</v>
      </c>
      <c r="P4273" s="31"/>
      <c r="Q4273" s="31"/>
      <c r="R4273" s="33" t="s">
        <v>15825</v>
      </c>
      <c r="S4273" s="34" t="str">
        <f>HYPERLINK("http://www.cnpol.ru/covers/21054.jpg","фото на сайте")</f>
        <v>фото на сайте</v>
      </c>
    </row>
    <row r="4274" spans="1:19" ht="50.1" customHeight="1">
      <c r="A4274" s="31"/>
      <c r="B4274" s="32" t="s">
        <v>15826</v>
      </c>
      <c r="C4274" s="31" t="s">
        <v>546</v>
      </c>
      <c r="D4274" s="31" t="s">
        <v>1581</v>
      </c>
      <c r="E4274" s="31" t="s">
        <v>15827</v>
      </c>
      <c r="F4274" s="31">
        <v>261</v>
      </c>
      <c r="G4274" s="31">
        <v>93</v>
      </c>
      <c r="H4274" s="31">
        <v>10</v>
      </c>
      <c r="I4274" s="31">
        <v>30</v>
      </c>
      <c r="J4274" s="31" t="s">
        <v>15828</v>
      </c>
      <c r="K4274" s="31" t="s">
        <v>123</v>
      </c>
      <c r="L4274" s="31" t="s">
        <v>56</v>
      </c>
      <c r="M4274" s="31">
        <v>160</v>
      </c>
      <c r="N4274" s="31">
        <v>2018</v>
      </c>
      <c r="O4274" s="31">
        <v>76</v>
      </c>
      <c r="P4274" s="31"/>
      <c r="Q4274" s="31"/>
      <c r="R4274" s="33"/>
      <c r="S4274" s="34" t="str">
        <f>HYPERLINK("http://www.cnpol.ru/covers/18048.jpg","фото на сайте")</f>
        <v>фото на сайте</v>
      </c>
    </row>
    <row r="4275" spans="1:19" ht="50.1" customHeight="1">
      <c r="A4275" s="31"/>
      <c r="B4275" s="32" t="s">
        <v>15829</v>
      </c>
      <c r="C4275" s="31" t="s">
        <v>546</v>
      </c>
      <c r="D4275" s="31" t="s">
        <v>1846</v>
      </c>
      <c r="E4275" s="31" t="s">
        <v>15830</v>
      </c>
      <c r="F4275" s="31">
        <v>429</v>
      </c>
      <c r="G4275" s="31">
        <v>93</v>
      </c>
      <c r="H4275" s="31">
        <v>10</v>
      </c>
      <c r="I4275" s="31">
        <v>30</v>
      </c>
      <c r="J4275" s="31" t="s">
        <v>15831</v>
      </c>
      <c r="K4275" s="31" t="s">
        <v>123</v>
      </c>
      <c r="L4275" s="31" t="s">
        <v>56</v>
      </c>
      <c r="M4275" s="31">
        <v>159</v>
      </c>
      <c r="N4275" s="31">
        <v>2023</v>
      </c>
      <c r="O4275" s="31">
        <v>76</v>
      </c>
      <c r="P4275" s="31"/>
      <c r="Q4275" s="31"/>
      <c r="R4275" s="33" t="s">
        <v>15832</v>
      </c>
      <c r="S4275" s="34" t="str">
        <f>HYPERLINK("http://www.cnpol.ru/covers/20666.jpg","фото на сайте")</f>
        <v>фото на сайте</v>
      </c>
    </row>
    <row r="4276" spans="1:19" ht="50.1" customHeight="1">
      <c r="A4276" s="31"/>
      <c r="B4276" s="32" t="s">
        <v>15833</v>
      </c>
      <c r="C4276" s="31" t="s">
        <v>390</v>
      </c>
      <c r="D4276" s="31" t="s">
        <v>1431</v>
      </c>
      <c r="E4276" s="31" t="s">
        <v>15834</v>
      </c>
      <c r="F4276" s="31">
        <v>1026</v>
      </c>
      <c r="G4276" s="31">
        <v>86</v>
      </c>
      <c r="H4276" s="31">
        <v>10</v>
      </c>
      <c r="I4276" s="31">
        <v>30</v>
      </c>
      <c r="J4276" s="31" t="s">
        <v>15835</v>
      </c>
      <c r="K4276" s="31" t="s">
        <v>123</v>
      </c>
      <c r="L4276" s="31" t="s">
        <v>56</v>
      </c>
      <c r="M4276" s="31">
        <v>160</v>
      </c>
      <c r="N4276" s="31">
        <v>2021</v>
      </c>
      <c r="O4276" s="31">
        <v>76</v>
      </c>
      <c r="P4276" s="31"/>
      <c r="Q4276" s="31"/>
      <c r="R4276" s="33"/>
      <c r="S4276" s="34" t="str">
        <f>HYPERLINK("http://www.cnpol.ru/covers/19580.jpg","фото на сайте")</f>
        <v>фото на сайте</v>
      </c>
    </row>
    <row r="4277" spans="1:19" ht="50.1" customHeight="1">
      <c r="A4277" s="31"/>
      <c r="B4277" s="32" t="s">
        <v>15836</v>
      </c>
      <c r="C4277" s="31" t="s">
        <v>390</v>
      </c>
      <c r="D4277" s="31" t="s">
        <v>1351</v>
      </c>
      <c r="E4277" s="31" t="s">
        <v>15837</v>
      </c>
      <c r="F4277" s="31">
        <v>1104</v>
      </c>
      <c r="G4277" s="31">
        <v>86</v>
      </c>
      <c r="H4277" s="31">
        <v>10</v>
      </c>
      <c r="I4277" s="31">
        <v>30</v>
      </c>
      <c r="J4277" s="31" t="s">
        <v>15838</v>
      </c>
      <c r="K4277" s="31" t="s">
        <v>123</v>
      </c>
      <c r="L4277" s="31" t="s">
        <v>56</v>
      </c>
      <c r="M4277" s="31">
        <v>159</v>
      </c>
      <c r="N4277" s="31">
        <v>2022</v>
      </c>
      <c r="O4277" s="31">
        <v>76</v>
      </c>
      <c r="P4277" s="31"/>
      <c r="Q4277" s="31"/>
      <c r="R4277" s="33"/>
      <c r="S4277" s="34" t="str">
        <f>HYPERLINK("http://www.cnpol.ru/covers/20365.jpg","фото на сайте")</f>
        <v>фото на сайте</v>
      </c>
    </row>
    <row r="4278" spans="1:19" ht="50.1" customHeight="1">
      <c r="A4278" s="31"/>
      <c r="B4278" s="32" t="s">
        <v>15839</v>
      </c>
      <c r="C4278" s="31" t="s">
        <v>390</v>
      </c>
      <c r="D4278" s="31" t="s">
        <v>1435</v>
      </c>
      <c r="E4278" s="31" t="s">
        <v>15840</v>
      </c>
      <c r="F4278" s="31">
        <v>1144</v>
      </c>
      <c r="G4278" s="31">
        <v>86</v>
      </c>
      <c r="H4278" s="31">
        <v>10</v>
      </c>
      <c r="I4278" s="31">
        <v>30</v>
      </c>
      <c r="J4278" s="31" t="s">
        <v>15841</v>
      </c>
      <c r="K4278" s="31" t="s">
        <v>123</v>
      </c>
      <c r="L4278" s="31" t="s">
        <v>56</v>
      </c>
      <c r="M4278" s="31">
        <v>159</v>
      </c>
      <c r="N4278" s="31">
        <v>2023</v>
      </c>
      <c r="O4278" s="31">
        <v>76</v>
      </c>
      <c r="P4278" s="31"/>
      <c r="Q4278" s="31"/>
      <c r="R4278" s="33" t="s">
        <v>15842</v>
      </c>
      <c r="S4278" s="34" t="str">
        <f>HYPERLINK("http://www.cnpol.ru/covers/20711.jpg","фото на сайте")</f>
        <v>фото на сайте</v>
      </c>
    </row>
    <row r="4279" spans="1:19" ht="50.1" customHeight="1">
      <c r="A4279" s="31" t="s">
        <v>35</v>
      </c>
      <c r="B4279" s="32" t="s">
        <v>15843</v>
      </c>
      <c r="C4279" s="31" t="s">
        <v>37</v>
      </c>
      <c r="D4279" s="31" t="s">
        <v>15844</v>
      </c>
      <c r="E4279" s="31" t="s">
        <v>15845</v>
      </c>
      <c r="F4279" s="31" t="s">
        <v>31</v>
      </c>
      <c r="G4279" s="35">
        <v>1076</v>
      </c>
      <c r="H4279" s="31">
        <v>10</v>
      </c>
      <c r="I4279" s="31">
        <v>10</v>
      </c>
      <c r="J4279" s="31" t="s">
        <v>15846</v>
      </c>
      <c r="K4279" s="31" t="s">
        <v>33</v>
      </c>
      <c r="L4279" s="31" t="s">
        <v>34</v>
      </c>
      <c r="M4279" s="31">
        <v>414</v>
      </c>
      <c r="N4279" s="31">
        <v>2024</v>
      </c>
      <c r="O4279" s="31">
        <v>402</v>
      </c>
      <c r="P4279" s="31"/>
      <c r="Q4279" s="31"/>
      <c r="R4279" s="33" t="s">
        <v>15847</v>
      </c>
      <c r="S4279" s="34" t="str">
        <f>HYPERLINK("http://www.cnpol.ru/covers/21368.jpg","фото на сайте")</f>
        <v>фото на сайте</v>
      </c>
    </row>
    <row r="4280" spans="1:19" ht="50.1" customHeight="1">
      <c r="A4280" s="31"/>
      <c r="B4280" s="32" t="s">
        <v>15848</v>
      </c>
      <c r="C4280" s="31" t="s">
        <v>546</v>
      </c>
      <c r="D4280" s="31" t="s">
        <v>8716</v>
      </c>
      <c r="E4280" s="31" t="s">
        <v>15849</v>
      </c>
      <c r="F4280" s="31">
        <v>191</v>
      </c>
      <c r="G4280" s="31">
        <v>93</v>
      </c>
      <c r="H4280" s="31">
        <v>10</v>
      </c>
      <c r="I4280" s="31">
        <v>30</v>
      </c>
      <c r="J4280" s="31" t="s">
        <v>15850</v>
      </c>
      <c r="K4280" s="31" t="s">
        <v>123</v>
      </c>
      <c r="L4280" s="31" t="s">
        <v>56</v>
      </c>
      <c r="M4280" s="31">
        <v>160</v>
      </c>
      <c r="N4280" s="31">
        <v>2016</v>
      </c>
      <c r="O4280" s="31">
        <v>76</v>
      </c>
      <c r="P4280" s="31"/>
      <c r="Q4280" s="31"/>
      <c r="R4280" s="33"/>
      <c r="S4280" s="34" t="str">
        <f>HYPERLINK("http://www.cnpol.ru/covers/17084.jpg","фото на сайте")</f>
        <v>фото на сайте</v>
      </c>
    </row>
    <row r="4281" spans="1:19" ht="50.1" customHeight="1">
      <c r="A4281" s="31"/>
      <c r="B4281" s="32" t="s">
        <v>15851</v>
      </c>
      <c r="C4281" s="31" t="s">
        <v>390</v>
      </c>
      <c r="D4281" s="31" t="s">
        <v>391</v>
      </c>
      <c r="E4281" s="31" t="s">
        <v>15852</v>
      </c>
      <c r="F4281" s="31">
        <v>847</v>
      </c>
      <c r="G4281" s="31">
        <v>86</v>
      </c>
      <c r="H4281" s="31">
        <v>10</v>
      </c>
      <c r="I4281" s="31">
        <v>30</v>
      </c>
      <c r="J4281" s="31" t="s">
        <v>15853</v>
      </c>
      <c r="K4281" s="31" t="s">
        <v>123</v>
      </c>
      <c r="L4281" s="31" t="s">
        <v>56</v>
      </c>
      <c r="M4281" s="31">
        <v>160</v>
      </c>
      <c r="N4281" s="31">
        <v>2018</v>
      </c>
      <c r="O4281" s="31">
        <v>76</v>
      </c>
      <c r="P4281" s="31"/>
      <c r="Q4281" s="31"/>
      <c r="R4281" s="33"/>
      <c r="S4281" s="34" t="str">
        <f>HYPERLINK("http://www.cnpol.ru/covers/18371.jpg","фото на сайте")</f>
        <v>фото на сайте</v>
      </c>
    </row>
    <row r="4282" spans="1:19" ht="50.1" customHeight="1">
      <c r="A4282" s="31"/>
      <c r="B4282" s="32" t="s">
        <v>15854</v>
      </c>
      <c r="C4282" s="31" t="s">
        <v>538</v>
      </c>
      <c r="D4282" s="31" t="s">
        <v>3745</v>
      </c>
      <c r="E4282" s="31" t="s">
        <v>15855</v>
      </c>
      <c r="F4282" s="31" t="s">
        <v>31</v>
      </c>
      <c r="G4282" s="31">
        <v>559</v>
      </c>
      <c r="H4282" s="31">
        <v>10</v>
      </c>
      <c r="I4282" s="31">
        <v>12</v>
      </c>
      <c r="J4282" s="31" t="s">
        <v>15856</v>
      </c>
      <c r="K4282" s="31" t="s">
        <v>33</v>
      </c>
      <c r="L4282" s="31" t="s">
        <v>34</v>
      </c>
      <c r="M4282" s="31">
        <v>318</v>
      </c>
      <c r="N4282" s="31">
        <v>2009</v>
      </c>
      <c r="O4282" s="31">
        <v>326</v>
      </c>
      <c r="P4282" s="31"/>
      <c r="Q4282" s="31"/>
      <c r="R4282" s="33"/>
      <c r="S4282" s="34" t="str">
        <f>HYPERLINK("http://www.cnpol.ru/covers/11263.jpg","фото на сайте")</f>
        <v>фото на сайте</v>
      </c>
    </row>
    <row r="4283" spans="1:19" ht="50.1" customHeight="1">
      <c r="A4283" s="31"/>
      <c r="B4283" s="32" t="s">
        <v>15857</v>
      </c>
      <c r="C4283" s="31" t="s">
        <v>4799</v>
      </c>
      <c r="D4283" s="31" t="s">
        <v>3745</v>
      </c>
      <c r="E4283" s="31" t="s">
        <v>15858</v>
      </c>
      <c r="F4283" s="31" t="s">
        <v>31</v>
      </c>
      <c r="G4283" s="31">
        <v>194</v>
      </c>
      <c r="H4283" s="31">
        <v>10</v>
      </c>
      <c r="I4283" s="31">
        <v>12</v>
      </c>
      <c r="J4283" s="31" t="s">
        <v>15859</v>
      </c>
      <c r="K4283" s="31" t="s">
        <v>300</v>
      </c>
      <c r="L4283" s="31" t="s">
        <v>56</v>
      </c>
      <c r="M4283" s="31">
        <v>318</v>
      </c>
      <c r="N4283" s="31">
        <v>2012</v>
      </c>
      <c r="O4283" s="31">
        <v>170</v>
      </c>
      <c r="P4283" s="31"/>
      <c r="Q4283" s="31"/>
      <c r="R4283" s="33"/>
      <c r="S4283" s="34" t="str">
        <f>HYPERLINK("http://www.cnpol.ru/covers/13192.jpg","фото на сайте")</f>
        <v>фото на сайте</v>
      </c>
    </row>
    <row r="4284" spans="1:19" ht="50.1" customHeight="1">
      <c r="A4284" s="31"/>
      <c r="B4284" s="32" t="s">
        <v>15860</v>
      </c>
      <c r="C4284" s="31" t="s">
        <v>1003</v>
      </c>
      <c r="D4284" s="31" t="s">
        <v>1004</v>
      </c>
      <c r="E4284" s="31" t="s">
        <v>15861</v>
      </c>
      <c r="F4284" s="31" t="s">
        <v>31</v>
      </c>
      <c r="G4284" s="31">
        <v>122</v>
      </c>
      <c r="H4284" s="31">
        <v>10</v>
      </c>
      <c r="I4284" s="31">
        <v>20</v>
      </c>
      <c r="J4284" s="31" t="s">
        <v>15862</v>
      </c>
      <c r="K4284" s="31" t="s">
        <v>123</v>
      </c>
      <c r="L4284" s="31" t="s">
        <v>56</v>
      </c>
      <c r="M4284" s="31">
        <v>128</v>
      </c>
      <c r="N4284" s="31">
        <v>2016</v>
      </c>
      <c r="O4284" s="31">
        <v>60</v>
      </c>
      <c r="P4284" s="31"/>
      <c r="Q4284" s="31"/>
      <c r="R4284" s="33"/>
      <c r="S4284" s="34" t="str">
        <f>HYPERLINK("http://www.cnpol.ru/covers/16832.jpg","фото на сайте")</f>
        <v>фото на сайте</v>
      </c>
    </row>
    <row r="4285" spans="1:19" ht="50.1" customHeight="1">
      <c r="A4285" s="31"/>
      <c r="B4285" s="32" t="s">
        <v>15863</v>
      </c>
      <c r="C4285" s="31" t="s">
        <v>292</v>
      </c>
      <c r="D4285" s="31" t="s">
        <v>15864</v>
      </c>
      <c r="E4285" s="31" t="s">
        <v>15865</v>
      </c>
      <c r="F4285" s="31" t="s">
        <v>31</v>
      </c>
      <c r="G4285" s="31">
        <v>137</v>
      </c>
      <c r="H4285" s="31">
        <v>10</v>
      </c>
      <c r="I4285" s="31">
        <v>18</v>
      </c>
      <c r="J4285" s="31" t="s">
        <v>15866</v>
      </c>
      <c r="K4285" s="31" t="s">
        <v>130</v>
      </c>
      <c r="L4285" s="31" t="s">
        <v>56</v>
      </c>
      <c r="M4285" s="31">
        <v>287</v>
      </c>
      <c r="N4285" s="31">
        <v>2009</v>
      </c>
      <c r="O4285" s="31">
        <v>182</v>
      </c>
      <c r="P4285" s="31"/>
      <c r="Q4285" s="31"/>
      <c r="R4285" s="33"/>
      <c r="S4285" s="34" t="str">
        <f>HYPERLINK("http://www.cnpol.ru/covers/11531.jpg","фото на сайте")</f>
        <v>фото на сайте</v>
      </c>
    </row>
    <row r="4286" spans="1:19" ht="50.1" customHeight="1">
      <c r="A4286" s="31"/>
      <c r="B4286" s="32" t="s">
        <v>15867</v>
      </c>
      <c r="C4286" s="31" t="s">
        <v>390</v>
      </c>
      <c r="D4286" s="31" t="s">
        <v>547</v>
      </c>
      <c r="E4286" s="31" t="s">
        <v>15868</v>
      </c>
      <c r="F4286" s="31">
        <v>514</v>
      </c>
      <c r="G4286" s="31">
        <v>86</v>
      </c>
      <c r="H4286" s="31">
        <v>10</v>
      </c>
      <c r="I4286" s="31">
        <v>30</v>
      </c>
      <c r="J4286" s="31" t="s">
        <v>15869</v>
      </c>
      <c r="K4286" s="31" t="s">
        <v>123</v>
      </c>
      <c r="L4286" s="31" t="s">
        <v>56</v>
      </c>
      <c r="M4286" s="31">
        <v>158</v>
      </c>
      <c r="N4286" s="31">
        <v>2015</v>
      </c>
      <c r="O4286" s="31">
        <v>76</v>
      </c>
      <c r="P4286" s="31"/>
      <c r="Q4286" s="31"/>
      <c r="R4286" s="33"/>
      <c r="S4286" s="34" t="str">
        <f>HYPERLINK("http://www.cnpol.ru/covers/15985.jpg","фото на сайте")</f>
        <v>фото на сайте</v>
      </c>
    </row>
    <row r="4287" spans="1:19" ht="50.1" customHeight="1">
      <c r="A4287" s="31"/>
      <c r="B4287" s="32" t="s">
        <v>15870</v>
      </c>
      <c r="C4287" s="31" t="s">
        <v>390</v>
      </c>
      <c r="D4287" s="31" t="s">
        <v>3610</v>
      </c>
      <c r="E4287" s="31" t="s">
        <v>15871</v>
      </c>
      <c r="F4287" s="31">
        <v>833</v>
      </c>
      <c r="G4287" s="31">
        <v>86</v>
      </c>
      <c r="H4287" s="31">
        <v>10</v>
      </c>
      <c r="I4287" s="31">
        <v>30</v>
      </c>
      <c r="J4287" s="31" t="s">
        <v>15872</v>
      </c>
      <c r="K4287" s="31" t="s">
        <v>123</v>
      </c>
      <c r="L4287" s="31" t="s">
        <v>56</v>
      </c>
      <c r="M4287" s="31">
        <v>160</v>
      </c>
      <c r="N4287" s="31">
        <v>2018</v>
      </c>
      <c r="O4287" s="31">
        <v>76</v>
      </c>
      <c r="P4287" s="31"/>
      <c r="Q4287" s="31"/>
      <c r="R4287" s="33"/>
      <c r="S4287" s="34" t="str">
        <f>HYPERLINK("http://www.cnpol.ru/covers/18283.jpg","фото на сайте")</f>
        <v>фото на сайте</v>
      </c>
    </row>
    <row r="4288" spans="1:19" ht="50.1" customHeight="1">
      <c r="A4288" s="31"/>
      <c r="B4288" s="32" t="s">
        <v>15873</v>
      </c>
      <c r="C4288" s="31" t="s">
        <v>15070</v>
      </c>
      <c r="D4288" s="31" t="s">
        <v>120</v>
      </c>
      <c r="E4288" s="31" t="s">
        <v>15874</v>
      </c>
      <c r="F4288" s="31" t="s">
        <v>31</v>
      </c>
      <c r="G4288" s="31">
        <v>389</v>
      </c>
      <c r="H4288" s="31">
        <v>10</v>
      </c>
      <c r="I4288" s="31">
        <v>14</v>
      </c>
      <c r="J4288" s="31" t="s">
        <v>15875</v>
      </c>
      <c r="K4288" s="31" t="s">
        <v>33</v>
      </c>
      <c r="L4288" s="31" t="s">
        <v>34</v>
      </c>
      <c r="M4288" s="31">
        <v>319</v>
      </c>
      <c r="N4288" s="31">
        <v>2010</v>
      </c>
      <c r="O4288" s="31">
        <v>280</v>
      </c>
      <c r="P4288" s="31"/>
      <c r="Q4288" s="31"/>
      <c r="R4288" s="33"/>
      <c r="S4288" s="34" t="str">
        <f>HYPERLINK("http://www.cnpol.ru/covers/12205.jpg","фото на сайте")</f>
        <v>фото на сайте</v>
      </c>
    </row>
    <row r="4289" spans="1:19" ht="50.1" customHeight="1">
      <c r="A4289" s="31"/>
      <c r="B4289" s="32" t="s">
        <v>15876</v>
      </c>
      <c r="C4289" s="31" t="s">
        <v>3384</v>
      </c>
      <c r="D4289" s="31" t="s">
        <v>3385</v>
      </c>
      <c r="E4289" s="31" t="s">
        <v>15877</v>
      </c>
      <c r="F4289" s="31" t="s">
        <v>31</v>
      </c>
      <c r="G4289" s="31">
        <v>425</v>
      </c>
      <c r="H4289" s="31">
        <v>10</v>
      </c>
      <c r="I4289" s="31">
        <v>12</v>
      </c>
      <c r="J4289" s="31" t="s">
        <v>15878</v>
      </c>
      <c r="K4289" s="31" t="s">
        <v>3388</v>
      </c>
      <c r="L4289" s="31" t="s">
        <v>34</v>
      </c>
      <c r="M4289" s="31">
        <v>576</v>
      </c>
      <c r="N4289" s="31">
        <v>2017</v>
      </c>
      <c r="O4289" s="31">
        <v>240</v>
      </c>
      <c r="P4289" s="31"/>
      <c r="Q4289" s="31"/>
      <c r="R4289" s="33"/>
      <c r="S4289" s="34" t="str">
        <f>HYPERLINK("http://www.cnpol.ru/covers/17855.jpg","фото на сайте")</f>
        <v>фото на сайте</v>
      </c>
    </row>
    <row r="4290" spans="1:19" ht="50.1" customHeight="1">
      <c r="A4290" s="31"/>
      <c r="B4290" s="32" t="s">
        <v>15879</v>
      </c>
      <c r="C4290" s="31" t="s">
        <v>1668</v>
      </c>
      <c r="D4290" s="31" t="s">
        <v>1669</v>
      </c>
      <c r="E4290" s="31" t="s">
        <v>15880</v>
      </c>
      <c r="F4290" s="31" t="s">
        <v>31</v>
      </c>
      <c r="G4290" s="31">
        <v>575</v>
      </c>
      <c r="H4290" s="31">
        <v>10</v>
      </c>
      <c r="I4290" s="31">
        <v>12</v>
      </c>
      <c r="J4290" s="31" t="s">
        <v>15881</v>
      </c>
      <c r="K4290" s="31" t="s">
        <v>33</v>
      </c>
      <c r="L4290" s="31" t="s">
        <v>34</v>
      </c>
      <c r="M4290" s="31">
        <v>351</v>
      </c>
      <c r="N4290" s="31">
        <v>2023</v>
      </c>
      <c r="O4290" s="31">
        <v>295</v>
      </c>
      <c r="P4290" s="31"/>
      <c r="Q4290" s="31"/>
      <c r="R4290" s="33" t="s">
        <v>15882</v>
      </c>
      <c r="S4290" s="34" t="str">
        <f>HYPERLINK("http://www.cnpol.ru/covers/20906.jpg","фото на сайте")</f>
        <v>фото на сайте</v>
      </c>
    </row>
    <row r="4291" spans="1:19" ht="50.1" customHeight="1">
      <c r="A4291" s="31"/>
      <c r="B4291" s="32" t="s">
        <v>15883</v>
      </c>
      <c r="C4291" s="31" t="s">
        <v>1830</v>
      </c>
      <c r="D4291" s="31" t="s">
        <v>1831</v>
      </c>
      <c r="E4291" s="31" t="s">
        <v>15884</v>
      </c>
      <c r="F4291" s="31" t="s">
        <v>31</v>
      </c>
      <c r="G4291" s="31">
        <v>370</v>
      </c>
      <c r="H4291" s="31">
        <v>10</v>
      </c>
      <c r="I4291" s="31">
        <v>12</v>
      </c>
      <c r="J4291" s="31" t="s">
        <v>15885</v>
      </c>
      <c r="K4291" s="31" t="s">
        <v>33</v>
      </c>
      <c r="L4291" s="31" t="s">
        <v>34</v>
      </c>
      <c r="M4291" s="31">
        <v>398</v>
      </c>
      <c r="N4291" s="31">
        <v>2003</v>
      </c>
      <c r="O4291" s="31">
        <v>332</v>
      </c>
      <c r="P4291" s="31"/>
      <c r="Q4291" s="31"/>
      <c r="R4291" s="33"/>
      <c r="S4291" s="34" t="str">
        <f>HYPERLINK("http://www.cnpol.ru/covers/4411.jpg","фото на сайте")</f>
        <v>фото на сайте</v>
      </c>
    </row>
    <row r="4292" spans="1:19" ht="50.1" customHeight="1">
      <c r="A4292" s="31"/>
      <c r="B4292" s="32" t="s">
        <v>15886</v>
      </c>
      <c r="C4292" s="31" t="s">
        <v>385</v>
      </c>
      <c r="D4292" s="31" t="s">
        <v>386</v>
      </c>
      <c r="E4292" s="31" t="s">
        <v>15887</v>
      </c>
      <c r="F4292" s="31" t="s">
        <v>31</v>
      </c>
      <c r="G4292" s="31">
        <v>162</v>
      </c>
      <c r="H4292" s="31">
        <v>10</v>
      </c>
      <c r="I4292" s="31">
        <v>32</v>
      </c>
      <c r="J4292" s="31" t="s">
        <v>15888</v>
      </c>
      <c r="K4292" s="31" t="s">
        <v>55</v>
      </c>
      <c r="L4292" s="31" t="s">
        <v>56</v>
      </c>
      <c r="M4292" s="31">
        <v>253</v>
      </c>
      <c r="N4292" s="31">
        <v>2016</v>
      </c>
      <c r="O4292" s="31">
        <v>110</v>
      </c>
      <c r="P4292" s="31"/>
      <c r="Q4292" s="31"/>
      <c r="R4292" s="33"/>
      <c r="S4292" s="34" t="str">
        <f>HYPERLINK("http://www.cnpol.ru/covers/0103.jpg","фото на сайте")</f>
        <v>фото на сайте</v>
      </c>
    </row>
    <row r="4293" spans="1:19" ht="50.1" customHeight="1">
      <c r="A4293" s="31"/>
      <c r="B4293" s="32" t="s">
        <v>15889</v>
      </c>
      <c r="C4293" s="31" t="s">
        <v>143</v>
      </c>
      <c r="D4293" s="31" t="s">
        <v>15890</v>
      </c>
      <c r="E4293" s="31" t="s">
        <v>15891</v>
      </c>
      <c r="F4293" s="31" t="s">
        <v>31</v>
      </c>
      <c r="G4293" s="31">
        <v>832</v>
      </c>
      <c r="H4293" s="31">
        <v>10</v>
      </c>
      <c r="I4293" s="31">
        <v>14</v>
      </c>
      <c r="J4293" s="31" t="s">
        <v>15892</v>
      </c>
      <c r="K4293" s="31" t="s">
        <v>33</v>
      </c>
      <c r="L4293" s="31" t="s">
        <v>34</v>
      </c>
      <c r="M4293" s="31">
        <v>252</v>
      </c>
      <c r="N4293" s="31">
        <v>2022</v>
      </c>
      <c r="O4293" s="31">
        <v>264</v>
      </c>
      <c r="P4293" s="31"/>
      <c r="Q4293" s="31"/>
      <c r="R4293" s="33"/>
      <c r="S4293" s="34" t="str">
        <f>HYPERLINK("http://www.cnpol.ru/covers/20257.jpg","фото на сайте")</f>
        <v>фото на сайте</v>
      </c>
    </row>
    <row r="4294" spans="1:19" ht="50.1" customHeight="1">
      <c r="A4294" s="31" t="s">
        <v>35</v>
      </c>
      <c r="B4294" s="32" t="s">
        <v>15893</v>
      </c>
      <c r="C4294" s="31" t="s">
        <v>1920</v>
      </c>
      <c r="D4294" s="31" t="s">
        <v>1921</v>
      </c>
      <c r="E4294" s="31" t="s">
        <v>15894</v>
      </c>
      <c r="F4294" s="31" t="s">
        <v>31</v>
      </c>
      <c r="G4294" s="31">
        <v>258</v>
      </c>
      <c r="H4294" s="31">
        <v>10</v>
      </c>
      <c r="I4294" s="31">
        <v>26</v>
      </c>
      <c r="J4294" s="31" t="s">
        <v>15895</v>
      </c>
      <c r="K4294" s="31" t="s">
        <v>130</v>
      </c>
      <c r="L4294" s="31" t="s">
        <v>56</v>
      </c>
      <c r="M4294" s="31">
        <v>224</v>
      </c>
      <c r="N4294" s="31">
        <v>2024</v>
      </c>
      <c r="O4294" s="31">
        <v>134</v>
      </c>
      <c r="P4294" s="31"/>
      <c r="Q4294" s="31"/>
      <c r="R4294" s="33" t="s">
        <v>15896</v>
      </c>
      <c r="S4294" s="34" t="str">
        <f>HYPERLINK("http://www.cnpol.ru/covers/21045.jpg","фото на сайте")</f>
        <v>фото на сайте</v>
      </c>
    </row>
    <row r="4295" spans="1:19" ht="50.1" customHeight="1">
      <c r="A4295" s="31" t="s">
        <v>35</v>
      </c>
      <c r="B4295" s="32" t="s">
        <v>15897</v>
      </c>
      <c r="C4295" s="31" t="s">
        <v>143</v>
      </c>
      <c r="D4295" s="31" t="s">
        <v>1212</v>
      </c>
      <c r="E4295" s="31" t="s">
        <v>15898</v>
      </c>
      <c r="F4295" s="31" t="s">
        <v>31</v>
      </c>
      <c r="G4295" s="31">
        <v>855</v>
      </c>
      <c r="H4295" s="31">
        <v>10</v>
      </c>
      <c r="I4295" s="31">
        <v>10</v>
      </c>
      <c r="J4295" s="31" t="s">
        <v>15899</v>
      </c>
      <c r="K4295" s="31" t="s">
        <v>33</v>
      </c>
      <c r="L4295" s="31" t="s">
        <v>34</v>
      </c>
      <c r="M4295" s="31">
        <v>383</v>
      </c>
      <c r="N4295" s="31">
        <v>2025</v>
      </c>
      <c r="O4295" s="31" t="s">
        <v>220</v>
      </c>
      <c r="P4295" s="31"/>
      <c r="Q4295" s="31"/>
      <c r="R4295" s="33" t="s">
        <v>15900</v>
      </c>
      <c r="S4295" s="34" t="str">
        <f>HYPERLINK("http://www.cnpol.ru/covers/21867.jpg","фото на сайте")</f>
        <v>фото на сайте</v>
      </c>
    </row>
    <row r="4296" spans="1:19" ht="50.1" customHeight="1">
      <c r="A4296" s="31"/>
      <c r="B4296" s="32" t="s">
        <v>15901</v>
      </c>
      <c r="C4296" s="31" t="s">
        <v>413</v>
      </c>
      <c r="D4296" s="31" t="s">
        <v>1343</v>
      </c>
      <c r="E4296" s="31" t="s">
        <v>15902</v>
      </c>
      <c r="F4296" s="31">
        <v>166</v>
      </c>
      <c r="G4296" s="31">
        <v>117</v>
      </c>
      <c r="H4296" s="31">
        <v>10</v>
      </c>
      <c r="I4296" s="31">
        <v>30</v>
      </c>
      <c r="J4296" s="31" t="s">
        <v>15903</v>
      </c>
      <c r="K4296" s="31" t="s">
        <v>123</v>
      </c>
      <c r="L4296" s="31" t="s">
        <v>56</v>
      </c>
      <c r="M4296" s="31">
        <v>192</v>
      </c>
      <c r="N4296" s="31">
        <v>2019</v>
      </c>
      <c r="O4296" s="31">
        <v>90</v>
      </c>
      <c r="P4296" s="31"/>
      <c r="Q4296" s="31"/>
      <c r="R4296" s="33"/>
      <c r="S4296" s="34" t="str">
        <f>HYPERLINK("http://www.cnpol.ru/covers/18751.jpg","фото на сайте")</f>
        <v>фото на сайте</v>
      </c>
    </row>
    <row r="4297" spans="1:19" ht="50.1" customHeight="1">
      <c r="A4297" s="31"/>
      <c r="B4297" s="32" t="s">
        <v>15904</v>
      </c>
      <c r="C4297" s="31" t="s">
        <v>546</v>
      </c>
      <c r="D4297" s="31" t="s">
        <v>1801</v>
      </c>
      <c r="E4297" s="31" t="s">
        <v>15905</v>
      </c>
      <c r="F4297" s="31">
        <v>160</v>
      </c>
      <c r="G4297" s="31">
        <v>93</v>
      </c>
      <c r="H4297" s="31">
        <v>10</v>
      </c>
      <c r="I4297" s="31">
        <v>30</v>
      </c>
      <c r="J4297" s="31" t="s">
        <v>15906</v>
      </c>
      <c r="K4297" s="31" t="s">
        <v>123</v>
      </c>
      <c r="L4297" s="31" t="s">
        <v>56</v>
      </c>
      <c r="M4297" s="31">
        <v>160</v>
      </c>
      <c r="N4297" s="31">
        <v>2016</v>
      </c>
      <c r="O4297" s="31">
        <v>76</v>
      </c>
      <c r="P4297" s="31"/>
      <c r="Q4297" s="31"/>
      <c r="R4297" s="33"/>
      <c r="S4297" s="34" t="str">
        <f>HYPERLINK("http://www.cnpol.ru/covers/16618.jpg","фото на сайте")</f>
        <v>фото на сайте</v>
      </c>
    </row>
    <row r="4298" spans="1:19" ht="50.1" customHeight="1">
      <c r="A4298" s="31"/>
      <c r="B4298" s="32" t="s">
        <v>15907</v>
      </c>
      <c r="C4298" s="31" t="s">
        <v>119</v>
      </c>
      <c r="D4298" s="31" t="s">
        <v>15908</v>
      </c>
      <c r="E4298" s="31" t="s">
        <v>15909</v>
      </c>
      <c r="F4298" s="31" t="s">
        <v>31</v>
      </c>
      <c r="G4298" s="31">
        <v>503</v>
      </c>
      <c r="H4298" s="31">
        <v>10</v>
      </c>
      <c r="I4298" s="31">
        <v>14</v>
      </c>
      <c r="J4298" s="31" t="s">
        <v>15910</v>
      </c>
      <c r="K4298" s="31" t="s">
        <v>194</v>
      </c>
      <c r="L4298" s="31" t="s">
        <v>34</v>
      </c>
      <c r="M4298" s="31">
        <v>288</v>
      </c>
      <c r="N4298" s="31">
        <v>2018</v>
      </c>
      <c r="O4298" s="31">
        <v>272</v>
      </c>
      <c r="P4298" s="31"/>
      <c r="Q4298" s="31"/>
      <c r="R4298" s="33"/>
      <c r="S4298" s="34" t="str">
        <f>HYPERLINK("http://www.cnpol.ru/covers/17908.jpg","фото на сайте")</f>
        <v>фото на сайте</v>
      </c>
    </row>
    <row r="4299" spans="1:19" ht="50.1" customHeight="1">
      <c r="A4299" s="31"/>
      <c r="B4299" s="32" t="s">
        <v>15911</v>
      </c>
      <c r="C4299" s="31" t="s">
        <v>390</v>
      </c>
      <c r="D4299" s="31" t="s">
        <v>4615</v>
      </c>
      <c r="E4299" s="31" t="s">
        <v>15912</v>
      </c>
      <c r="F4299" s="31">
        <v>979</v>
      </c>
      <c r="G4299" s="31">
        <v>86</v>
      </c>
      <c r="H4299" s="31">
        <v>10</v>
      </c>
      <c r="I4299" s="31">
        <v>30</v>
      </c>
      <c r="J4299" s="31" t="s">
        <v>15913</v>
      </c>
      <c r="K4299" s="31" t="s">
        <v>123</v>
      </c>
      <c r="L4299" s="31" t="s">
        <v>56</v>
      </c>
      <c r="M4299" s="31">
        <v>160</v>
      </c>
      <c r="N4299" s="31">
        <v>2020</v>
      </c>
      <c r="O4299" s="31">
        <v>76</v>
      </c>
      <c r="P4299" s="31"/>
      <c r="Q4299" s="31"/>
      <c r="R4299" s="33"/>
      <c r="S4299" s="34" t="str">
        <f>HYPERLINK("http://www.cnpol.ru/covers/19180.jpg","фото на сайте")</f>
        <v>фото на сайте</v>
      </c>
    </row>
    <row r="4300" spans="1:19" ht="50.1" customHeight="1">
      <c r="A4300" s="31" t="s">
        <v>43</v>
      </c>
      <c r="B4300" s="32" t="s">
        <v>15914</v>
      </c>
      <c r="C4300" s="31" t="s">
        <v>434</v>
      </c>
      <c r="D4300" s="31" t="s">
        <v>913</v>
      </c>
      <c r="E4300" s="31" t="s">
        <v>15915</v>
      </c>
      <c r="F4300" s="31" t="s">
        <v>31</v>
      </c>
      <c r="G4300" s="35">
        <v>1015</v>
      </c>
      <c r="H4300" s="31">
        <v>10</v>
      </c>
      <c r="I4300" s="31">
        <v>10</v>
      </c>
      <c r="J4300" s="31" t="s">
        <v>15916</v>
      </c>
      <c r="K4300" s="31" t="s">
        <v>33</v>
      </c>
      <c r="L4300" s="31" t="s">
        <v>34</v>
      </c>
      <c r="M4300" s="31">
        <v>383</v>
      </c>
      <c r="N4300" s="31">
        <v>2024</v>
      </c>
      <c r="O4300" s="31">
        <v>422</v>
      </c>
      <c r="P4300" s="31"/>
      <c r="Q4300" s="31"/>
      <c r="R4300" s="33" t="s">
        <v>15917</v>
      </c>
      <c r="S4300" s="34" t="str">
        <f>HYPERLINK("http://www.cnpol.ru/covers/21327.jpg","фото на сайте")</f>
        <v>фото на сайте</v>
      </c>
    </row>
    <row r="4301" spans="1:19" ht="50.1" customHeight="1">
      <c r="A4301" s="31"/>
      <c r="B4301" s="32" t="s">
        <v>15918</v>
      </c>
      <c r="C4301" s="31" t="s">
        <v>4248</v>
      </c>
      <c r="D4301" s="31" t="s">
        <v>15919</v>
      </c>
      <c r="E4301" s="31" t="s">
        <v>15920</v>
      </c>
      <c r="F4301" s="31" t="s">
        <v>31</v>
      </c>
      <c r="G4301" s="31">
        <v>425</v>
      </c>
      <c r="H4301" s="31">
        <v>10</v>
      </c>
      <c r="I4301" s="31">
        <v>14</v>
      </c>
      <c r="J4301" s="31" t="s">
        <v>15921</v>
      </c>
      <c r="K4301" s="31" t="s">
        <v>158</v>
      </c>
      <c r="L4301" s="31" t="s">
        <v>34</v>
      </c>
      <c r="M4301" s="31">
        <v>315</v>
      </c>
      <c r="N4301" s="31">
        <v>2011</v>
      </c>
      <c r="O4301" s="31">
        <v>288</v>
      </c>
      <c r="P4301" s="31"/>
      <c r="Q4301" s="31"/>
      <c r="R4301" s="33"/>
      <c r="S4301" s="34" t="str">
        <f>HYPERLINK("http://www.cnpol.ru/covers/12464.jpg","фото на сайте")</f>
        <v>фото на сайте</v>
      </c>
    </row>
    <row r="4302" spans="1:19" ht="50.1" customHeight="1">
      <c r="A4302" s="31"/>
      <c r="B4302" s="32" t="s">
        <v>15922</v>
      </c>
      <c r="C4302" s="31" t="s">
        <v>4205</v>
      </c>
      <c r="D4302" s="31" t="s">
        <v>5090</v>
      </c>
      <c r="E4302" s="31" t="s">
        <v>15923</v>
      </c>
      <c r="F4302" s="31" t="s">
        <v>31</v>
      </c>
      <c r="G4302" s="31">
        <v>503</v>
      </c>
      <c r="H4302" s="31">
        <v>10</v>
      </c>
      <c r="I4302" s="31">
        <v>10</v>
      </c>
      <c r="J4302" s="31" t="s">
        <v>15924</v>
      </c>
      <c r="K4302" s="31" t="s">
        <v>33</v>
      </c>
      <c r="L4302" s="31" t="s">
        <v>34</v>
      </c>
      <c r="M4302" s="31">
        <v>416</v>
      </c>
      <c r="N4302" s="31">
        <v>2016</v>
      </c>
      <c r="O4302" s="31">
        <v>342</v>
      </c>
      <c r="P4302" s="31"/>
      <c r="Q4302" s="31"/>
      <c r="R4302" s="33"/>
      <c r="S4302" s="34" t="str">
        <f>HYPERLINK("http://www.cnpol.ru/covers/16478.jpg","фото на сайте")</f>
        <v>фото на сайте</v>
      </c>
    </row>
    <row r="4303" spans="1:19" ht="50.1" customHeight="1">
      <c r="A4303" s="31"/>
      <c r="B4303" s="32" t="s">
        <v>15925</v>
      </c>
      <c r="C4303" s="31" t="s">
        <v>688</v>
      </c>
      <c r="D4303" s="31" t="s">
        <v>1312</v>
      </c>
      <c r="E4303" s="31" t="s">
        <v>15926</v>
      </c>
      <c r="F4303" s="31" t="s">
        <v>31</v>
      </c>
      <c r="G4303" s="31">
        <v>486</v>
      </c>
      <c r="H4303" s="31">
        <v>10</v>
      </c>
      <c r="I4303" s="31">
        <v>24</v>
      </c>
      <c r="J4303" s="31" t="s">
        <v>15927</v>
      </c>
      <c r="K4303" s="31" t="s">
        <v>158</v>
      </c>
      <c r="L4303" s="31" t="s">
        <v>34</v>
      </c>
      <c r="M4303" s="31">
        <v>191</v>
      </c>
      <c r="N4303" s="31">
        <v>2010</v>
      </c>
      <c r="O4303" s="31">
        <v>196</v>
      </c>
      <c r="P4303" s="31"/>
      <c r="Q4303" s="31"/>
      <c r="R4303" s="33"/>
      <c r="S4303" s="34" t="str">
        <f>HYPERLINK("http://www.cnpol.ru/covers/12109.jpg","фото на сайте")</f>
        <v>фото на сайте</v>
      </c>
    </row>
    <row r="4304" spans="1:19" ht="50.1" customHeight="1">
      <c r="A4304" s="31"/>
      <c r="B4304" s="32" t="s">
        <v>15928</v>
      </c>
      <c r="C4304" s="31" t="s">
        <v>413</v>
      </c>
      <c r="D4304" s="31" t="s">
        <v>5291</v>
      </c>
      <c r="E4304" s="31" t="s">
        <v>15929</v>
      </c>
      <c r="F4304" s="31">
        <v>90</v>
      </c>
      <c r="G4304" s="31">
        <v>117</v>
      </c>
      <c r="H4304" s="31">
        <v>10</v>
      </c>
      <c r="I4304" s="31">
        <v>36</v>
      </c>
      <c r="J4304" s="31" t="s">
        <v>15930</v>
      </c>
      <c r="K4304" s="31" t="s">
        <v>123</v>
      </c>
      <c r="L4304" s="31" t="s">
        <v>56</v>
      </c>
      <c r="M4304" s="31">
        <v>192</v>
      </c>
      <c r="N4304" s="31">
        <v>2016</v>
      </c>
      <c r="O4304" s="31">
        <v>90</v>
      </c>
      <c r="P4304" s="31"/>
      <c r="Q4304" s="31"/>
      <c r="R4304" s="33"/>
      <c r="S4304" s="34" t="str">
        <f>HYPERLINK("http://www.cnpol.ru/covers/16531.jpg","фото на сайте")</f>
        <v>фото на сайте</v>
      </c>
    </row>
    <row r="4305" spans="1:19" ht="50.1" customHeight="1">
      <c r="A4305" s="31"/>
      <c r="B4305" s="32" t="s">
        <v>15931</v>
      </c>
      <c r="C4305" s="31" t="s">
        <v>3229</v>
      </c>
      <c r="D4305" s="31" t="s">
        <v>15932</v>
      </c>
      <c r="E4305" s="31" t="s">
        <v>15933</v>
      </c>
      <c r="F4305" s="31" t="s">
        <v>31</v>
      </c>
      <c r="G4305" s="31">
        <v>746</v>
      </c>
      <c r="H4305" s="31">
        <v>10</v>
      </c>
      <c r="I4305" s="31">
        <v>12</v>
      </c>
      <c r="J4305" s="31" t="s">
        <v>15934</v>
      </c>
      <c r="K4305" s="31" t="s">
        <v>41</v>
      </c>
      <c r="L4305" s="31" t="s">
        <v>34</v>
      </c>
      <c r="M4305" s="31">
        <v>350</v>
      </c>
      <c r="N4305" s="31">
        <v>2014</v>
      </c>
      <c r="O4305" s="31">
        <v>486</v>
      </c>
      <c r="P4305" s="31"/>
      <c r="Q4305" s="31"/>
      <c r="R4305" s="33"/>
      <c r="S4305" s="34" t="str">
        <f>HYPERLINK("http://www.cnpol.ru/covers/15692.jpg","фото на сайте")</f>
        <v>фото на сайте</v>
      </c>
    </row>
    <row r="4306" spans="1:19" ht="50.1" customHeight="1">
      <c r="A4306" s="31"/>
      <c r="B4306" s="32" t="s">
        <v>15935</v>
      </c>
      <c r="C4306" s="31" t="s">
        <v>546</v>
      </c>
      <c r="D4306" s="31" t="s">
        <v>1435</v>
      </c>
      <c r="E4306" s="31" t="s">
        <v>15936</v>
      </c>
      <c r="F4306" s="31">
        <v>198</v>
      </c>
      <c r="G4306" s="31">
        <v>93</v>
      </c>
      <c r="H4306" s="31">
        <v>10</v>
      </c>
      <c r="I4306" s="31">
        <v>30</v>
      </c>
      <c r="J4306" s="31" t="s">
        <v>15937</v>
      </c>
      <c r="K4306" s="31" t="s">
        <v>123</v>
      </c>
      <c r="L4306" s="31" t="s">
        <v>56</v>
      </c>
      <c r="M4306" s="31">
        <v>160</v>
      </c>
      <c r="N4306" s="31">
        <v>2016</v>
      </c>
      <c r="O4306" s="31">
        <v>76</v>
      </c>
      <c r="P4306" s="31"/>
      <c r="Q4306" s="31"/>
      <c r="R4306" s="33"/>
      <c r="S4306" s="34" t="str">
        <f>HYPERLINK("http://www.cnpol.ru/covers/17179.jpg","фото на сайте")</f>
        <v>фото на сайте</v>
      </c>
    </row>
    <row r="4307" spans="1:19" ht="50.1" customHeight="1">
      <c r="A4307" s="31"/>
      <c r="B4307" s="32" t="s">
        <v>15938</v>
      </c>
      <c r="C4307" s="31" t="s">
        <v>418</v>
      </c>
      <c r="D4307" s="31" t="s">
        <v>5706</v>
      </c>
      <c r="E4307" s="31" t="s">
        <v>15939</v>
      </c>
      <c r="F4307" s="31">
        <v>114</v>
      </c>
      <c r="G4307" s="31">
        <v>153</v>
      </c>
      <c r="H4307" s="31">
        <v>10</v>
      </c>
      <c r="I4307" s="31">
        <v>30</v>
      </c>
      <c r="J4307" s="31" t="s">
        <v>15940</v>
      </c>
      <c r="K4307" s="31" t="s">
        <v>123</v>
      </c>
      <c r="L4307" s="31" t="s">
        <v>56</v>
      </c>
      <c r="M4307" s="31">
        <v>256</v>
      </c>
      <c r="N4307" s="31">
        <v>2021</v>
      </c>
      <c r="O4307" s="31">
        <v>118</v>
      </c>
      <c r="P4307" s="31"/>
      <c r="Q4307" s="31"/>
      <c r="R4307" s="33"/>
      <c r="S4307" s="34" t="str">
        <f>HYPERLINK("http://www.cnpol.ru/covers/19584.jpg","фото на сайте")</f>
        <v>фото на сайте</v>
      </c>
    </row>
    <row r="4308" spans="1:19" ht="50.1" customHeight="1">
      <c r="A4308" s="31"/>
      <c r="B4308" s="32" t="s">
        <v>15941</v>
      </c>
      <c r="C4308" s="31" t="s">
        <v>413</v>
      </c>
      <c r="D4308" s="31" t="s">
        <v>1774</v>
      </c>
      <c r="E4308" s="31" t="s">
        <v>15942</v>
      </c>
      <c r="F4308" s="31">
        <v>167</v>
      </c>
      <c r="G4308" s="31">
        <v>117</v>
      </c>
      <c r="H4308" s="31">
        <v>10</v>
      </c>
      <c r="I4308" s="31">
        <v>30</v>
      </c>
      <c r="J4308" s="31" t="s">
        <v>15943</v>
      </c>
      <c r="K4308" s="31" t="s">
        <v>123</v>
      </c>
      <c r="L4308" s="31" t="s">
        <v>56</v>
      </c>
      <c r="M4308" s="31">
        <v>192</v>
      </c>
      <c r="N4308" s="31">
        <v>2019</v>
      </c>
      <c r="O4308" s="31">
        <v>90</v>
      </c>
      <c r="P4308" s="31"/>
      <c r="Q4308" s="31"/>
      <c r="R4308" s="33"/>
      <c r="S4308" s="34" t="str">
        <f>HYPERLINK("http://www.cnpol.ru/covers/18791.jpg","фото на сайте")</f>
        <v>фото на сайте</v>
      </c>
    </row>
    <row r="4309" spans="1:19" ht="50.1" customHeight="1">
      <c r="A4309" s="31"/>
      <c r="B4309" s="32" t="s">
        <v>15944</v>
      </c>
      <c r="C4309" s="31" t="s">
        <v>390</v>
      </c>
      <c r="D4309" s="31" t="s">
        <v>1842</v>
      </c>
      <c r="E4309" s="31" t="s">
        <v>15945</v>
      </c>
      <c r="F4309" s="31">
        <v>517</v>
      </c>
      <c r="G4309" s="31">
        <v>86</v>
      </c>
      <c r="H4309" s="31">
        <v>10</v>
      </c>
      <c r="I4309" s="31">
        <v>30</v>
      </c>
      <c r="J4309" s="31" t="s">
        <v>15946</v>
      </c>
      <c r="K4309" s="31" t="s">
        <v>123</v>
      </c>
      <c r="L4309" s="31" t="s">
        <v>56</v>
      </c>
      <c r="M4309" s="31">
        <v>158</v>
      </c>
      <c r="N4309" s="31">
        <v>2015</v>
      </c>
      <c r="O4309" s="31">
        <v>76</v>
      </c>
      <c r="P4309" s="31"/>
      <c r="Q4309" s="31"/>
      <c r="R4309" s="33"/>
      <c r="S4309" s="34" t="str">
        <f>HYPERLINK("http://www.cnpol.ru/covers/15994.jpg","фото на сайте")</f>
        <v>фото на сайте</v>
      </c>
    </row>
    <row r="4310" spans="1:19" ht="50.1" customHeight="1">
      <c r="A4310" s="31"/>
      <c r="B4310" s="32" t="s">
        <v>15947</v>
      </c>
      <c r="C4310" s="31" t="s">
        <v>390</v>
      </c>
      <c r="D4310" s="31" t="s">
        <v>1107</v>
      </c>
      <c r="E4310" s="31" t="s">
        <v>15948</v>
      </c>
      <c r="F4310" s="31">
        <v>535</v>
      </c>
      <c r="G4310" s="31">
        <v>86</v>
      </c>
      <c r="H4310" s="31">
        <v>10</v>
      </c>
      <c r="I4310" s="31">
        <v>30</v>
      </c>
      <c r="J4310" s="31" t="s">
        <v>15949</v>
      </c>
      <c r="K4310" s="31" t="s">
        <v>123</v>
      </c>
      <c r="L4310" s="31" t="s">
        <v>56</v>
      </c>
      <c r="M4310" s="31">
        <v>158</v>
      </c>
      <c r="N4310" s="31">
        <v>2015</v>
      </c>
      <c r="O4310" s="31">
        <v>76</v>
      </c>
      <c r="P4310" s="31"/>
      <c r="Q4310" s="31"/>
      <c r="R4310" s="33"/>
      <c r="S4310" s="34" t="str">
        <f>HYPERLINK("http://www.cnpol.ru/covers/16131.jpg","фото на сайте")</f>
        <v>фото на сайте</v>
      </c>
    </row>
    <row r="4311" spans="1:19" ht="50.1" customHeight="1">
      <c r="A4311" s="31"/>
      <c r="B4311" s="32" t="s">
        <v>15950</v>
      </c>
      <c r="C4311" s="31" t="s">
        <v>413</v>
      </c>
      <c r="D4311" s="31" t="s">
        <v>414</v>
      </c>
      <c r="E4311" s="31" t="s">
        <v>15951</v>
      </c>
      <c r="F4311" s="31">
        <v>149</v>
      </c>
      <c r="G4311" s="31">
        <v>117</v>
      </c>
      <c r="H4311" s="31">
        <v>10</v>
      </c>
      <c r="I4311" s="31">
        <v>36</v>
      </c>
      <c r="J4311" s="31" t="s">
        <v>15952</v>
      </c>
      <c r="K4311" s="31" t="s">
        <v>123</v>
      </c>
      <c r="L4311" s="31" t="s">
        <v>56</v>
      </c>
      <c r="M4311" s="31">
        <v>192</v>
      </c>
      <c r="N4311" s="31">
        <v>2017</v>
      </c>
      <c r="O4311" s="31">
        <v>90</v>
      </c>
      <c r="P4311" s="31"/>
      <c r="Q4311" s="31"/>
      <c r="R4311" s="33"/>
      <c r="S4311" s="34" t="str">
        <f>HYPERLINK("http://www.cnpol.ru/covers/17819.jpg","фото на сайте")</f>
        <v>фото на сайте</v>
      </c>
    </row>
    <row r="4312" spans="1:19" ht="50.1" customHeight="1">
      <c r="A4312" s="31"/>
      <c r="B4312" s="32" t="s">
        <v>15953</v>
      </c>
      <c r="C4312" s="31" t="s">
        <v>413</v>
      </c>
      <c r="D4312" s="31" t="s">
        <v>4721</v>
      </c>
      <c r="E4312" s="31" t="s">
        <v>15954</v>
      </c>
      <c r="F4312" s="31">
        <v>139</v>
      </c>
      <c r="G4312" s="31">
        <v>117</v>
      </c>
      <c r="H4312" s="31">
        <v>10</v>
      </c>
      <c r="I4312" s="31">
        <v>36</v>
      </c>
      <c r="J4312" s="31" t="s">
        <v>15955</v>
      </c>
      <c r="K4312" s="31" t="s">
        <v>123</v>
      </c>
      <c r="L4312" s="31" t="s">
        <v>56</v>
      </c>
      <c r="M4312" s="31">
        <v>192</v>
      </c>
      <c r="N4312" s="31">
        <v>2017</v>
      </c>
      <c r="O4312" s="31">
        <v>90</v>
      </c>
      <c r="P4312" s="31"/>
      <c r="Q4312" s="31"/>
      <c r="R4312" s="33"/>
      <c r="S4312" s="34" t="str">
        <f>HYPERLINK("http://www.cnpol.ru/covers/17340.jpg","фото на сайте")</f>
        <v>фото на сайте</v>
      </c>
    </row>
    <row r="4313" spans="1:19" ht="50.1" customHeight="1">
      <c r="A4313" s="31"/>
      <c r="B4313" s="32" t="s">
        <v>15956</v>
      </c>
      <c r="C4313" s="31" t="s">
        <v>413</v>
      </c>
      <c r="D4313" s="31" t="s">
        <v>10036</v>
      </c>
      <c r="E4313" s="31" t="s">
        <v>15957</v>
      </c>
      <c r="F4313" s="31">
        <v>35</v>
      </c>
      <c r="G4313" s="31">
        <v>117</v>
      </c>
      <c r="H4313" s="31">
        <v>10</v>
      </c>
      <c r="I4313" s="31">
        <v>36</v>
      </c>
      <c r="J4313" s="31" t="s">
        <v>15958</v>
      </c>
      <c r="K4313" s="31" t="s">
        <v>123</v>
      </c>
      <c r="L4313" s="31" t="s">
        <v>56</v>
      </c>
      <c r="M4313" s="31">
        <v>190</v>
      </c>
      <c r="N4313" s="31">
        <v>2014</v>
      </c>
      <c r="O4313" s="31">
        <v>92</v>
      </c>
      <c r="P4313" s="31"/>
      <c r="Q4313" s="31"/>
      <c r="R4313" s="33"/>
      <c r="S4313" s="34" t="str">
        <f>HYPERLINK("http://www.cnpol.ru/covers/15672.jpg","фото на сайте")</f>
        <v>фото на сайте</v>
      </c>
    </row>
    <row r="4314" spans="1:19" ht="50.1" customHeight="1">
      <c r="A4314" s="31"/>
      <c r="B4314" s="32" t="s">
        <v>15959</v>
      </c>
      <c r="C4314" s="31" t="s">
        <v>390</v>
      </c>
      <c r="D4314" s="31" t="s">
        <v>5994</v>
      </c>
      <c r="E4314" s="31" t="s">
        <v>15960</v>
      </c>
      <c r="F4314" s="31">
        <v>896</v>
      </c>
      <c r="G4314" s="31">
        <v>86</v>
      </c>
      <c r="H4314" s="31">
        <v>10</v>
      </c>
      <c r="I4314" s="31">
        <v>30</v>
      </c>
      <c r="J4314" s="31" t="s">
        <v>15961</v>
      </c>
      <c r="K4314" s="31" t="s">
        <v>123</v>
      </c>
      <c r="L4314" s="31" t="s">
        <v>56</v>
      </c>
      <c r="M4314" s="31">
        <v>160</v>
      </c>
      <c r="N4314" s="31">
        <v>2019</v>
      </c>
      <c r="O4314" s="31">
        <v>78</v>
      </c>
      <c r="P4314" s="31"/>
      <c r="Q4314" s="31"/>
      <c r="R4314" s="33"/>
      <c r="S4314" s="34" t="str">
        <f>HYPERLINK("http://www.cnpol.ru/covers/18686.jpg","фото на сайте")</f>
        <v>фото на сайте</v>
      </c>
    </row>
    <row r="4315" spans="1:19" ht="50.1" customHeight="1">
      <c r="A4315" s="31"/>
      <c r="B4315" s="32" t="s">
        <v>15962</v>
      </c>
      <c r="C4315" s="31" t="s">
        <v>546</v>
      </c>
      <c r="D4315" s="31" t="s">
        <v>1292</v>
      </c>
      <c r="E4315" s="31" t="s">
        <v>15963</v>
      </c>
      <c r="F4315" s="31">
        <v>338</v>
      </c>
      <c r="G4315" s="31">
        <v>93</v>
      </c>
      <c r="H4315" s="31">
        <v>10</v>
      </c>
      <c r="I4315" s="31">
        <v>30</v>
      </c>
      <c r="J4315" s="31" t="s">
        <v>15964</v>
      </c>
      <c r="K4315" s="31" t="s">
        <v>123</v>
      </c>
      <c r="L4315" s="31" t="s">
        <v>56</v>
      </c>
      <c r="M4315" s="31">
        <v>160</v>
      </c>
      <c r="N4315" s="31">
        <v>2020</v>
      </c>
      <c r="O4315" s="31">
        <v>76</v>
      </c>
      <c r="P4315" s="31"/>
      <c r="Q4315" s="31"/>
      <c r="R4315" s="33"/>
      <c r="S4315" s="34" t="str">
        <f>HYPERLINK("http://www.cnpol.ru/covers/19011.jpg","фото на сайте")</f>
        <v>фото на сайте</v>
      </c>
    </row>
    <row r="4316" spans="1:19" ht="50.1" customHeight="1">
      <c r="A4316" s="31"/>
      <c r="B4316" s="32" t="s">
        <v>15965</v>
      </c>
      <c r="C4316" s="31" t="s">
        <v>390</v>
      </c>
      <c r="D4316" s="31" t="s">
        <v>1356</v>
      </c>
      <c r="E4316" s="31" t="s">
        <v>15966</v>
      </c>
      <c r="F4316" s="31">
        <v>554</v>
      </c>
      <c r="G4316" s="31">
        <v>86</v>
      </c>
      <c r="H4316" s="31">
        <v>10</v>
      </c>
      <c r="I4316" s="31">
        <v>30</v>
      </c>
      <c r="J4316" s="31" t="s">
        <v>15967</v>
      </c>
      <c r="K4316" s="31" t="s">
        <v>123</v>
      </c>
      <c r="L4316" s="31" t="s">
        <v>56</v>
      </c>
      <c r="M4316" s="31">
        <v>158</v>
      </c>
      <c r="N4316" s="31">
        <v>2015</v>
      </c>
      <c r="O4316" s="31">
        <v>76</v>
      </c>
      <c r="P4316" s="31"/>
      <c r="Q4316" s="31"/>
      <c r="R4316" s="33"/>
      <c r="S4316" s="34" t="str">
        <f>HYPERLINK("http://www.cnpol.ru/covers/16269.jpg","фото на сайте")</f>
        <v>фото на сайте</v>
      </c>
    </row>
    <row r="4317" spans="1:19" ht="50.1" customHeight="1">
      <c r="A4317" s="31"/>
      <c r="B4317" s="32" t="s">
        <v>15968</v>
      </c>
      <c r="C4317" s="31" t="s">
        <v>1373</v>
      </c>
      <c r="D4317" s="31" t="s">
        <v>15969</v>
      </c>
      <c r="E4317" s="31" t="s">
        <v>15970</v>
      </c>
      <c r="F4317" s="31" t="s">
        <v>31</v>
      </c>
      <c r="G4317" s="31">
        <v>389</v>
      </c>
      <c r="H4317" s="31">
        <v>10</v>
      </c>
      <c r="I4317" s="31">
        <v>14</v>
      </c>
      <c r="J4317" s="31" t="s">
        <v>15971</v>
      </c>
      <c r="K4317" s="31" t="s">
        <v>1377</v>
      </c>
      <c r="L4317" s="31" t="s">
        <v>34</v>
      </c>
      <c r="M4317" s="31">
        <v>542</v>
      </c>
      <c r="N4317" s="31">
        <v>2002</v>
      </c>
      <c r="O4317" s="31">
        <v>380</v>
      </c>
      <c r="P4317" s="31"/>
      <c r="Q4317" s="31"/>
      <c r="R4317" s="33"/>
      <c r="S4317" s="34" t="str">
        <f>HYPERLINK("http://www.cnpol.ru/covers/3185.jpg","фото на сайте")</f>
        <v>фото на сайте</v>
      </c>
    </row>
    <row r="4318" spans="1:19" ht="50.1" customHeight="1">
      <c r="A4318" s="31"/>
      <c r="B4318" s="32" t="s">
        <v>15972</v>
      </c>
      <c r="C4318" s="31" t="s">
        <v>390</v>
      </c>
      <c r="D4318" s="31" t="s">
        <v>2416</v>
      </c>
      <c r="E4318" s="31" t="s">
        <v>15973</v>
      </c>
      <c r="F4318" s="31">
        <v>304</v>
      </c>
      <c r="G4318" s="31">
        <v>86</v>
      </c>
      <c r="H4318" s="31">
        <v>10</v>
      </c>
      <c r="I4318" s="31">
        <v>30</v>
      </c>
      <c r="J4318" s="31" t="s">
        <v>15974</v>
      </c>
      <c r="K4318" s="31" t="s">
        <v>123</v>
      </c>
      <c r="L4318" s="31" t="s">
        <v>56</v>
      </c>
      <c r="M4318" s="31">
        <v>158</v>
      </c>
      <c r="N4318" s="31">
        <v>2013</v>
      </c>
      <c r="O4318" s="31">
        <v>74</v>
      </c>
      <c r="P4318" s="31"/>
      <c r="Q4318" s="31"/>
      <c r="R4318" s="33"/>
      <c r="S4318" s="34" t="str">
        <f>HYPERLINK("http://www.cnpol.ru/covers/14145.jpg","фото на сайте")</f>
        <v>фото на сайте</v>
      </c>
    </row>
    <row r="4319" spans="1:19" ht="50.1" customHeight="1">
      <c r="A4319" s="31"/>
      <c r="B4319" s="32" t="s">
        <v>15975</v>
      </c>
      <c r="C4319" s="31" t="s">
        <v>413</v>
      </c>
      <c r="D4319" s="31" t="s">
        <v>4953</v>
      </c>
      <c r="E4319" s="31" t="s">
        <v>15976</v>
      </c>
      <c r="F4319" s="31">
        <v>126</v>
      </c>
      <c r="G4319" s="31">
        <v>117</v>
      </c>
      <c r="H4319" s="31">
        <v>10</v>
      </c>
      <c r="I4319" s="31">
        <v>36</v>
      </c>
      <c r="J4319" s="31" t="s">
        <v>15977</v>
      </c>
      <c r="K4319" s="31" t="s">
        <v>123</v>
      </c>
      <c r="L4319" s="31" t="s">
        <v>56</v>
      </c>
      <c r="M4319" s="31">
        <v>192</v>
      </c>
      <c r="N4319" s="31">
        <v>2016</v>
      </c>
      <c r="O4319" s="31">
        <v>90</v>
      </c>
      <c r="P4319" s="31"/>
      <c r="Q4319" s="31"/>
      <c r="R4319" s="33"/>
      <c r="S4319" s="34" t="str">
        <f>HYPERLINK("http://www.cnpol.ru/covers/17091.jpg","фото на сайте")</f>
        <v>фото на сайте</v>
      </c>
    </row>
    <row r="4320" spans="1:19" ht="50.1" customHeight="1">
      <c r="A4320" s="31"/>
      <c r="B4320" s="32" t="s">
        <v>15978</v>
      </c>
      <c r="C4320" s="31" t="s">
        <v>390</v>
      </c>
      <c r="D4320" s="31" t="s">
        <v>1454</v>
      </c>
      <c r="E4320" s="31" t="s">
        <v>15979</v>
      </c>
      <c r="F4320" s="31">
        <v>1092</v>
      </c>
      <c r="G4320" s="31">
        <v>86</v>
      </c>
      <c r="H4320" s="31">
        <v>10</v>
      </c>
      <c r="I4320" s="31">
        <v>30</v>
      </c>
      <c r="J4320" s="31" t="s">
        <v>15980</v>
      </c>
      <c r="K4320" s="31" t="s">
        <v>123</v>
      </c>
      <c r="L4320" s="31" t="s">
        <v>56</v>
      </c>
      <c r="M4320" s="31">
        <v>159</v>
      </c>
      <c r="N4320" s="31">
        <v>2022</v>
      </c>
      <c r="O4320" s="31">
        <v>76</v>
      </c>
      <c r="P4320" s="31"/>
      <c r="Q4320" s="31"/>
      <c r="R4320" s="33"/>
      <c r="S4320" s="34" t="str">
        <f>HYPERLINK("http://www.cnpol.ru/covers/20219.jpg","фото на сайте")</f>
        <v>фото на сайте</v>
      </c>
    </row>
    <row r="4321" spans="1:19" ht="50.1" customHeight="1">
      <c r="A4321" s="31"/>
      <c r="B4321" s="32" t="s">
        <v>15981</v>
      </c>
      <c r="C4321" s="31" t="s">
        <v>423</v>
      </c>
      <c r="D4321" s="31" t="s">
        <v>10875</v>
      </c>
      <c r="E4321" s="31" t="s">
        <v>15982</v>
      </c>
      <c r="F4321" s="31" t="s">
        <v>31</v>
      </c>
      <c r="G4321" s="31">
        <v>154</v>
      </c>
      <c r="H4321" s="31">
        <v>10</v>
      </c>
      <c r="I4321" s="31">
        <v>20</v>
      </c>
      <c r="J4321" s="31" t="s">
        <v>15983</v>
      </c>
      <c r="K4321" s="31" t="s">
        <v>55</v>
      </c>
      <c r="L4321" s="31" t="s">
        <v>56</v>
      </c>
      <c r="M4321" s="31">
        <v>348</v>
      </c>
      <c r="N4321" s="31">
        <v>2013</v>
      </c>
      <c r="O4321" s="31">
        <v>146</v>
      </c>
      <c r="P4321" s="31"/>
      <c r="Q4321" s="31"/>
      <c r="R4321" s="33"/>
      <c r="S4321" s="34" t="str">
        <f>HYPERLINK("http://www.cnpol.ru/covers/14350.jpg","фото на сайте")</f>
        <v>фото на сайте</v>
      </c>
    </row>
    <row r="4322" spans="1:19" ht="50.1" customHeight="1">
      <c r="A4322" s="31"/>
      <c r="B4322" s="32" t="s">
        <v>15984</v>
      </c>
      <c r="C4322" s="31" t="s">
        <v>658</v>
      </c>
      <c r="D4322" s="31" t="s">
        <v>236</v>
      </c>
      <c r="E4322" s="31" t="s">
        <v>15985</v>
      </c>
      <c r="F4322" s="31" t="s">
        <v>31</v>
      </c>
      <c r="G4322" s="31">
        <v>169</v>
      </c>
      <c r="H4322" s="31">
        <v>10</v>
      </c>
      <c r="I4322" s="31">
        <v>28</v>
      </c>
      <c r="J4322" s="31" t="s">
        <v>15986</v>
      </c>
      <c r="K4322" s="31" t="s">
        <v>55</v>
      </c>
      <c r="L4322" s="31" t="s">
        <v>56</v>
      </c>
      <c r="M4322" s="31">
        <v>222</v>
      </c>
      <c r="N4322" s="31">
        <v>2013</v>
      </c>
      <c r="O4322" s="31">
        <v>98</v>
      </c>
      <c r="P4322" s="31"/>
      <c r="Q4322" s="31"/>
      <c r="R4322" s="33"/>
      <c r="S4322" s="34" t="str">
        <f>HYPERLINK("http://www.cnpol.ru/covers/14651.jpg","фото на сайте")</f>
        <v>фото на сайте</v>
      </c>
    </row>
    <row r="4323" spans="1:19" ht="50.1" customHeight="1">
      <c r="A4323" s="31"/>
      <c r="B4323" s="32" t="s">
        <v>15987</v>
      </c>
      <c r="C4323" s="31" t="s">
        <v>658</v>
      </c>
      <c r="D4323" s="31" t="s">
        <v>236</v>
      </c>
      <c r="E4323" s="31" t="s">
        <v>15985</v>
      </c>
      <c r="F4323" s="31" t="s">
        <v>31</v>
      </c>
      <c r="G4323" s="31">
        <v>169</v>
      </c>
      <c r="H4323" s="31">
        <v>10</v>
      </c>
      <c r="I4323" s="31">
        <v>30</v>
      </c>
      <c r="J4323" s="31" t="s">
        <v>15988</v>
      </c>
      <c r="K4323" s="31" t="s">
        <v>55</v>
      </c>
      <c r="L4323" s="31" t="s">
        <v>56</v>
      </c>
      <c r="M4323" s="31">
        <v>222</v>
      </c>
      <c r="N4323" s="31">
        <v>2014</v>
      </c>
      <c r="O4323" s="31">
        <v>94</v>
      </c>
      <c r="P4323" s="31"/>
      <c r="Q4323" s="31"/>
      <c r="R4323" s="33"/>
      <c r="S4323" s="34" t="str">
        <f>HYPERLINK("http://www.cnpol.ru/covers/15616.jpg","фото на сайте")</f>
        <v>фото на сайте</v>
      </c>
    </row>
    <row r="4324" spans="1:19" ht="50.1" customHeight="1">
      <c r="A4324" s="31"/>
      <c r="B4324" s="32" t="s">
        <v>15989</v>
      </c>
      <c r="C4324" s="31" t="s">
        <v>385</v>
      </c>
      <c r="D4324" s="31" t="s">
        <v>386</v>
      </c>
      <c r="E4324" s="31" t="s">
        <v>15990</v>
      </c>
      <c r="F4324" s="31" t="s">
        <v>31</v>
      </c>
      <c r="G4324" s="31">
        <v>162</v>
      </c>
      <c r="H4324" s="31">
        <v>10</v>
      </c>
      <c r="I4324" s="31">
        <v>32</v>
      </c>
      <c r="J4324" s="31" t="s">
        <v>15991</v>
      </c>
      <c r="K4324" s="31" t="s">
        <v>55</v>
      </c>
      <c r="L4324" s="31" t="s">
        <v>56</v>
      </c>
      <c r="M4324" s="31">
        <v>251</v>
      </c>
      <c r="N4324" s="31">
        <v>2016</v>
      </c>
      <c r="O4324" s="31">
        <v>110</v>
      </c>
      <c r="P4324" s="31"/>
      <c r="Q4324" s="31"/>
      <c r="R4324" s="33"/>
      <c r="S4324" s="34" t="str">
        <f>HYPERLINK("http://www.cnpol.ru/covers/0102.jpg","фото на сайте")</f>
        <v>фото на сайте</v>
      </c>
    </row>
    <row r="4325" spans="1:19" ht="50.1" customHeight="1">
      <c r="A4325" s="31" t="s">
        <v>35</v>
      </c>
      <c r="B4325" s="32" t="s">
        <v>15992</v>
      </c>
      <c r="C4325" s="31" t="s">
        <v>297</v>
      </c>
      <c r="D4325" s="31" t="s">
        <v>5474</v>
      </c>
      <c r="E4325" s="31" t="s">
        <v>15993</v>
      </c>
      <c r="F4325" s="31" t="s">
        <v>31</v>
      </c>
      <c r="G4325" s="31">
        <v>300</v>
      </c>
      <c r="H4325" s="31">
        <v>10</v>
      </c>
      <c r="I4325" s="31">
        <v>10</v>
      </c>
      <c r="J4325" s="31" t="s">
        <v>15994</v>
      </c>
      <c r="K4325" s="31" t="s">
        <v>300</v>
      </c>
      <c r="L4325" s="31" t="s">
        <v>56</v>
      </c>
      <c r="M4325" s="31">
        <v>254</v>
      </c>
      <c r="N4325" s="31">
        <v>2024</v>
      </c>
      <c r="O4325" s="31" t="s">
        <v>220</v>
      </c>
      <c r="P4325" s="31"/>
      <c r="Q4325" s="31"/>
      <c r="R4325" s="33" t="s">
        <v>15995</v>
      </c>
      <c r="S4325" s="34" t="str">
        <f>HYPERLINK("http://www.cnpol.ru/covers/21535.jpg","фото на сайте")</f>
        <v>фото на сайте</v>
      </c>
    </row>
    <row r="4326" spans="1:19" ht="50.1" customHeight="1">
      <c r="A4326" s="31"/>
      <c r="B4326" s="32" t="s">
        <v>15996</v>
      </c>
      <c r="C4326" s="31" t="s">
        <v>546</v>
      </c>
      <c r="D4326" s="31" t="s">
        <v>5684</v>
      </c>
      <c r="E4326" s="31" t="s">
        <v>15997</v>
      </c>
      <c r="F4326" s="31">
        <v>290</v>
      </c>
      <c r="G4326" s="31">
        <v>93</v>
      </c>
      <c r="H4326" s="31">
        <v>10</v>
      </c>
      <c r="I4326" s="31">
        <v>30</v>
      </c>
      <c r="J4326" s="31" t="s">
        <v>15998</v>
      </c>
      <c r="K4326" s="31" t="s">
        <v>123</v>
      </c>
      <c r="L4326" s="31" t="s">
        <v>56</v>
      </c>
      <c r="M4326" s="31">
        <v>160</v>
      </c>
      <c r="N4326" s="31">
        <v>2018</v>
      </c>
      <c r="O4326" s="31">
        <v>76</v>
      </c>
      <c r="P4326" s="31"/>
      <c r="Q4326" s="31"/>
      <c r="R4326" s="33"/>
      <c r="S4326" s="34" t="str">
        <f>HYPERLINK("http://www.cnpol.ru/covers/18440.jpg","фото на сайте")</f>
        <v>фото на сайте</v>
      </c>
    </row>
    <row r="4327" spans="1:19" ht="50.1" customHeight="1">
      <c r="A4327" s="31"/>
      <c r="B4327" s="32" t="s">
        <v>15999</v>
      </c>
      <c r="C4327" s="31" t="s">
        <v>400</v>
      </c>
      <c r="D4327" s="31" t="s">
        <v>12315</v>
      </c>
      <c r="E4327" s="31" t="s">
        <v>16000</v>
      </c>
      <c r="F4327" s="31" t="s">
        <v>31</v>
      </c>
      <c r="G4327" s="31">
        <v>503</v>
      </c>
      <c r="H4327" s="31">
        <v>10</v>
      </c>
      <c r="I4327" s="31">
        <v>12</v>
      </c>
      <c r="J4327" s="31" t="s">
        <v>16001</v>
      </c>
      <c r="K4327" s="31" t="s">
        <v>33</v>
      </c>
      <c r="L4327" s="31" t="s">
        <v>34</v>
      </c>
      <c r="M4327" s="31">
        <v>319</v>
      </c>
      <c r="N4327" s="31">
        <v>2012</v>
      </c>
      <c r="O4327" s="31">
        <v>270</v>
      </c>
      <c r="P4327" s="31"/>
      <c r="Q4327" s="31"/>
      <c r="R4327" s="33"/>
      <c r="S4327" s="34" t="str">
        <f>HYPERLINK("http://www.cnpol.ru/covers/13266.jpg","фото на сайте")</f>
        <v>фото на сайте</v>
      </c>
    </row>
    <row r="4328" spans="1:19" ht="50.1" customHeight="1">
      <c r="A4328" s="31" t="s">
        <v>35</v>
      </c>
      <c r="B4328" s="32" t="s">
        <v>16002</v>
      </c>
      <c r="C4328" s="31" t="s">
        <v>8389</v>
      </c>
      <c r="D4328" s="31" t="s">
        <v>8390</v>
      </c>
      <c r="E4328" s="31" t="s">
        <v>16003</v>
      </c>
      <c r="F4328" s="31" t="s">
        <v>31</v>
      </c>
      <c r="G4328" s="31">
        <v>188</v>
      </c>
      <c r="H4328" s="31">
        <v>10</v>
      </c>
      <c r="I4328" s="31">
        <v>15</v>
      </c>
      <c r="J4328" s="31" t="s">
        <v>16004</v>
      </c>
      <c r="K4328" s="31" t="s">
        <v>123</v>
      </c>
      <c r="L4328" s="31" t="s">
        <v>56</v>
      </c>
      <c r="M4328" s="31">
        <v>159</v>
      </c>
      <c r="N4328" s="31">
        <v>2025</v>
      </c>
      <c r="O4328" s="31">
        <v>76</v>
      </c>
      <c r="P4328" s="31"/>
      <c r="Q4328" s="31"/>
      <c r="R4328" s="33" t="s">
        <v>16005</v>
      </c>
      <c r="S4328" s="34" t="str">
        <f>HYPERLINK("http://www.cnpol.ru/covers/21834.jpg","фото на сайте")</f>
        <v>фото на сайте</v>
      </c>
    </row>
    <row r="4329" spans="1:19" ht="50.1" customHeight="1">
      <c r="A4329" s="31"/>
      <c r="B4329" s="32" t="s">
        <v>16006</v>
      </c>
      <c r="C4329" s="31" t="s">
        <v>520</v>
      </c>
      <c r="D4329" s="31" t="s">
        <v>4134</v>
      </c>
      <c r="E4329" s="31" t="s">
        <v>16007</v>
      </c>
      <c r="F4329" s="31">
        <v>67</v>
      </c>
      <c r="G4329" s="31">
        <v>117</v>
      </c>
      <c r="H4329" s="31">
        <v>10</v>
      </c>
      <c r="I4329" s="31">
        <v>30</v>
      </c>
      <c r="J4329" s="31" t="s">
        <v>16008</v>
      </c>
      <c r="K4329" s="31" t="s">
        <v>123</v>
      </c>
      <c r="L4329" s="31" t="s">
        <v>56</v>
      </c>
      <c r="M4329" s="31">
        <v>192</v>
      </c>
      <c r="N4329" s="31">
        <v>2019</v>
      </c>
      <c r="O4329" s="31">
        <v>90</v>
      </c>
      <c r="P4329" s="31"/>
      <c r="Q4329" s="31"/>
      <c r="R4329" s="33"/>
      <c r="S4329" s="34" t="str">
        <f>HYPERLINK("http://www.cnpol.ru/covers/18697.jpg","фото на сайте")</f>
        <v>фото на сайте</v>
      </c>
    </row>
    <row r="4330" spans="1:19" ht="50.1" customHeight="1">
      <c r="A4330" s="31"/>
      <c r="B4330" s="32" t="s">
        <v>16009</v>
      </c>
      <c r="C4330" s="31" t="s">
        <v>390</v>
      </c>
      <c r="D4330" s="31" t="s">
        <v>4374</v>
      </c>
      <c r="E4330" s="31" t="s">
        <v>16010</v>
      </c>
      <c r="F4330" s="31">
        <v>583</v>
      </c>
      <c r="G4330" s="31">
        <v>86</v>
      </c>
      <c r="H4330" s="31">
        <v>10</v>
      </c>
      <c r="I4330" s="31">
        <v>30</v>
      </c>
      <c r="J4330" s="31" t="s">
        <v>16011</v>
      </c>
      <c r="K4330" s="31" t="s">
        <v>123</v>
      </c>
      <c r="L4330" s="31" t="s">
        <v>56</v>
      </c>
      <c r="M4330" s="31">
        <v>158</v>
      </c>
      <c r="N4330" s="31">
        <v>2016</v>
      </c>
      <c r="O4330" s="31">
        <v>76</v>
      </c>
      <c r="P4330" s="31"/>
      <c r="Q4330" s="31"/>
      <c r="R4330" s="33"/>
      <c r="S4330" s="34" t="str">
        <f>HYPERLINK("http://www.cnpol.ru/covers/16467.jpg","фото на сайте")</f>
        <v>фото на сайте</v>
      </c>
    </row>
    <row r="4331" spans="1:19" ht="50.1" customHeight="1">
      <c r="A4331" s="31"/>
      <c r="B4331" s="32" t="s">
        <v>16012</v>
      </c>
      <c r="C4331" s="31" t="s">
        <v>520</v>
      </c>
      <c r="D4331" s="31" t="s">
        <v>3091</v>
      </c>
      <c r="E4331" s="31" t="s">
        <v>16013</v>
      </c>
      <c r="F4331" s="31">
        <v>19</v>
      </c>
      <c r="G4331" s="31">
        <v>117</v>
      </c>
      <c r="H4331" s="31">
        <v>10</v>
      </c>
      <c r="I4331" s="31">
        <v>30</v>
      </c>
      <c r="J4331" s="31" t="s">
        <v>16014</v>
      </c>
      <c r="K4331" s="31" t="s">
        <v>123</v>
      </c>
      <c r="L4331" s="31" t="s">
        <v>56</v>
      </c>
      <c r="M4331" s="31">
        <v>192</v>
      </c>
      <c r="N4331" s="31">
        <v>2016</v>
      </c>
      <c r="O4331" s="31">
        <v>90</v>
      </c>
      <c r="P4331" s="31"/>
      <c r="Q4331" s="31"/>
      <c r="R4331" s="33"/>
      <c r="S4331" s="34" t="str">
        <f>HYPERLINK("http://www.cnpol.ru/covers/16547.jpg","фото на сайте")</f>
        <v>фото на сайте</v>
      </c>
    </row>
    <row r="4332" spans="1:19" ht="50.1" customHeight="1">
      <c r="A4332" s="31"/>
      <c r="B4332" s="32" t="s">
        <v>16015</v>
      </c>
      <c r="C4332" s="31" t="s">
        <v>390</v>
      </c>
      <c r="D4332" s="31" t="s">
        <v>3798</v>
      </c>
      <c r="E4332" s="31" t="s">
        <v>16016</v>
      </c>
      <c r="F4332" s="31">
        <v>1160</v>
      </c>
      <c r="G4332" s="31">
        <v>86</v>
      </c>
      <c r="H4332" s="31">
        <v>10</v>
      </c>
      <c r="I4332" s="31">
        <v>30</v>
      </c>
      <c r="J4332" s="31" t="s">
        <v>16017</v>
      </c>
      <c r="K4332" s="31" t="s">
        <v>123</v>
      </c>
      <c r="L4332" s="31" t="s">
        <v>56</v>
      </c>
      <c r="M4332" s="31">
        <v>159</v>
      </c>
      <c r="N4332" s="31">
        <v>2024</v>
      </c>
      <c r="O4332" s="31">
        <v>76</v>
      </c>
      <c r="P4332" s="31"/>
      <c r="Q4332" s="31"/>
      <c r="R4332" s="33" t="s">
        <v>16018</v>
      </c>
      <c r="S4332" s="34" t="str">
        <f>HYPERLINK("http://www.cnpol.ru/covers/20940.jpg","фото на сайте")</f>
        <v>фото на сайте</v>
      </c>
    </row>
    <row r="4333" spans="1:19" ht="50.1" customHeight="1">
      <c r="A4333" s="31"/>
      <c r="B4333" s="32" t="s">
        <v>16019</v>
      </c>
      <c r="C4333" s="31" t="s">
        <v>400</v>
      </c>
      <c r="D4333" s="31" t="s">
        <v>16020</v>
      </c>
      <c r="E4333" s="31" t="s">
        <v>16021</v>
      </c>
      <c r="F4333" s="31" t="s">
        <v>31</v>
      </c>
      <c r="G4333" s="31">
        <v>503</v>
      </c>
      <c r="H4333" s="31">
        <v>10</v>
      </c>
      <c r="I4333" s="31">
        <v>14</v>
      </c>
      <c r="J4333" s="31" t="s">
        <v>16022</v>
      </c>
      <c r="K4333" s="31" t="s">
        <v>33</v>
      </c>
      <c r="L4333" s="31" t="s">
        <v>34</v>
      </c>
      <c r="M4333" s="31">
        <v>288</v>
      </c>
      <c r="N4333" s="31">
        <v>2019</v>
      </c>
      <c r="O4333" s="31">
        <v>252</v>
      </c>
      <c r="P4333" s="31"/>
      <c r="Q4333" s="31"/>
      <c r="R4333" s="33"/>
      <c r="S4333" s="34" t="str">
        <f>HYPERLINK("http://www.cnpol.ru/covers/18966.jpg","фото на сайте")</f>
        <v>фото на сайте</v>
      </c>
    </row>
    <row r="4334" spans="1:19" ht="50.1" customHeight="1">
      <c r="A4334" s="31"/>
      <c r="B4334" s="32" t="s">
        <v>16023</v>
      </c>
      <c r="C4334" s="31" t="s">
        <v>16024</v>
      </c>
      <c r="D4334" s="31" t="s">
        <v>160</v>
      </c>
      <c r="E4334" s="31" t="s">
        <v>16025</v>
      </c>
      <c r="F4334" s="31">
        <v>1</v>
      </c>
      <c r="G4334" s="31">
        <v>862</v>
      </c>
      <c r="H4334" s="31">
        <v>10</v>
      </c>
      <c r="I4334" s="31">
        <v>8</v>
      </c>
      <c r="J4334" s="31" t="s">
        <v>16026</v>
      </c>
      <c r="K4334" s="31" t="s">
        <v>41</v>
      </c>
      <c r="L4334" s="31" t="s">
        <v>34</v>
      </c>
      <c r="M4334" s="31">
        <v>656</v>
      </c>
      <c r="N4334" s="31">
        <v>2019</v>
      </c>
      <c r="O4334" s="31">
        <v>688</v>
      </c>
      <c r="P4334" s="31"/>
      <c r="Q4334" s="31"/>
      <c r="R4334" s="33"/>
      <c r="S4334" s="34" t="str">
        <f>HYPERLINK("http://www.cnpol.ru/covers/18492.jpg","фото на сайте")</f>
        <v>фото на сайте</v>
      </c>
    </row>
    <row r="4335" spans="1:19" ht="50.1" customHeight="1">
      <c r="A4335" s="31"/>
      <c r="B4335" s="32" t="s">
        <v>16027</v>
      </c>
      <c r="C4335" s="31" t="s">
        <v>16024</v>
      </c>
      <c r="D4335" s="31" t="s">
        <v>160</v>
      </c>
      <c r="E4335" s="31" t="s">
        <v>16028</v>
      </c>
      <c r="F4335" s="31">
        <v>2</v>
      </c>
      <c r="G4335" s="31">
        <v>862</v>
      </c>
      <c r="H4335" s="31">
        <v>10</v>
      </c>
      <c r="I4335" s="31">
        <v>12</v>
      </c>
      <c r="J4335" s="31" t="s">
        <v>16029</v>
      </c>
      <c r="K4335" s="31" t="s">
        <v>41</v>
      </c>
      <c r="L4335" s="31" t="s">
        <v>34</v>
      </c>
      <c r="M4335" s="31">
        <v>480</v>
      </c>
      <c r="N4335" s="31">
        <v>2019</v>
      </c>
      <c r="O4335" s="31">
        <v>528</v>
      </c>
      <c r="P4335" s="31"/>
      <c r="Q4335" s="31"/>
      <c r="R4335" s="33"/>
      <c r="S4335" s="34" t="str">
        <f>HYPERLINK("http://www.cnpol.ru/covers/18493.jpg","фото на сайте")</f>
        <v>фото на сайте</v>
      </c>
    </row>
    <row r="4336" spans="1:19" ht="50.1" customHeight="1">
      <c r="A4336" s="31"/>
      <c r="B4336" s="32" t="s">
        <v>16030</v>
      </c>
      <c r="C4336" s="31" t="s">
        <v>16024</v>
      </c>
      <c r="D4336" s="31" t="s">
        <v>160</v>
      </c>
      <c r="E4336" s="31" t="s">
        <v>16031</v>
      </c>
      <c r="F4336" s="31">
        <v>3</v>
      </c>
      <c r="G4336" s="31">
        <v>862</v>
      </c>
      <c r="H4336" s="31">
        <v>10</v>
      </c>
      <c r="I4336" s="31">
        <v>8</v>
      </c>
      <c r="J4336" s="31" t="s">
        <v>16032</v>
      </c>
      <c r="K4336" s="31" t="s">
        <v>41</v>
      </c>
      <c r="L4336" s="31" t="s">
        <v>34</v>
      </c>
      <c r="M4336" s="31">
        <v>688</v>
      </c>
      <c r="N4336" s="31">
        <v>2019</v>
      </c>
      <c r="O4336" s="31">
        <v>714</v>
      </c>
      <c r="P4336" s="31"/>
      <c r="Q4336" s="31"/>
      <c r="R4336" s="33"/>
      <c r="S4336" s="34" t="str">
        <f>HYPERLINK("http://www.cnpol.ru/covers/18494.jpg","фото на сайте")</f>
        <v>фото на сайте</v>
      </c>
    </row>
    <row r="4337" spans="1:19" ht="50.1" customHeight="1">
      <c r="A4337" s="31"/>
      <c r="B4337" s="32" t="s">
        <v>16033</v>
      </c>
      <c r="C4337" s="31" t="s">
        <v>16024</v>
      </c>
      <c r="D4337" s="31" t="s">
        <v>160</v>
      </c>
      <c r="E4337" s="31" t="s">
        <v>16034</v>
      </c>
      <c r="F4337" s="31">
        <v>4</v>
      </c>
      <c r="G4337" s="31">
        <v>862</v>
      </c>
      <c r="H4337" s="31">
        <v>10</v>
      </c>
      <c r="I4337" s="31">
        <v>12</v>
      </c>
      <c r="J4337" s="31" t="s">
        <v>16035</v>
      </c>
      <c r="K4337" s="31" t="s">
        <v>41</v>
      </c>
      <c r="L4337" s="31" t="s">
        <v>34</v>
      </c>
      <c r="M4337" s="31">
        <v>480</v>
      </c>
      <c r="N4337" s="31">
        <v>2019</v>
      </c>
      <c r="O4337" s="31">
        <v>528</v>
      </c>
      <c r="P4337" s="31"/>
      <c r="Q4337" s="31"/>
      <c r="R4337" s="33"/>
      <c r="S4337" s="34" t="str">
        <f>HYPERLINK("http://www.cnpol.ru/covers/18495.jpg","фото на сайте")</f>
        <v>фото на сайте</v>
      </c>
    </row>
    <row r="4338" spans="1:19" ht="50.1" customHeight="1">
      <c r="A4338" s="31"/>
      <c r="B4338" s="32" t="s">
        <v>16036</v>
      </c>
      <c r="C4338" s="31" t="s">
        <v>16024</v>
      </c>
      <c r="D4338" s="31" t="s">
        <v>160</v>
      </c>
      <c r="E4338" s="31" t="s">
        <v>16037</v>
      </c>
      <c r="F4338" s="31">
        <v>5</v>
      </c>
      <c r="G4338" s="31">
        <v>862</v>
      </c>
      <c r="H4338" s="31">
        <v>10</v>
      </c>
      <c r="I4338" s="31">
        <v>10</v>
      </c>
      <c r="J4338" s="31" t="s">
        <v>16038</v>
      </c>
      <c r="K4338" s="31" t="s">
        <v>41</v>
      </c>
      <c r="L4338" s="31" t="s">
        <v>34</v>
      </c>
      <c r="M4338" s="31">
        <v>448</v>
      </c>
      <c r="N4338" s="31">
        <v>2019</v>
      </c>
      <c r="O4338" s="31">
        <v>502</v>
      </c>
      <c r="P4338" s="31"/>
      <c r="Q4338" s="31"/>
      <c r="R4338" s="33"/>
      <c r="S4338" s="34" t="str">
        <f>HYPERLINK("http://www.cnpol.ru/covers/18496.jpg","фото на сайте")</f>
        <v>фото на сайте</v>
      </c>
    </row>
    <row r="4339" spans="1:19" ht="50.1" customHeight="1">
      <c r="A4339" s="31"/>
      <c r="B4339" s="32" t="s">
        <v>16039</v>
      </c>
      <c r="C4339" s="31" t="s">
        <v>16024</v>
      </c>
      <c r="D4339" s="31" t="s">
        <v>160</v>
      </c>
      <c r="E4339" s="31" t="s">
        <v>16040</v>
      </c>
      <c r="F4339" s="31">
        <v>6</v>
      </c>
      <c r="G4339" s="31">
        <v>862</v>
      </c>
      <c r="H4339" s="31">
        <v>10</v>
      </c>
      <c r="I4339" s="31">
        <v>8</v>
      </c>
      <c r="J4339" s="31" t="s">
        <v>16041</v>
      </c>
      <c r="K4339" s="31" t="s">
        <v>41</v>
      </c>
      <c r="L4339" s="31" t="s">
        <v>34</v>
      </c>
      <c r="M4339" s="31">
        <v>656</v>
      </c>
      <c r="N4339" s="31">
        <v>2019</v>
      </c>
      <c r="O4339" s="31">
        <v>690</v>
      </c>
      <c r="P4339" s="31"/>
      <c r="Q4339" s="31"/>
      <c r="R4339" s="33"/>
      <c r="S4339" s="34" t="str">
        <f>HYPERLINK("http://www.cnpol.ru/covers/18497.jpg","фото на сайте")</f>
        <v>фото на сайте</v>
      </c>
    </row>
    <row r="4340" spans="1:19" ht="50.1" customHeight="1">
      <c r="A4340" s="31"/>
      <c r="B4340" s="32" t="s">
        <v>16042</v>
      </c>
      <c r="C4340" s="31" t="s">
        <v>546</v>
      </c>
      <c r="D4340" s="31" t="s">
        <v>4639</v>
      </c>
      <c r="E4340" s="31" t="s">
        <v>16043</v>
      </c>
      <c r="F4340" s="31">
        <v>425</v>
      </c>
      <c r="G4340" s="31">
        <v>93</v>
      </c>
      <c r="H4340" s="31">
        <v>10</v>
      </c>
      <c r="I4340" s="31">
        <v>30</v>
      </c>
      <c r="J4340" s="31" t="s">
        <v>16044</v>
      </c>
      <c r="K4340" s="31" t="s">
        <v>123</v>
      </c>
      <c r="L4340" s="31" t="s">
        <v>56</v>
      </c>
      <c r="M4340" s="31">
        <v>159</v>
      </c>
      <c r="N4340" s="31">
        <v>2023</v>
      </c>
      <c r="O4340" s="31">
        <v>76</v>
      </c>
      <c r="P4340" s="31"/>
      <c r="Q4340" s="31"/>
      <c r="R4340" s="33" t="s">
        <v>16045</v>
      </c>
      <c r="S4340" s="34" t="str">
        <f>HYPERLINK("http://www.cnpol.ru/covers/20606.jpg","фото на сайте")</f>
        <v>фото на сайте</v>
      </c>
    </row>
    <row r="4341" spans="1:19" ht="50.1" customHeight="1">
      <c r="A4341" s="31"/>
      <c r="B4341" s="32" t="s">
        <v>16046</v>
      </c>
      <c r="C4341" s="31" t="s">
        <v>28</v>
      </c>
      <c r="D4341" s="31" t="s">
        <v>1201</v>
      </c>
      <c r="E4341" s="31" t="s">
        <v>16047</v>
      </c>
      <c r="F4341" s="31" t="s">
        <v>31</v>
      </c>
      <c r="G4341" s="31">
        <v>575</v>
      </c>
      <c r="H4341" s="31">
        <v>10</v>
      </c>
      <c r="I4341" s="31">
        <v>20</v>
      </c>
      <c r="J4341" s="31" t="s">
        <v>16048</v>
      </c>
      <c r="K4341" s="31" t="s">
        <v>33</v>
      </c>
      <c r="L4341" s="31" t="s">
        <v>34</v>
      </c>
      <c r="M4341" s="31">
        <v>320</v>
      </c>
      <c r="N4341" s="31">
        <v>2018</v>
      </c>
      <c r="O4341" s="31">
        <v>334</v>
      </c>
      <c r="P4341" s="31"/>
      <c r="Q4341" s="31"/>
      <c r="R4341" s="33"/>
      <c r="S4341" s="34" t="str">
        <f>HYPERLINK("http://www.cnpol.ru/covers/18224.jpg","фото на сайте")</f>
        <v>фото на сайте</v>
      </c>
    </row>
    <row r="4342" spans="1:19" ht="50.1" customHeight="1">
      <c r="A4342" s="31" t="s">
        <v>35</v>
      </c>
      <c r="B4342" s="32" t="s">
        <v>16049</v>
      </c>
      <c r="C4342" s="31" t="s">
        <v>37</v>
      </c>
      <c r="D4342" s="31" t="s">
        <v>823</v>
      </c>
      <c r="E4342" s="31" t="s">
        <v>16050</v>
      </c>
      <c r="F4342" s="31" t="s">
        <v>31</v>
      </c>
      <c r="G4342" s="31">
        <v>777</v>
      </c>
      <c r="H4342" s="31">
        <v>10</v>
      </c>
      <c r="I4342" s="31">
        <v>5</v>
      </c>
      <c r="J4342" s="31" t="s">
        <v>16051</v>
      </c>
      <c r="K4342" s="31" t="s">
        <v>33</v>
      </c>
      <c r="L4342" s="31" t="s">
        <v>34</v>
      </c>
      <c r="M4342" s="31">
        <v>222</v>
      </c>
      <c r="N4342" s="31">
        <v>2025</v>
      </c>
      <c r="O4342" s="31" t="s">
        <v>220</v>
      </c>
      <c r="P4342" s="31"/>
      <c r="Q4342" s="31"/>
      <c r="R4342" s="33" t="s">
        <v>16052</v>
      </c>
      <c r="S4342" s="34" t="str">
        <f>HYPERLINK("http://www.cnpol.ru/covers/21590.jpg","фото на сайте")</f>
        <v>фото на сайте</v>
      </c>
    </row>
    <row r="4343" spans="1:19" ht="50.1" customHeight="1">
      <c r="A4343" s="31"/>
      <c r="B4343" s="32" t="s">
        <v>16053</v>
      </c>
      <c r="C4343" s="31" t="s">
        <v>1611</v>
      </c>
      <c r="D4343" s="31" t="s">
        <v>16054</v>
      </c>
      <c r="E4343" s="31" t="s">
        <v>16055</v>
      </c>
      <c r="F4343" s="31" t="s">
        <v>31</v>
      </c>
      <c r="G4343" s="31">
        <v>575</v>
      </c>
      <c r="H4343" s="31">
        <v>10</v>
      </c>
      <c r="I4343" s="31">
        <v>10</v>
      </c>
      <c r="J4343" s="31" t="s">
        <v>16056</v>
      </c>
      <c r="K4343" s="31" t="s">
        <v>33</v>
      </c>
      <c r="L4343" s="31" t="s">
        <v>34</v>
      </c>
      <c r="M4343" s="31">
        <v>479</v>
      </c>
      <c r="N4343" s="31">
        <v>2015</v>
      </c>
      <c r="O4343" s="31">
        <v>368</v>
      </c>
      <c r="P4343" s="31"/>
      <c r="Q4343" s="31"/>
      <c r="R4343" s="33"/>
      <c r="S4343" s="34" t="str">
        <f>HYPERLINK("http://www.cnpol.ru/covers/16203.jpg","фото на сайте")</f>
        <v>фото на сайте</v>
      </c>
    </row>
    <row r="4344" spans="1:19" ht="50.1" customHeight="1">
      <c r="A4344" s="31"/>
      <c r="B4344" s="32" t="s">
        <v>16057</v>
      </c>
      <c r="C4344" s="31" t="s">
        <v>520</v>
      </c>
      <c r="D4344" s="31" t="s">
        <v>2156</v>
      </c>
      <c r="E4344" s="31" t="s">
        <v>16058</v>
      </c>
      <c r="F4344" s="31">
        <v>84</v>
      </c>
      <c r="G4344" s="31">
        <v>117</v>
      </c>
      <c r="H4344" s="31">
        <v>10</v>
      </c>
      <c r="I4344" s="31">
        <v>28</v>
      </c>
      <c r="J4344" s="31" t="s">
        <v>16059</v>
      </c>
      <c r="K4344" s="31" t="s">
        <v>123</v>
      </c>
      <c r="L4344" s="31" t="s">
        <v>56</v>
      </c>
      <c r="M4344" s="31">
        <v>192</v>
      </c>
      <c r="N4344" s="31">
        <v>2021</v>
      </c>
      <c r="O4344" s="31">
        <v>90</v>
      </c>
      <c r="P4344" s="31"/>
      <c r="Q4344" s="31"/>
      <c r="R4344" s="33"/>
      <c r="S4344" s="34" t="str">
        <f>HYPERLINK("http://www.cnpol.ru/covers/19662.jpg","фото на сайте")</f>
        <v>фото на сайте</v>
      </c>
    </row>
    <row r="4345" spans="1:19" ht="50.1" customHeight="1">
      <c r="A4345" s="31"/>
      <c r="B4345" s="32" t="s">
        <v>16060</v>
      </c>
      <c r="C4345" s="31" t="s">
        <v>1818</v>
      </c>
      <c r="D4345" s="31" t="s">
        <v>14304</v>
      </c>
      <c r="E4345" s="31" t="s">
        <v>16061</v>
      </c>
      <c r="F4345" s="31" t="s">
        <v>31</v>
      </c>
      <c r="G4345" s="31">
        <v>144</v>
      </c>
      <c r="H4345" s="31">
        <v>10</v>
      </c>
      <c r="I4345" s="31">
        <v>24</v>
      </c>
      <c r="J4345" s="31" t="s">
        <v>16062</v>
      </c>
      <c r="K4345" s="31" t="s">
        <v>130</v>
      </c>
      <c r="L4345" s="31" t="s">
        <v>56</v>
      </c>
      <c r="M4345" s="31">
        <v>284</v>
      </c>
      <c r="N4345" s="31">
        <v>2010</v>
      </c>
      <c r="O4345" s="31">
        <v>172</v>
      </c>
      <c r="P4345" s="31"/>
      <c r="Q4345" s="31"/>
      <c r="R4345" s="33"/>
      <c r="S4345" s="34" t="str">
        <f>HYPERLINK("http://www.cnpol.ru/covers/12284.jpg","фото на сайте")</f>
        <v>фото на сайте</v>
      </c>
    </row>
    <row r="4346" spans="1:19" ht="50.1" customHeight="1">
      <c r="A4346" s="31"/>
      <c r="B4346" s="32" t="s">
        <v>16063</v>
      </c>
      <c r="C4346" s="31" t="s">
        <v>1818</v>
      </c>
      <c r="D4346" s="31" t="s">
        <v>1814</v>
      </c>
      <c r="E4346" s="31" t="s">
        <v>16064</v>
      </c>
      <c r="F4346" s="31" t="s">
        <v>31</v>
      </c>
      <c r="G4346" s="31">
        <v>235</v>
      </c>
      <c r="H4346" s="31">
        <v>10</v>
      </c>
      <c r="I4346" s="31">
        <v>30</v>
      </c>
      <c r="J4346" s="31" t="s">
        <v>16065</v>
      </c>
      <c r="K4346" s="31" t="s">
        <v>130</v>
      </c>
      <c r="L4346" s="31" t="s">
        <v>56</v>
      </c>
      <c r="M4346" s="31">
        <v>256</v>
      </c>
      <c r="N4346" s="31">
        <v>2009</v>
      </c>
      <c r="O4346" s="31">
        <v>158</v>
      </c>
      <c r="P4346" s="31"/>
      <c r="Q4346" s="31"/>
      <c r="R4346" s="33"/>
      <c r="S4346" s="34" t="str">
        <f>HYPERLINK("http://www.cnpol.ru/covers/11429.jpg","фото на сайте")</f>
        <v>фото на сайте</v>
      </c>
    </row>
    <row r="4347" spans="1:19" ht="50.1" customHeight="1">
      <c r="A4347" s="31"/>
      <c r="B4347" s="32" t="s">
        <v>16066</v>
      </c>
      <c r="C4347" s="31" t="s">
        <v>418</v>
      </c>
      <c r="D4347" s="31" t="s">
        <v>1183</v>
      </c>
      <c r="E4347" s="31" t="s">
        <v>16067</v>
      </c>
      <c r="F4347" s="31">
        <v>19</v>
      </c>
      <c r="G4347" s="31">
        <v>153</v>
      </c>
      <c r="H4347" s="31">
        <v>10</v>
      </c>
      <c r="I4347" s="31">
        <v>32</v>
      </c>
      <c r="J4347" s="31" t="s">
        <v>16068</v>
      </c>
      <c r="K4347" s="31" t="s">
        <v>123</v>
      </c>
      <c r="L4347" s="31" t="s">
        <v>56</v>
      </c>
      <c r="M4347" s="31">
        <v>288</v>
      </c>
      <c r="N4347" s="31">
        <v>2013</v>
      </c>
      <c r="O4347" s="31">
        <v>128</v>
      </c>
      <c r="P4347" s="31"/>
      <c r="Q4347" s="31"/>
      <c r="R4347" s="33"/>
      <c r="S4347" s="34" t="str">
        <f>HYPERLINK("http://www.cnpol.ru/covers/14111.jpg","фото на сайте")</f>
        <v>фото на сайте</v>
      </c>
    </row>
    <row r="4348" spans="1:19" ht="50.1" customHeight="1">
      <c r="A4348" s="31"/>
      <c r="B4348" s="32" t="s">
        <v>16069</v>
      </c>
      <c r="C4348" s="31" t="s">
        <v>797</v>
      </c>
      <c r="D4348" s="31" t="s">
        <v>9314</v>
      </c>
      <c r="E4348" s="31" t="s">
        <v>16070</v>
      </c>
      <c r="F4348" s="31" t="s">
        <v>31</v>
      </c>
      <c r="G4348" s="31">
        <v>88</v>
      </c>
      <c r="H4348" s="31">
        <v>10</v>
      </c>
      <c r="I4348" s="31">
        <v>22</v>
      </c>
      <c r="J4348" s="31" t="s">
        <v>16071</v>
      </c>
      <c r="K4348" s="31" t="s">
        <v>130</v>
      </c>
      <c r="L4348" s="31" t="s">
        <v>56</v>
      </c>
      <c r="M4348" s="31">
        <v>269</v>
      </c>
      <c r="N4348" s="31">
        <v>2001</v>
      </c>
      <c r="O4348" s="31">
        <v>172</v>
      </c>
      <c r="P4348" s="31"/>
      <c r="Q4348" s="31"/>
      <c r="R4348" s="33"/>
      <c r="S4348" s="34" t="str">
        <f>HYPERLINK("http://www.cnpol.ru/covers/2594.jpg","фото на сайте")</f>
        <v>фото на сайте</v>
      </c>
    </row>
    <row r="4349" spans="1:19" ht="50.1" customHeight="1">
      <c r="A4349" s="31"/>
      <c r="B4349" s="32" t="s">
        <v>16072</v>
      </c>
      <c r="C4349" s="31" t="s">
        <v>16073</v>
      </c>
      <c r="D4349" s="31" t="s">
        <v>16074</v>
      </c>
      <c r="E4349" s="31" t="s">
        <v>16075</v>
      </c>
      <c r="F4349" s="31" t="s">
        <v>31</v>
      </c>
      <c r="G4349" s="31">
        <v>503</v>
      </c>
      <c r="H4349" s="31">
        <v>10</v>
      </c>
      <c r="I4349" s="31">
        <v>18</v>
      </c>
      <c r="J4349" s="31" t="s">
        <v>16076</v>
      </c>
      <c r="K4349" s="31" t="s">
        <v>33</v>
      </c>
      <c r="L4349" s="31" t="s">
        <v>34</v>
      </c>
      <c r="M4349" s="31">
        <v>320</v>
      </c>
      <c r="N4349" s="31">
        <v>2014</v>
      </c>
      <c r="O4349" s="31">
        <v>284</v>
      </c>
      <c r="P4349" s="31"/>
      <c r="Q4349" s="31"/>
      <c r="R4349" s="33"/>
      <c r="S4349" s="34" t="str">
        <f>HYPERLINK("http://www.cnpol.ru/covers/15447.jpg","фото на сайте")</f>
        <v>фото на сайте</v>
      </c>
    </row>
    <row r="4350" spans="1:19" ht="50.1" customHeight="1">
      <c r="A4350" s="31"/>
      <c r="B4350" s="32" t="s">
        <v>16077</v>
      </c>
      <c r="C4350" s="31" t="s">
        <v>418</v>
      </c>
      <c r="D4350" s="31" t="s">
        <v>4543</v>
      </c>
      <c r="E4350" s="31" t="s">
        <v>16078</v>
      </c>
      <c r="F4350" s="31">
        <v>106</v>
      </c>
      <c r="G4350" s="31">
        <v>153</v>
      </c>
      <c r="H4350" s="31">
        <v>10</v>
      </c>
      <c r="I4350" s="31">
        <v>24</v>
      </c>
      <c r="J4350" s="31" t="s">
        <v>16079</v>
      </c>
      <c r="K4350" s="31" t="s">
        <v>123</v>
      </c>
      <c r="L4350" s="31" t="s">
        <v>56</v>
      </c>
      <c r="M4350" s="31">
        <v>256</v>
      </c>
      <c r="N4350" s="31">
        <v>2020</v>
      </c>
      <c r="O4350" s="31">
        <v>116</v>
      </c>
      <c r="P4350" s="31"/>
      <c r="Q4350" s="31"/>
      <c r="R4350" s="33"/>
      <c r="S4350" s="34" t="str">
        <f>HYPERLINK("http://www.cnpol.ru/covers/19038.jpg","фото на сайте")</f>
        <v>фото на сайте</v>
      </c>
    </row>
    <row r="4351" spans="1:19" ht="50.1" customHeight="1">
      <c r="A4351" s="31"/>
      <c r="B4351" s="32" t="s">
        <v>16080</v>
      </c>
      <c r="C4351" s="31" t="s">
        <v>1323</v>
      </c>
      <c r="D4351" s="31" t="s">
        <v>16081</v>
      </c>
      <c r="E4351" s="31" t="s">
        <v>16082</v>
      </c>
      <c r="F4351" s="31" t="s">
        <v>31</v>
      </c>
      <c r="G4351" s="31">
        <v>169</v>
      </c>
      <c r="H4351" s="31">
        <v>10</v>
      </c>
      <c r="I4351" s="31">
        <v>11</v>
      </c>
      <c r="J4351" s="31" t="s">
        <v>16083</v>
      </c>
      <c r="K4351" s="31" t="s">
        <v>55</v>
      </c>
      <c r="L4351" s="31" t="s">
        <v>56</v>
      </c>
      <c r="M4351" s="31">
        <v>256</v>
      </c>
      <c r="N4351" s="31">
        <v>2021</v>
      </c>
      <c r="O4351" s="31">
        <v>110</v>
      </c>
      <c r="P4351" s="31"/>
      <c r="Q4351" s="31"/>
      <c r="R4351" s="33"/>
      <c r="S4351" s="34" t="str">
        <f>HYPERLINK("http://www.cnpol.ru/covers/19811.jpg","фото на сайте")</f>
        <v>фото на сайте</v>
      </c>
    </row>
    <row r="4352" spans="1:19" ht="50.1" customHeight="1">
      <c r="A4352" s="31"/>
      <c r="B4352" s="32" t="s">
        <v>16084</v>
      </c>
      <c r="C4352" s="31" t="s">
        <v>546</v>
      </c>
      <c r="D4352" s="31" t="s">
        <v>653</v>
      </c>
      <c r="E4352" s="31" t="s">
        <v>16085</v>
      </c>
      <c r="F4352" s="31">
        <v>403</v>
      </c>
      <c r="G4352" s="31">
        <v>93</v>
      </c>
      <c r="H4352" s="31">
        <v>10</v>
      </c>
      <c r="I4352" s="31">
        <v>30</v>
      </c>
      <c r="J4352" s="31" t="s">
        <v>16086</v>
      </c>
      <c r="K4352" s="31" t="s">
        <v>123</v>
      </c>
      <c r="L4352" s="31" t="s">
        <v>56</v>
      </c>
      <c r="M4352" s="31">
        <v>159</v>
      </c>
      <c r="N4352" s="31">
        <v>2022</v>
      </c>
      <c r="O4352" s="31">
        <v>76</v>
      </c>
      <c r="P4352" s="31"/>
      <c r="Q4352" s="31"/>
      <c r="R4352" s="33"/>
      <c r="S4352" s="34" t="str">
        <f>HYPERLINK("http://www.cnpol.ru/covers/20212.jpg","фото на сайте")</f>
        <v>фото на сайте</v>
      </c>
    </row>
    <row r="4353" spans="1:19" ht="50.1" customHeight="1">
      <c r="A4353" s="31"/>
      <c r="B4353" s="32" t="s">
        <v>16087</v>
      </c>
      <c r="C4353" s="31" t="s">
        <v>400</v>
      </c>
      <c r="D4353" s="31" t="s">
        <v>16088</v>
      </c>
      <c r="E4353" s="31" t="s">
        <v>16089</v>
      </c>
      <c r="F4353" s="31" t="s">
        <v>31</v>
      </c>
      <c r="G4353" s="31">
        <v>503</v>
      </c>
      <c r="H4353" s="31">
        <v>10</v>
      </c>
      <c r="I4353" s="31">
        <v>14</v>
      </c>
      <c r="J4353" s="31" t="s">
        <v>16090</v>
      </c>
      <c r="K4353" s="31" t="s">
        <v>33</v>
      </c>
      <c r="L4353" s="31" t="s">
        <v>34</v>
      </c>
      <c r="M4353" s="31">
        <v>288</v>
      </c>
      <c r="N4353" s="31">
        <v>2019</v>
      </c>
      <c r="O4353" s="31">
        <v>252</v>
      </c>
      <c r="P4353" s="31"/>
      <c r="Q4353" s="31"/>
      <c r="R4353" s="33"/>
      <c r="S4353" s="34" t="str">
        <f>HYPERLINK("http://www.cnpol.ru/covers/18967.jpg","фото на сайте")</f>
        <v>фото на сайте</v>
      </c>
    </row>
    <row r="4354" spans="1:19" ht="50.1" customHeight="1">
      <c r="A4354" s="31"/>
      <c r="B4354" s="32" t="s">
        <v>16091</v>
      </c>
      <c r="C4354" s="31" t="s">
        <v>390</v>
      </c>
      <c r="D4354" s="31" t="s">
        <v>2416</v>
      </c>
      <c r="E4354" s="31" t="s">
        <v>16092</v>
      </c>
      <c r="F4354" s="31">
        <v>609</v>
      </c>
      <c r="G4354" s="31">
        <v>86</v>
      </c>
      <c r="H4354" s="31">
        <v>10</v>
      </c>
      <c r="I4354" s="31">
        <v>30</v>
      </c>
      <c r="J4354" s="31" t="s">
        <v>16093</v>
      </c>
      <c r="K4354" s="31" t="s">
        <v>123</v>
      </c>
      <c r="L4354" s="31" t="s">
        <v>56</v>
      </c>
      <c r="M4354" s="31">
        <v>160</v>
      </c>
      <c r="N4354" s="31">
        <v>2016</v>
      </c>
      <c r="O4354" s="31">
        <v>76</v>
      </c>
      <c r="P4354" s="31"/>
      <c r="Q4354" s="31"/>
      <c r="R4354" s="33"/>
      <c r="S4354" s="34" t="str">
        <f>HYPERLINK("http://www.cnpol.ru/covers/16685.jpg","фото на сайте")</f>
        <v>фото на сайте</v>
      </c>
    </row>
    <row r="4355" spans="1:19" ht="50.1" customHeight="1">
      <c r="A4355" s="31"/>
      <c r="B4355" s="32" t="s">
        <v>16094</v>
      </c>
      <c r="C4355" s="31" t="s">
        <v>520</v>
      </c>
      <c r="D4355" s="31" t="s">
        <v>2170</v>
      </c>
      <c r="E4355" s="31" t="s">
        <v>16095</v>
      </c>
      <c r="F4355" s="31">
        <v>27</v>
      </c>
      <c r="G4355" s="31">
        <v>117</v>
      </c>
      <c r="H4355" s="31">
        <v>10</v>
      </c>
      <c r="I4355" s="31">
        <v>30</v>
      </c>
      <c r="J4355" s="31" t="s">
        <v>16096</v>
      </c>
      <c r="K4355" s="31" t="s">
        <v>123</v>
      </c>
      <c r="L4355" s="31" t="s">
        <v>56</v>
      </c>
      <c r="M4355" s="31">
        <v>192</v>
      </c>
      <c r="N4355" s="31">
        <v>2016</v>
      </c>
      <c r="O4355" s="31">
        <v>90</v>
      </c>
      <c r="P4355" s="31"/>
      <c r="Q4355" s="31"/>
      <c r="R4355" s="33"/>
      <c r="S4355" s="34" t="str">
        <f>HYPERLINK("http://www.cnpol.ru/covers/16816.jpg","фото на сайте")</f>
        <v>фото на сайте</v>
      </c>
    </row>
    <row r="4356" spans="1:19" ht="50.1" customHeight="1">
      <c r="A4356" s="31"/>
      <c r="B4356" s="32" t="s">
        <v>16097</v>
      </c>
      <c r="C4356" s="31" t="s">
        <v>390</v>
      </c>
      <c r="D4356" s="31" t="s">
        <v>1603</v>
      </c>
      <c r="E4356" s="31" t="s">
        <v>16098</v>
      </c>
      <c r="F4356" s="31">
        <v>367</v>
      </c>
      <c r="G4356" s="31">
        <v>86</v>
      </c>
      <c r="H4356" s="31">
        <v>10</v>
      </c>
      <c r="I4356" s="31">
        <v>30</v>
      </c>
      <c r="J4356" s="31" t="s">
        <v>16099</v>
      </c>
      <c r="K4356" s="31" t="s">
        <v>300</v>
      </c>
      <c r="L4356" s="31" t="s">
        <v>56</v>
      </c>
      <c r="M4356" s="31">
        <v>158</v>
      </c>
      <c r="N4356" s="31">
        <v>2013</v>
      </c>
      <c r="O4356" s="31">
        <v>78</v>
      </c>
      <c r="P4356" s="31"/>
      <c r="Q4356" s="31"/>
      <c r="R4356" s="33"/>
      <c r="S4356" s="34" t="str">
        <f>HYPERLINK("http://www.cnpol.ru/covers/14702.jpg","фото на сайте")</f>
        <v>фото на сайте</v>
      </c>
    </row>
    <row r="4357" spans="1:19" ht="50.1" customHeight="1">
      <c r="A4357" s="31"/>
      <c r="B4357" s="32" t="s">
        <v>16100</v>
      </c>
      <c r="C4357" s="31" t="s">
        <v>520</v>
      </c>
      <c r="D4357" s="31" t="s">
        <v>4134</v>
      </c>
      <c r="E4357" s="31" t="s">
        <v>16101</v>
      </c>
      <c r="F4357" s="31">
        <v>4</v>
      </c>
      <c r="G4357" s="31">
        <v>117</v>
      </c>
      <c r="H4357" s="31">
        <v>10</v>
      </c>
      <c r="I4357" s="31">
        <v>30</v>
      </c>
      <c r="J4357" s="31" t="s">
        <v>16102</v>
      </c>
      <c r="K4357" s="31" t="s">
        <v>123</v>
      </c>
      <c r="L4357" s="31" t="s">
        <v>56</v>
      </c>
      <c r="M4357" s="31">
        <v>189</v>
      </c>
      <c r="N4357" s="31">
        <v>2015</v>
      </c>
      <c r="O4357" s="31">
        <v>90</v>
      </c>
      <c r="P4357" s="31"/>
      <c r="Q4357" s="31"/>
      <c r="R4357" s="33"/>
      <c r="S4357" s="34" t="str">
        <f>HYPERLINK("http://www.cnpol.ru/covers/16069.jpg","фото на сайте")</f>
        <v>фото на сайте</v>
      </c>
    </row>
    <row r="4358" spans="1:19" ht="50.1" customHeight="1">
      <c r="A4358" s="31" t="s">
        <v>43</v>
      </c>
      <c r="B4358" s="32" t="s">
        <v>16103</v>
      </c>
      <c r="C4358" s="31" t="s">
        <v>37</v>
      </c>
      <c r="D4358" s="31" t="s">
        <v>16104</v>
      </c>
      <c r="E4358" s="31" t="s">
        <v>16105</v>
      </c>
      <c r="F4358" s="31" t="s">
        <v>31</v>
      </c>
      <c r="G4358" s="35">
        <v>1332</v>
      </c>
      <c r="H4358" s="31">
        <v>10</v>
      </c>
      <c r="I4358" s="31">
        <v>8</v>
      </c>
      <c r="J4358" s="31" t="s">
        <v>16106</v>
      </c>
      <c r="K4358" s="31" t="s">
        <v>33</v>
      </c>
      <c r="L4358" s="31" t="s">
        <v>34</v>
      </c>
      <c r="M4358" s="31">
        <v>575</v>
      </c>
      <c r="N4358" s="31">
        <v>2024</v>
      </c>
      <c r="O4358" s="31">
        <v>580</v>
      </c>
      <c r="P4358" s="31"/>
      <c r="Q4358" s="31"/>
      <c r="R4358" s="33" t="s">
        <v>16107</v>
      </c>
      <c r="S4358" s="34" t="str">
        <f>HYPERLINK("http://www.cnpol.ru/covers/21229.jpg","фото на сайте")</f>
        <v>фото на сайте</v>
      </c>
    </row>
    <row r="4359" spans="1:19" ht="50.1" customHeight="1">
      <c r="A4359" s="31"/>
      <c r="B4359" s="32" t="s">
        <v>16108</v>
      </c>
      <c r="C4359" s="31" t="s">
        <v>413</v>
      </c>
      <c r="D4359" s="31" t="s">
        <v>15445</v>
      </c>
      <c r="E4359" s="31" t="s">
        <v>16109</v>
      </c>
      <c r="F4359" s="31">
        <v>65</v>
      </c>
      <c r="G4359" s="31">
        <v>117</v>
      </c>
      <c r="H4359" s="31">
        <v>10</v>
      </c>
      <c r="I4359" s="31">
        <v>36</v>
      </c>
      <c r="J4359" s="31" t="s">
        <v>16110</v>
      </c>
      <c r="K4359" s="31" t="s">
        <v>123</v>
      </c>
      <c r="L4359" s="31" t="s">
        <v>56</v>
      </c>
      <c r="M4359" s="31">
        <v>190</v>
      </c>
      <c r="N4359" s="31">
        <v>2015</v>
      </c>
      <c r="O4359" s="31">
        <v>90</v>
      </c>
      <c r="P4359" s="31"/>
      <c r="Q4359" s="31"/>
      <c r="R4359" s="33"/>
      <c r="S4359" s="34" t="str">
        <f>HYPERLINK("http://www.cnpol.ru/covers/16133.jpg","фото на сайте")</f>
        <v>фото на сайте</v>
      </c>
    </row>
    <row r="4360" spans="1:19" ht="50.1" customHeight="1">
      <c r="A4360" s="31"/>
      <c r="B4360" s="32" t="s">
        <v>16111</v>
      </c>
      <c r="C4360" s="31" t="s">
        <v>37</v>
      </c>
      <c r="D4360" s="31" t="s">
        <v>16112</v>
      </c>
      <c r="E4360" s="31" t="s">
        <v>16113</v>
      </c>
      <c r="F4360" s="31" t="s">
        <v>31</v>
      </c>
      <c r="G4360" s="31">
        <v>575</v>
      </c>
      <c r="H4360" s="31">
        <v>10</v>
      </c>
      <c r="I4360" s="31">
        <v>20</v>
      </c>
      <c r="J4360" s="31" t="s">
        <v>16114</v>
      </c>
      <c r="K4360" s="31" t="s">
        <v>33</v>
      </c>
      <c r="L4360" s="31" t="s">
        <v>34</v>
      </c>
      <c r="M4360" s="31">
        <v>255</v>
      </c>
      <c r="N4360" s="31">
        <v>2015</v>
      </c>
      <c r="O4360" s="31">
        <v>268</v>
      </c>
      <c r="P4360" s="31"/>
      <c r="Q4360" s="31"/>
      <c r="R4360" s="33"/>
      <c r="S4360" s="34" t="str">
        <f>HYPERLINK("http://www.cnpol.ru/covers/15980.jpg","фото на сайте")</f>
        <v>фото на сайте</v>
      </c>
    </row>
    <row r="4361" spans="1:19" ht="50.1" customHeight="1">
      <c r="A4361" s="31"/>
      <c r="B4361" s="32" t="s">
        <v>16115</v>
      </c>
      <c r="C4361" s="31" t="s">
        <v>589</v>
      </c>
      <c r="D4361" s="31" t="s">
        <v>590</v>
      </c>
      <c r="E4361" s="31" t="s">
        <v>16116</v>
      </c>
      <c r="F4361" s="31" t="s">
        <v>31</v>
      </c>
      <c r="G4361" s="31">
        <v>258</v>
      </c>
      <c r="H4361" s="31">
        <v>10</v>
      </c>
      <c r="I4361" s="31">
        <v>24</v>
      </c>
      <c r="J4361" s="31" t="s">
        <v>16117</v>
      </c>
      <c r="K4361" s="31" t="s">
        <v>130</v>
      </c>
      <c r="L4361" s="31" t="s">
        <v>56</v>
      </c>
      <c r="M4361" s="31">
        <v>192</v>
      </c>
      <c r="N4361" s="31">
        <v>2020</v>
      </c>
      <c r="O4361" s="31">
        <v>118</v>
      </c>
      <c r="P4361" s="31"/>
      <c r="Q4361" s="31"/>
      <c r="R4361" s="33"/>
      <c r="S4361" s="34" t="str">
        <f>HYPERLINK("http://www.cnpol.ru/covers/19324.jpg","фото на сайте")</f>
        <v>фото на сайте</v>
      </c>
    </row>
    <row r="4362" spans="1:19" ht="50.1" customHeight="1">
      <c r="A4362" s="31"/>
      <c r="B4362" s="32" t="s">
        <v>16118</v>
      </c>
      <c r="C4362" s="31" t="s">
        <v>418</v>
      </c>
      <c r="D4362" s="31" t="s">
        <v>3904</v>
      </c>
      <c r="E4362" s="31" t="s">
        <v>16119</v>
      </c>
      <c r="F4362" s="31">
        <v>78</v>
      </c>
      <c r="G4362" s="31">
        <v>153</v>
      </c>
      <c r="H4362" s="31">
        <v>10</v>
      </c>
      <c r="I4362" s="31">
        <v>24</v>
      </c>
      <c r="J4362" s="31" t="s">
        <v>16120</v>
      </c>
      <c r="K4362" s="31" t="s">
        <v>123</v>
      </c>
      <c r="L4362" s="31" t="s">
        <v>56</v>
      </c>
      <c r="M4362" s="31">
        <v>256</v>
      </c>
      <c r="N4362" s="31">
        <v>2017</v>
      </c>
      <c r="O4362" s="31">
        <v>117</v>
      </c>
      <c r="P4362" s="31"/>
      <c r="Q4362" s="31"/>
      <c r="R4362" s="33"/>
      <c r="S4362" s="34" t="str">
        <f>HYPERLINK("http://www.cnpol.ru/covers/17713.jpg","фото на сайте")</f>
        <v>фото на сайте</v>
      </c>
    </row>
    <row r="4363" spans="1:19" ht="50.1" customHeight="1">
      <c r="A4363" s="31"/>
      <c r="B4363" s="32" t="s">
        <v>16121</v>
      </c>
      <c r="C4363" s="31" t="s">
        <v>390</v>
      </c>
      <c r="D4363" s="31" t="s">
        <v>1638</v>
      </c>
      <c r="E4363" s="31" t="s">
        <v>16122</v>
      </c>
      <c r="F4363" s="31">
        <v>924</v>
      </c>
      <c r="G4363" s="31">
        <v>86</v>
      </c>
      <c r="H4363" s="31">
        <v>10</v>
      </c>
      <c r="I4363" s="31">
        <v>30</v>
      </c>
      <c r="J4363" s="31" t="s">
        <v>16123</v>
      </c>
      <c r="K4363" s="31" t="s">
        <v>123</v>
      </c>
      <c r="L4363" s="31" t="s">
        <v>56</v>
      </c>
      <c r="M4363" s="31">
        <v>160</v>
      </c>
      <c r="N4363" s="31">
        <v>2019</v>
      </c>
      <c r="O4363" s="31">
        <v>76</v>
      </c>
      <c r="P4363" s="31"/>
      <c r="Q4363" s="31"/>
      <c r="R4363" s="33"/>
      <c r="S4363" s="34" t="str">
        <f>HYPERLINK("http://www.cnpol.ru/covers/18862.jpg","фото на сайте")</f>
        <v>фото на сайте</v>
      </c>
    </row>
    <row r="4364" spans="1:19" ht="50.1" customHeight="1">
      <c r="A4364" s="31"/>
      <c r="B4364" s="32" t="s">
        <v>16124</v>
      </c>
      <c r="C4364" s="31" t="s">
        <v>4301</v>
      </c>
      <c r="D4364" s="31" t="s">
        <v>16125</v>
      </c>
      <c r="E4364" s="31" t="s">
        <v>16126</v>
      </c>
      <c r="F4364" s="31" t="s">
        <v>31</v>
      </c>
      <c r="G4364" s="35">
        <v>1327</v>
      </c>
      <c r="H4364" s="31">
        <v>10</v>
      </c>
      <c r="I4364" s="31">
        <v>10</v>
      </c>
      <c r="J4364" s="31" t="s">
        <v>16127</v>
      </c>
      <c r="K4364" s="31" t="s">
        <v>41</v>
      </c>
      <c r="L4364" s="31" t="s">
        <v>34</v>
      </c>
      <c r="M4364" s="31">
        <v>479</v>
      </c>
      <c r="N4364" s="31">
        <v>2022</v>
      </c>
      <c r="O4364" s="31">
        <v>540</v>
      </c>
      <c r="P4364" s="31"/>
      <c r="Q4364" s="31"/>
      <c r="R4364" s="33"/>
      <c r="S4364" s="34" t="str">
        <f>HYPERLINK("http://www.cnpol.ru/covers/20066.jpg","фото на сайте")</f>
        <v>фото на сайте</v>
      </c>
    </row>
    <row r="4365" spans="1:19" ht="50.1" customHeight="1">
      <c r="A4365" s="31"/>
      <c r="B4365" s="32" t="s">
        <v>16128</v>
      </c>
      <c r="C4365" s="31" t="s">
        <v>418</v>
      </c>
      <c r="D4365" s="31" t="s">
        <v>726</v>
      </c>
      <c r="E4365" s="31" t="s">
        <v>16129</v>
      </c>
      <c r="F4365" s="31">
        <v>94</v>
      </c>
      <c r="G4365" s="31">
        <v>153</v>
      </c>
      <c r="H4365" s="31">
        <v>10</v>
      </c>
      <c r="I4365" s="31">
        <v>26</v>
      </c>
      <c r="J4365" s="31" t="s">
        <v>16130</v>
      </c>
      <c r="K4365" s="31" t="s">
        <v>123</v>
      </c>
      <c r="L4365" s="31" t="s">
        <v>56</v>
      </c>
      <c r="M4365" s="31">
        <v>256</v>
      </c>
      <c r="N4365" s="31">
        <v>2018</v>
      </c>
      <c r="O4365" s="31">
        <v>117</v>
      </c>
      <c r="P4365" s="31"/>
      <c r="Q4365" s="31"/>
      <c r="R4365" s="33"/>
      <c r="S4365" s="34" t="str">
        <f>HYPERLINK("http://www.cnpol.ru/covers/18431.jpg","фото на сайте")</f>
        <v>фото на сайте</v>
      </c>
    </row>
    <row r="4366" spans="1:19" ht="50.1" customHeight="1">
      <c r="A4366" s="31"/>
      <c r="B4366" s="32" t="s">
        <v>16131</v>
      </c>
      <c r="C4366" s="31" t="s">
        <v>1237</v>
      </c>
      <c r="D4366" s="31" t="s">
        <v>1238</v>
      </c>
      <c r="E4366" s="31" t="s">
        <v>16132</v>
      </c>
      <c r="F4366" s="31" t="s">
        <v>31</v>
      </c>
      <c r="G4366" s="31">
        <v>807</v>
      </c>
      <c r="H4366" s="31">
        <v>10</v>
      </c>
      <c r="I4366" s="31">
        <v>12</v>
      </c>
      <c r="J4366" s="31" t="s">
        <v>16133</v>
      </c>
      <c r="K4366" s="31" t="s">
        <v>33</v>
      </c>
      <c r="L4366" s="31" t="s">
        <v>34</v>
      </c>
      <c r="M4366" s="31">
        <v>384</v>
      </c>
      <c r="N4366" s="31">
        <v>2020</v>
      </c>
      <c r="O4366" s="31">
        <v>478</v>
      </c>
      <c r="P4366" s="31"/>
      <c r="Q4366" s="31"/>
      <c r="R4366" s="33"/>
      <c r="S4366" s="34" t="str">
        <f>HYPERLINK("http://www.cnpol.ru/covers/19237.jpg","фото на сайте")</f>
        <v>фото на сайте</v>
      </c>
    </row>
    <row r="4367" spans="1:19" ht="50.1" customHeight="1">
      <c r="A4367" s="31"/>
      <c r="B4367" s="32" t="s">
        <v>16134</v>
      </c>
      <c r="C4367" s="31" t="s">
        <v>4301</v>
      </c>
      <c r="D4367" s="31" t="s">
        <v>16125</v>
      </c>
      <c r="E4367" s="31" t="s">
        <v>16135</v>
      </c>
      <c r="F4367" s="31" t="s">
        <v>31</v>
      </c>
      <c r="G4367" s="35">
        <v>1327</v>
      </c>
      <c r="H4367" s="31">
        <v>10</v>
      </c>
      <c r="I4367" s="31">
        <v>10</v>
      </c>
      <c r="J4367" s="31" t="s">
        <v>16136</v>
      </c>
      <c r="K4367" s="31" t="s">
        <v>41</v>
      </c>
      <c r="L4367" s="31" t="s">
        <v>34</v>
      </c>
      <c r="M4367" s="31">
        <v>479</v>
      </c>
      <c r="N4367" s="31">
        <v>2022</v>
      </c>
      <c r="O4367" s="31">
        <v>480</v>
      </c>
      <c r="P4367" s="31"/>
      <c r="Q4367" s="31"/>
      <c r="R4367" s="33"/>
      <c r="S4367" s="34" t="str">
        <f>HYPERLINK("http://www.cnpol.ru/covers/20193.jpg","фото на сайте")</f>
        <v>фото на сайте</v>
      </c>
    </row>
    <row r="4368" spans="1:19" ht="50.1" customHeight="1">
      <c r="A4368" s="31" t="s">
        <v>35</v>
      </c>
      <c r="B4368" s="32" t="s">
        <v>16137</v>
      </c>
      <c r="C4368" s="31" t="s">
        <v>6638</v>
      </c>
      <c r="D4368" s="31" t="s">
        <v>16138</v>
      </c>
      <c r="E4368" s="31" t="s">
        <v>16139</v>
      </c>
      <c r="F4368" s="31" t="s">
        <v>31</v>
      </c>
      <c r="G4368" s="35">
        <v>1021</v>
      </c>
      <c r="H4368" s="31">
        <v>10</v>
      </c>
      <c r="I4368" s="31">
        <v>5</v>
      </c>
      <c r="J4368" s="31" t="s">
        <v>16140</v>
      </c>
      <c r="K4368" s="31" t="s">
        <v>123</v>
      </c>
      <c r="L4368" s="31" t="s">
        <v>34</v>
      </c>
      <c r="M4368" s="31">
        <v>543</v>
      </c>
      <c r="N4368" s="31">
        <v>2026</v>
      </c>
      <c r="O4368" s="31" t="s">
        <v>220</v>
      </c>
      <c r="P4368" s="31"/>
      <c r="Q4368" s="31"/>
      <c r="R4368" s="33" t="s">
        <v>16141</v>
      </c>
      <c r="S4368" s="34" t="str">
        <f>HYPERLINK("http://www.cnpol.ru/covers/21907.jpg","фото на сайте")</f>
        <v>фото на сайте</v>
      </c>
    </row>
    <row r="4369" spans="1:19" ht="50.1" customHeight="1">
      <c r="A4369" s="31" t="s">
        <v>43</v>
      </c>
      <c r="B4369" s="32" t="s">
        <v>16142</v>
      </c>
      <c r="C4369" s="31" t="s">
        <v>6638</v>
      </c>
      <c r="D4369" s="31" t="s">
        <v>16138</v>
      </c>
      <c r="E4369" s="31" t="s">
        <v>16143</v>
      </c>
      <c r="F4369" s="31" t="s">
        <v>31</v>
      </c>
      <c r="G4369" s="35">
        <v>1021</v>
      </c>
      <c r="H4369" s="31">
        <v>10</v>
      </c>
      <c r="I4369" s="31">
        <v>5</v>
      </c>
      <c r="J4369" s="31" t="s">
        <v>16144</v>
      </c>
      <c r="K4369" s="31" t="s">
        <v>123</v>
      </c>
      <c r="L4369" s="31" t="s">
        <v>34</v>
      </c>
      <c r="M4369" s="31">
        <v>543</v>
      </c>
      <c r="N4369" s="31">
        <v>2024</v>
      </c>
      <c r="O4369" s="31">
        <v>418</v>
      </c>
      <c r="P4369" s="31"/>
      <c r="Q4369" s="31"/>
      <c r="R4369" s="33" t="s">
        <v>16145</v>
      </c>
      <c r="S4369" s="34" t="str">
        <f>HYPERLINK("http://www.cnpol.ru/covers/21207.jpg","фото на сайте")</f>
        <v>фото на сайте</v>
      </c>
    </row>
    <row r="4370" spans="1:19" ht="50.1" customHeight="1">
      <c r="A4370" s="31" t="s">
        <v>43</v>
      </c>
      <c r="B4370" s="32" t="s">
        <v>16146</v>
      </c>
      <c r="C4370" s="31" t="s">
        <v>119</v>
      </c>
      <c r="D4370" s="31" t="s">
        <v>5156</v>
      </c>
      <c r="E4370" s="31" t="s">
        <v>16147</v>
      </c>
      <c r="F4370" s="31" t="s">
        <v>31</v>
      </c>
      <c r="G4370" s="31">
        <v>635</v>
      </c>
      <c r="H4370" s="31">
        <v>10</v>
      </c>
      <c r="I4370" s="31">
        <v>10</v>
      </c>
      <c r="J4370" s="31" t="s">
        <v>16148</v>
      </c>
      <c r="K4370" s="31" t="s">
        <v>194</v>
      </c>
      <c r="L4370" s="31" t="s">
        <v>34</v>
      </c>
      <c r="M4370" s="31">
        <v>319</v>
      </c>
      <c r="N4370" s="31">
        <v>2024</v>
      </c>
      <c r="O4370" s="31">
        <v>256</v>
      </c>
      <c r="P4370" s="31"/>
      <c r="Q4370" s="31"/>
      <c r="R4370" s="33" t="s">
        <v>16149</v>
      </c>
      <c r="S4370" s="34" t="str">
        <f>HYPERLINK("http://www.cnpol.ru/covers/21338.jpg","фото на сайте")</f>
        <v>фото на сайте</v>
      </c>
    </row>
    <row r="4371" spans="1:19" ht="50.1" customHeight="1">
      <c r="A4371" s="31" t="s">
        <v>43</v>
      </c>
      <c r="B4371" s="32" t="s">
        <v>16150</v>
      </c>
      <c r="C4371" s="31" t="s">
        <v>37</v>
      </c>
      <c r="D4371" s="31" t="s">
        <v>16151</v>
      </c>
      <c r="E4371" s="31" t="s">
        <v>16152</v>
      </c>
      <c r="F4371" s="31" t="s">
        <v>31</v>
      </c>
      <c r="G4371" s="31">
        <v>759</v>
      </c>
      <c r="H4371" s="31">
        <v>10</v>
      </c>
      <c r="I4371" s="31">
        <v>10</v>
      </c>
      <c r="J4371" s="31" t="s">
        <v>16153</v>
      </c>
      <c r="K4371" s="31" t="s">
        <v>33</v>
      </c>
      <c r="L4371" s="31" t="s">
        <v>34</v>
      </c>
      <c r="M4371" s="31">
        <v>223</v>
      </c>
      <c r="N4371" s="31">
        <v>2025</v>
      </c>
      <c r="O4371" s="31">
        <v>188</v>
      </c>
      <c r="P4371" s="31"/>
      <c r="Q4371" s="31"/>
      <c r="R4371" s="33" t="s">
        <v>16154</v>
      </c>
      <c r="S4371" s="34" t="str">
        <f>HYPERLINK("http://www.cnpol.ru/covers/21579.jpg","фото на сайте")</f>
        <v>фото на сайте</v>
      </c>
    </row>
    <row r="4372" spans="1:19" ht="50.1" customHeight="1">
      <c r="A4372" s="31" t="s">
        <v>43</v>
      </c>
      <c r="B4372" s="32" t="s">
        <v>16155</v>
      </c>
      <c r="C4372" s="31" t="s">
        <v>37</v>
      </c>
      <c r="D4372" s="31" t="s">
        <v>16156</v>
      </c>
      <c r="E4372" s="31" t="s">
        <v>16157</v>
      </c>
      <c r="F4372" s="31" t="s">
        <v>31</v>
      </c>
      <c r="G4372" s="35">
        <v>1076</v>
      </c>
      <c r="H4372" s="31">
        <v>10</v>
      </c>
      <c r="I4372" s="31">
        <v>5</v>
      </c>
      <c r="J4372" s="31" t="s">
        <v>16158</v>
      </c>
      <c r="K4372" s="31" t="s">
        <v>33</v>
      </c>
      <c r="L4372" s="31" t="s">
        <v>34</v>
      </c>
      <c r="M4372" s="31">
        <v>414</v>
      </c>
      <c r="N4372" s="31">
        <v>2024</v>
      </c>
      <c r="O4372" s="31">
        <v>401</v>
      </c>
      <c r="P4372" s="31"/>
      <c r="Q4372" s="31"/>
      <c r="R4372" s="33" t="s">
        <v>16159</v>
      </c>
      <c r="S4372" s="34" t="str">
        <f>HYPERLINK("http://www.cnpol.ru/covers/21361.jpg","фото на сайте")</f>
        <v>фото на сайте</v>
      </c>
    </row>
    <row r="4373" spans="1:19" ht="50.1" customHeight="1">
      <c r="A4373" s="31" t="s">
        <v>35</v>
      </c>
      <c r="B4373" s="32" t="s">
        <v>16160</v>
      </c>
      <c r="C4373" s="31" t="s">
        <v>37</v>
      </c>
      <c r="D4373" s="31" t="s">
        <v>16161</v>
      </c>
      <c r="E4373" s="31" t="s">
        <v>16162</v>
      </c>
      <c r="F4373" s="31" t="s">
        <v>31</v>
      </c>
      <c r="G4373" s="31">
        <v>575</v>
      </c>
      <c r="H4373" s="31">
        <v>10</v>
      </c>
      <c r="I4373" s="31">
        <v>10</v>
      </c>
      <c r="J4373" s="31" t="s">
        <v>16163</v>
      </c>
      <c r="K4373" s="31" t="s">
        <v>33</v>
      </c>
      <c r="L4373" s="31" t="s">
        <v>34</v>
      </c>
      <c r="M4373" s="31">
        <v>447</v>
      </c>
      <c r="N4373" s="31">
        <v>2024</v>
      </c>
      <c r="O4373" s="31">
        <v>350</v>
      </c>
      <c r="P4373" s="31"/>
      <c r="Q4373" s="31"/>
      <c r="R4373" s="33" t="s">
        <v>16164</v>
      </c>
      <c r="S4373" s="34" t="str">
        <f>HYPERLINK("http://www.cnpol.ru/covers/21155.jpg","фото на сайте")</f>
        <v>фото на сайте</v>
      </c>
    </row>
    <row r="4374" spans="1:19" ht="50.1" customHeight="1">
      <c r="A4374" s="31"/>
      <c r="B4374" s="32" t="s">
        <v>16165</v>
      </c>
      <c r="C4374" s="31" t="s">
        <v>37</v>
      </c>
      <c r="D4374" s="31" t="s">
        <v>16166</v>
      </c>
      <c r="E4374" s="31" t="s">
        <v>16167</v>
      </c>
      <c r="F4374" s="31" t="s">
        <v>31</v>
      </c>
      <c r="G4374" s="31">
        <v>832</v>
      </c>
      <c r="H4374" s="31">
        <v>10</v>
      </c>
      <c r="I4374" s="31">
        <v>6</v>
      </c>
      <c r="J4374" s="31" t="s">
        <v>16168</v>
      </c>
      <c r="K4374" s="31" t="s">
        <v>194</v>
      </c>
      <c r="L4374" s="31" t="s">
        <v>34</v>
      </c>
      <c r="M4374" s="31">
        <v>384</v>
      </c>
      <c r="N4374" s="31">
        <v>2024</v>
      </c>
      <c r="O4374" s="31">
        <v>410</v>
      </c>
      <c r="P4374" s="31"/>
      <c r="Q4374" s="31"/>
      <c r="R4374" s="33" t="s">
        <v>16169</v>
      </c>
      <c r="S4374" s="34" t="str">
        <f>HYPERLINK("http://www.cnpol.ru/covers/20934.jpg","фото на сайте")</f>
        <v>фото на сайте</v>
      </c>
    </row>
    <row r="4375" spans="1:19" ht="50.1" customHeight="1">
      <c r="A4375" s="31"/>
      <c r="B4375" s="32" t="s">
        <v>16170</v>
      </c>
      <c r="C4375" s="31" t="s">
        <v>37</v>
      </c>
      <c r="D4375" s="31" t="s">
        <v>3316</v>
      </c>
      <c r="E4375" s="31" t="s">
        <v>16171</v>
      </c>
      <c r="F4375" s="31" t="s">
        <v>31</v>
      </c>
      <c r="G4375" s="31">
        <v>575</v>
      </c>
      <c r="H4375" s="31">
        <v>10</v>
      </c>
      <c r="I4375" s="31">
        <v>12</v>
      </c>
      <c r="J4375" s="31" t="s">
        <v>16172</v>
      </c>
      <c r="K4375" s="31" t="s">
        <v>33</v>
      </c>
      <c r="L4375" s="31" t="s">
        <v>34</v>
      </c>
      <c r="M4375" s="31">
        <v>352</v>
      </c>
      <c r="N4375" s="31">
        <v>2021</v>
      </c>
      <c r="O4375" s="31">
        <v>296</v>
      </c>
      <c r="P4375" s="31"/>
      <c r="Q4375" s="31"/>
      <c r="R4375" s="33"/>
      <c r="S4375" s="34" t="str">
        <f>HYPERLINK("http://www.cnpol.ru/covers/19683.jpg","фото на сайте")</f>
        <v>фото на сайте</v>
      </c>
    </row>
    <row r="4376" spans="1:19" ht="50.1" customHeight="1">
      <c r="A4376" s="31"/>
      <c r="B4376" s="32" t="s">
        <v>16173</v>
      </c>
      <c r="C4376" s="31" t="s">
        <v>390</v>
      </c>
      <c r="D4376" s="31" t="s">
        <v>1603</v>
      </c>
      <c r="E4376" s="31" t="s">
        <v>16174</v>
      </c>
      <c r="F4376" s="31">
        <v>346</v>
      </c>
      <c r="G4376" s="31">
        <v>86</v>
      </c>
      <c r="H4376" s="31">
        <v>10</v>
      </c>
      <c r="I4376" s="31">
        <v>30</v>
      </c>
      <c r="J4376" s="31" t="s">
        <v>16175</v>
      </c>
      <c r="K4376" s="31" t="s">
        <v>123</v>
      </c>
      <c r="L4376" s="31" t="s">
        <v>56</v>
      </c>
      <c r="M4376" s="31">
        <v>158</v>
      </c>
      <c r="N4376" s="31">
        <v>2013</v>
      </c>
      <c r="O4376" s="31">
        <v>76</v>
      </c>
      <c r="P4376" s="31"/>
      <c r="Q4376" s="31"/>
      <c r="R4376" s="33"/>
      <c r="S4376" s="34" t="str">
        <f>HYPERLINK("http://www.cnpol.ru/covers/14548.jpg","фото на сайте")</f>
        <v>фото на сайте</v>
      </c>
    </row>
    <row r="4377" spans="1:19" ht="50.1" customHeight="1">
      <c r="A4377" s="31"/>
      <c r="B4377" s="32" t="s">
        <v>16176</v>
      </c>
      <c r="C4377" s="31" t="s">
        <v>520</v>
      </c>
      <c r="D4377" s="31" t="s">
        <v>5181</v>
      </c>
      <c r="E4377" s="31" t="s">
        <v>16177</v>
      </c>
      <c r="F4377" s="31">
        <v>13</v>
      </c>
      <c r="G4377" s="31">
        <v>117</v>
      </c>
      <c r="H4377" s="31">
        <v>10</v>
      </c>
      <c r="I4377" s="31">
        <v>30</v>
      </c>
      <c r="J4377" s="31" t="s">
        <v>16178</v>
      </c>
      <c r="K4377" s="31" t="s">
        <v>123</v>
      </c>
      <c r="L4377" s="31" t="s">
        <v>56</v>
      </c>
      <c r="M4377" s="31">
        <v>192</v>
      </c>
      <c r="N4377" s="31">
        <v>2015</v>
      </c>
      <c r="O4377" s="31">
        <v>90</v>
      </c>
      <c r="P4377" s="31"/>
      <c r="Q4377" s="31"/>
      <c r="R4377" s="33"/>
      <c r="S4377" s="34" t="str">
        <f>HYPERLINK("http://www.cnpol.ru/covers/16361.jpg","фото на сайте")</f>
        <v>фото на сайте</v>
      </c>
    </row>
    <row r="4378" spans="1:19" ht="50.1" customHeight="1">
      <c r="A4378" s="31" t="s">
        <v>43</v>
      </c>
      <c r="B4378" s="32" t="s">
        <v>16179</v>
      </c>
      <c r="C4378" s="31" t="s">
        <v>37</v>
      </c>
      <c r="D4378" s="31" t="s">
        <v>16180</v>
      </c>
      <c r="E4378" s="31" t="s">
        <v>16181</v>
      </c>
      <c r="F4378" s="31" t="s">
        <v>31</v>
      </c>
      <c r="G4378" s="35">
        <v>1052</v>
      </c>
      <c r="H4378" s="31">
        <v>10</v>
      </c>
      <c r="I4378" s="31">
        <v>6</v>
      </c>
      <c r="J4378" s="31" t="s">
        <v>16182</v>
      </c>
      <c r="K4378" s="31" t="s">
        <v>33</v>
      </c>
      <c r="L4378" s="31" t="s">
        <v>34</v>
      </c>
      <c r="M4378" s="31">
        <v>347</v>
      </c>
      <c r="N4378" s="31">
        <v>2024</v>
      </c>
      <c r="O4378" s="31">
        <v>333</v>
      </c>
      <c r="P4378" s="31"/>
      <c r="Q4378" s="31"/>
      <c r="R4378" s="33" t="s">
        <v>16183</v>
      </c>
      <c r="S4378" s="34" t="str">
        <f>HYPERLINK("http://www.cnpol.ru/covers/21357.jpg","фото на сайте")</f>
        <v>фото на сайте</v>
      </c>
    </row>
    <row r="4379" spans="1:19" ht="50.1" customHeight="1">
      <c r="A4379" s="31"/>
      <c r="B4379" s="32" t="s">
        <v>16184</v>
      </c>
      <c r="C4379" s="31" t="s">
        <v>1338</v>
      </c>
      <c r="D4379" s="31" t="s">
        <v>1339</v>
      </c>
      <c r="E4379" s="31" t="s">
        <v>16185</v>
      </c>
      <c r="F4379" s="31" t="s">
        <v>31</v>
      </c>
      <c r="G4379" s="31">
        <v>154</v>
      </c>
      <c r="H4379" s="31">
        <v>10</v>
      </c>
      <c r="I4379" s="31">
        <v>20</v>
      </c>
      <c r="J4379" s="31" t="s">
        <v>16186</v>
      </c>
      <c r="K4379" s="31" t="s">
        <v>55</v>
      </c>
      <c r="L4379" s="31" t="s">
        <v>56</v>
      </c>
      <c r="M4379" s="31">
        <v>285</v>
      </c>
      <c r="N4379" s="31">
        <v>2008</v>
      </c>
      <c r="O4379" s="31">
        <v>120</v>
      </c>
      <c r="P4379" s="31"/>
      <c r="Q4379" s="31"/>
      <c r="R4379" s="33"/>
      <c r="S4379" s="34" t="str">
        <f>HYPERLINK("http://www.cnpol.ru/covers/7832.jpg","фото на сайте")</f>
        <v>фото на сайте</v>
      </c>
    </row>
    <row r="4380" spans="1:19" ht="50.1" customHeight="1">
      <c r="A4380" s="31"/>
      <c r="B4380" s="32" t="s">
        <v>16187</v>
      </c>
      <c r="C4380" s="31" t="s">
        <v>385</v>
      </c>
      <c r="D4380" s="31" t="s">
        <v>386</v>
      </c>
      <c r="E4380" s="31" t="s">
        <v>16188</v>
      </c>
      <c r="F4380" s="31" t="s">
        <v>31</v>
      </c>
      <c r="G4380" s="31">
        <v>162</v>
      </c>
      <c r="H4380" s="31">
        <v>10</v>
      </c>
      <c r="I4380" s="31">
        <v>32</v>
      </c>
      <c r="J4380" s="31" t="s">
        <v>16189</v>
      </c>
      <c r="K4380" s="31" t="s">
        <v>55</v>
      </c>
      <c r="L4380" s="31" t="s">
        <v>56</v>
      </c>
      <c r="M4380" s="31">
        <v>256</v>
      </c>
      <c r="N4380" s="31">
        <v>2016</v>
      </c>
      <c r="O4380" s="31">
        <v>108</v>
      </c>
      <c r="P4380" s="31"/>
      <c r="Q4380" s="31"/>
      <c r="R4380" s="33"/>
      <c r="S4380" s="34" t="str">
        <f>HYPERLINK("http://www.cnpol.ru/covers/0121.jpg","фото на сайте")</f>
        <v>фото на сайте</v>
      </c>
    </row>
    <row r="4381" spans="1:19" ht="50.1" customHeight="1">
      <c r="A4381" s="31"/>
      <c r="B4381" s="32" t="s">
        <v>16190</v>
      </c>
      <c r="C4381" s="31" t="s">
        <v>400</v>
      </c>
      <c r="D4381" s="31" t="s">
        <v>16191</v>
      </c>
      <c r="E4381" s="31" t="s">
        <v>16192</v>
      </c>
      <c r="F4381" s="31" t="s">
        <v>31</v>
      </c>
      <c r="G4381" s="31">
        <v>503</v>
      </c>
      <c r="H4381" s="31">
        <v>10</v>
      </c>
      <c r="I4381" s="31">
        <v>12</v>
      </c>
      <c r="J4381" s="31" t="s">
        <v>16193</v>
      </c>
      <c r="K4381" s="31" t="s">
        <v>33</v>
      </c>
      <c r="L4381" s="31" t="s">
        <v>34</v>
      </c>
      <c r="M4381" s="31">
        <v>352</v>
      </c>
      <c r="N4381" s="31">
        <v>2020</v>
      </c>
      <c r="O4381" s="31">
        <v>294</v>
      </c>
      <c r="P4381" s="31"/>
      <c r="Q4381" s="31"/>
      <c r="R4381" s="33"/>
      <c r="S4381" s="34" t="str">
        <f>HYPERLINK("http://www.cnpol.ru/covers/19373.jpg","фото на сайте")</f>
        <v>фото на сайте</v>
      </c>
    </row>
    <row r="4382" spans="1:19" ht="50.1" customHeight="1">
      <c r="A4382" s="31"/>
      <c r="B4382" s="32" t="s">
        <v>16194</v>
      </c>
      <c r="C4382" s="31" t="s">
        <v>390</v>
      </c>
      <c r="D4382" s="31" t="s">
        <v>10259</v>
      </c>
      <c r="E4382" s="31" t="s">
        <v>16195</v>
      </c>
      <c r="F4382" s="31">
        <v>821</v>
      </c>
      <c r="G4382" s="31">
        <v>86</v>
      </c>
      <c r="H4382" s="31">
        <v>10</v>
      </c>
      <c r="I4382" s="31">
        <v>30</v>
      </c>
      <c r="J4382" s="31" t="s">
        <v>16196</v>
      </c>
      <c r="K4382" s="31" t="s">
        <v>123</v>
      </c>
      <c r="L4382" s="31" t="s">
        <v>56</v>
      </c>
      <c r="M4382" s="31">
        <v>160</v>
      </c>
      <c r="N4382" s="31">
        <v>2018</v>
      </c>
      <c r="O4382" s="31">
        <v>76</v>
      </c>
      <c r="P4382" s="31"/>
      <c r="Q4382" s="31"/>
      <c r="R4382" s="33"/>
      <c r="S4382" s="34" t="str">
        <f>HYPERLINK("http://www.cnpol.ru/covers/18220.jpg","фото на сайте")</f>
        <v>фото на сайте</v>
      </c>
    </row>
    <row r="4383" spans="1:19" ht="50.1" customHeight="1">
      <c r="A4383" s="31"/>
      <c r="B4383" s="32" t="s">
        <v>16197</v>
      </c>
      <c r="C4383" s="31" t="s">
        <v>413</v>
      </c>
      <c r="D4383" s="31" t="s">
        <v>16198</v>
      </c>
      <c r="E4383" s="31" t="s">
        <v>16199</v>
      </c>
      <c r="F4383" s="31">
        <v>68</v>
      </c>
      <c r="G4383" s="31">
        <v>117</v>
      </c>
      <c r="H4383" s="31">
        <v>10</v>
      </c>
      <c r="I4383" s="31">
        <v>36</v>
      </c>
      <c r="J4383" s="31" t="s">
        <v>16200</v>
      </c>
      <c r="K4383" s="31" t="s">
        <v>123</v>
      </c>
      <c r="L4383" s="31" t="s">
        <v>56</v>
      </c>
      <c r="M4383" s="31">
        <v>190</v>
      </c>
      <c r="N4383" s="31">
        <v>2015</v>
      </c>
      <c r="O4383" s="31">
        <v>90</v>
      </c>
      <c r="P4383" s="31"/>
      <c r="Q4383" s="31"/>
      <c r="R4383" s="33"/>
      <c r="S4383" s="34" t="str">
        <f>HYPERLINK("http://www.cnpol.ru/covers/16169.jpg","фото на сайте")</f>
        <v>фото на сайте</v>
      </c>
    </row>
    <row r="4384" spans="1:19" ht="50.1" customHeight="1">
      <c r="A4384" s="31"/>
      <c r="B4384" s="32" t="s">
        <v>16201</v>
      </c>
      <c r="C4384" s="31" t="s">
        <v>2915</v>
      </c>
      <c r="D4384" s="31" t="s">
        <v>2916</v>
      </c>
      <c r="E4384" s="31" t="s">
        <v>16202</v>
      </c>
      <c r="F4384" s="31" t="s">
        <v>31</v>
      </c>
      <c r="G4384" s="31">
        <v>88</v>
      </c>
      <c r="H4384" s="31">
        <v>10</v>
      </c>
      <c r="I4384" s="31">
        <v>40</v>
      </c>
      <c r="J4384" s="31" t="s">
        <v>16203</v>
      </c>
      <c r="K4384" s="31" t="s">
        <v>55</v>
      </c>
      <c r="L4384" s="31" t="s">
        <v>56</v>
      </c>
      <c r="M4384" s="31">
        <v>252</v>
      </c>
      <c r="N4384" s="31">
        <v>2000</v>
      </c>
      <c r="O4384" s="31">
        <v>110</v>
      </c>
      <c r="P4384" s="31"/>
      <c r="Q4384" s="31"/>
      <c r="R4384" s="33"/>
      <c r="S4384" s="34" t="str">
        <f>HYPERLINK("http://www.cnpol.ru/covers/2203.jpg","фото на сайте")</f>
        <v>фото на сайте</v>
      </c>
    </row>
    <row r="4385" spans="1:19" ht="50.1" customHeight="1">
      <c r="A4385" s="31"/>
      <c r="B4385" s="32" t="s">
        <v>16204</v>
      </c>
      <c r="C4385" s="31" t="s">
        <v>390</v>
      </c>
      <c r="D4385" s="31" t="s">
        <v>1347</v>
      </c>
      <c r="E4385" s="31" t="s">
        <v>16205</v>
      </c>
      <c r="F4385" s="31">
        <v>774</v>
      </c>
      <c r="G4385" s="31">
        <v>86</v>
      </c>
      <c r="H4385" s="31">
        <v>10</v>
      </c>
      <c r="I4385" s="31">
        <v>30</v>
      </c>
      <c r="J4385" s="31" t="s">
        <v>16206</v>
      </c>
      <c r="K4385" s="31" t="s">
        <v>123</v>
      </c>
      <c r="L4385" s="31" t="s">
        <v>56</v>
      </c>
      <c r="M4385" s="31">
        <v>160</v>
      </c>
      <c r="N4385" s="31">
        <v>2017</v>
      </c>
      <c r="O4385" s="31">
        <v>76</v>
      </c>
      <c r="P4385" s="31"/>
      <c r="Q4385" s="31"/>
      <c r="R4385" s="33"/>
      <c r="S4385" s="34" t="str">
        <f>HYPERLINK("http://www.cnpol.ru/covers/17843.jpg","фото на сайте")</f>
        <v>фото на сайте</v>
      </c>
    </row>
    <row r="4386" spans="1:19" ht="50.1" customHeight="1">
      <c r="A4386" s="31"/>
      <c r="B4386" s="32" t="s">
        <v>16207</v>
      </c>
      <c r="C4386" s="31" t="s">
        <v>563</v>
      </c>
      <c r="D4386" s="31" t="s">
        <v>564</v>
      </c>
      <c r="E4386" s="31" t="s">
        <v>16208</v>
      </c>
      <c r="F4386" s="31" t="s">
        <v>31</v>
      </c>
      <c r="G4386" s="31">
        <v>194</v>
      </c>
      <c r="H4386" s="31">
        <v>10</v>
      </c>
      <c r="I4386" s="31">
        <v>40</v>
      </c>
      <c r="J4386" s="31" t="s">
        <v>16209</v>
      </c>
      <c r="K4386" s="31" t="s">
        <v>130</v>
      </c>
      <c r="L4386" s="31" t="s">
        <v>56</v>
      </c>
      <c r="M4386" s="31">
        <v>143</v>
      </c>
      <c r="N4386" s="31">
        <v>2004</v>
      </c>
      <c r="O4386" s="31">
        <v>94</v>
      </c>
      <c r="P4386" s="31"/>
      <c r="Q4386" s="31"/>
      <c r="R4386" s="33"/>
      <c r="S4386" s="34" t="str">
        <f>HYPERLINK("http://www.cnpol.ru/covers/5710.jpg","фото на сайте")</f>
        <v>фото на сайте</v>
      </c>
    </row>
    <row r="4387" spans="1:19" ht="50.1" customHeight="1">
      <c r="A4387" s="31"/>
      <c r="B4387" s="32" t="s">
        <v>16210</v>
      </c>
      <c r="C4387" s="31" t="s">
        <v>3422</v>
      </c>
      <c r="D4387" s="31" t="s">
        <v>4849</v>
      </c>
      <c r="E4387" s="31" t="s">
        <v>16211</v>
      </c>
      <c r="F4387" s="31" t="s">
        <v>31</v>
      </c>
      <c r="G4387" s="31">
        <v>112</v>
      </c>
      <c r="H4387" s="31">
        <v>10</v>
      </c>
      <c r="I4387" s="31">
        <v>20</v>
      </c>
      <c r="J4387" s="31" t="s">
        <v>16212</v>
      </c>
      <c r="K4387" s="31" t="s">
        <v>55</v>
      </c>
      <c r="L4387" s="31" t="s">
        <v>56</v>
      </c>
      <c r="M4387" s="31">
        <v>350</v>
      </c>
      <c r="N4387" s="31">
        <v>2008</v>
      </c>
      <c r="O4387" s="31">
        <v>144</v>
      </c>
      <c r="P4387" s="31"/>
      <c r="Q4387" s="31"/>
      <c r="R4387" s="33"/>
      <c r="S4387" s="34" t="str">
        <f>HYPERLINK("http://www.cnpol.ru/covers/10756.jpg","фото на сайте")</f>
        <v>фото на сайте</v>
      </c>
    </row>
    <row r="4388" spans="1:19" ht="50.1" customHeight="1">
      <c r="A4388" s="31"/>
      <c r="B4388" s="32" t="s">
        <v>16213</v>
      </c>
      <c r="C4388" s="31" t="s">
        <v>45</v>
      </c>
      <c r="D4388" s="31" t="s">
        <v>11189</v>
      </c>
      <c r="E4388" s="31" t="s">
        <v>16214</v>
      </c>
      <c r="F4388" s="31" t="s">
        <v>31</v>
      </c>
      <c r="G4388" s="31">
        <v>773</v>
      </c>
      <c r="H4388" s="31">
        <v>10</v>
      </c>
      <c r="I4388" s="31">
        <v>14</v>
      </c>
      <c r="J4388" s="31" t="s">
        <v>16215</v>
      </c>
      <c r="K4388" s="31" t="s">
        <v>1159</v>
      </c>
      <c r="L4388" s="31" t="s">
        <v>34</v>
      </c>
      <c r="M4388" s="31">
        <v>413</v>
      </c>
      <c r="N4388" s="31">
        <v>2012</v>
      </c>
      <c r="O4388" s="31">
        <v>464</v>
      </c>
      <c r="P4388" s="31"/>
      <c r="Q4388" s="31"/>
      <c r="R4388" s="33"/>
      <c r="S4388" s="34" t="str">
        <f>HYPERLINK("http://www.cnpol.ru/covers/13539.jpg","фото на сайте")</f>
        <v>фото на сайте</v>
      </c>
    </row>
    <row r="4389" spans="1:19" ht="50.1" customHeight="1">
      <c r="A4389" s="31"/>
      <c r="B4389" s="32" t="s">
        <v>16216</v>
      </c>
      <c r="C4389" s="31" t="s">
        <v>4218</v>
      </c>
      <c r="D4389" s="31" t="s">
        <v>4800</v>
      </c>
      <c r="E4389" s="31" t="s">
        <v>16217</v>
      </c>
      <c r="F4389" s="31" t="s">
        <v>31</v>
      </c>
      <c r="G4389" s="31">
        <v>441</v>
      </c>
      <c r="H4389" s="31">
        <v>10</v>
      </c>
      <c r="I4389" s="31">
        <v>24</v>
      </c>
      <c r="J4389" s="31" t="s">
        <v>16218</v>
      </c>
      <c r="K4389" s="31" t="s">
        <v>33</v>
      </c>
      <c r="L4389" s="31" t="s">
        <v>34</v>
      </c>
      <c r="M4389" s="31">
        <v>190</v>
      </c>
      <c r="N4389" s="31">
        <v>2008</v>
      </c>
      <c r="O4389" s="31">
        <v>220</v>
      </c>
      <c r="P4389" s="31"/>
      <c r="Q4389" s="31"/>
      <c r="R4389" s="33"/>
      <c r="S4389" s="34" t="str">
        <f>HYPERLINK("http://www.cnpol.ru/covers/10462.jpg","фото на сайте")</f>
        <v>фото на сайте</v>
      </c>
    </row>
    <row r="4390" spans="1:19" ht="50.1" customHeight="1">
      <c r="A4390" s="31" t="s">
        <v>35</v>
      </c>
      <c r="B4390" s="32" t="s">
        <v>16219</v>
      </c>
      <c r="C4390" s="31" t="s">
        <v>434</v>
      </c>
      <c r="D4390" s="31" t="s">
        <v>913</v>
      </c>
      <c r="E4390" s="31" t="s">
        <v>16220</v>
      </c>
      <c r="F4390" s="31" t="s">
        <v>31</v>
      </c>
      <c r="G4390" s="31">
        <v>851</v>
      </c>
      <c r="H4390" s="31">
        <v>10</v>
      </c>
      <c r="I4390" s="31">
        <v>14</v>
      </c>
      <c r="J4390" s="31" t="s">
        <v>16221</v>
      </c>
      <c r="K4390" s="31" t="s">
        <v>33</v>
      </c>
      <c r="L4390" s="31" t="s">
        <v>34</v>
      </c>
      <c r="M4390" s="31">
        <v>287</v>
      </c>
      <c r="N4390" s="31">
        <v>2025</v>
      </c>
      <c r="O4390" s="31">
        <v>333</v>
      </c>
      <c r="P4390" s="31"/>
      <c r="Q4390" s="31"/>
      <c r="R4390" s="33" t="s">
        <v>16222</v>
      </c>
      <c r="S4390" s="34" t="str">
        <f>HYPERLINK("http://www.cnpol.ru/covers/21666.jpg","фото на сайте")</f>
        <v>фото на сайте</v>
      </c>
    </row>
    <row r="4391" spans="1:19" ht="50.1" customHeight="1">
      <c r="A4391" s="31"/>
      <c r="B4391" s="32" t="s">
        <v>16223</v>
      </c>
      <c r="C4391" s="31" t="s">
        <v>37</v>
      </c>
      <c r="D4391" s="31" t="s">
        <v>16224</v>
      </c>
      <c r="E4391" s="31" t="s">
        <v>16225</v>
      </c>
      <c r="F4391" s="31" t="s">
        <v>31</v>
      </c>
      <c r="G4391" s="35">
        <v>1076</v>
      </c>
      <c r="H4391" s="31">
        <v>10</v>
      </c>
      <c r="I4391" s="31">
        <v>10</v>
      </c>
      <c r="J4391" s="31" t="s">
        <v>16226</v>
      </c>
      <c r="K4391" s="31" t="s">
        <v>33</v>
      </c>
      <c r="L4391" s="31" t="s">
        <v>34</v>
      </c>
      <c r="M4391" s="31">
        <v>414</v>
      </c>
      <c r="N4391" s="31">
        <v>2023</v>
      </c>
      <c r="O4391" s="31">
        <v>255</v>
      </c>
      <c r="P4391" s="31"/>
      <c r="Q4391" s="31"/>
      <c r="R4391" s="33" t="s">
        <v>16227</v>
      </c>
      <c r="S4391" s="34" t="str">
        <f>HYPERLINK("http://www.cnpol.ru/covers/20913.jpg","фото на сайте")</f>
        <v>фото на сайте</v>
      </c>
    </row>
    <row r="4392" spans="1:19" ht="50.1" customHeight="1">
      <c r="A4392" s="31"/>
      <c r="B4392" s="32" t="s">
        <v>16228</v>
      </c>
      <c r="C4392" s="31" t="s">
        <v>400</v>
      </c>
      <c r="D4392" s="31" t="s">
        <v>1717</v>
      </c>
      <c r="E4392" s="31" t="s">
        <v>16229</v>
      </c>
      <c r="F4392" s="31" t="s">
        <v>31</v>
      </c>
      <c r="G4392" s="31">
        <v>503</v>
      </c>
      <c r="H4392" s="31">
        <v>10</v>
      </c>
      <c r="I4392" s="31">
        <v>14</v>
      </c>
      <c r="J4392" s="31" t="s">
        <v>16230</v>
      </c>
      <c r="K4392" s="31" t="s">
        <v>33</v>
      </c>
      <c r="L4392" s="31" t="s">
        <v>34</v>
      </c>
      <c r="M4392" s="31">
        <v>288</v>
      </c>
      <c r="N4392" s="31">
        <v>2017</v>
      </c>
      <c r="O4392" s="31">
        <v>252</v>
      </c>
      <c r="P4392" s="31"/>
      <c r="Q4392" s="31"/>
      <c r="R4392" s="33"/>
      <c r="S4392" s="34" t="str">
        <f>HYPERLINK("http://www.cnpol.ru/covers/17813.jpg","фото на сайте")</f>
        <v>фото на сайте</v>
      </c>
    </row>
    <row r="4393" spans="1:19" ht="50.1" customHeight="1">
      <c r="A4393" s="31"/>
      <c r="B4393" s="32" t="s">
        <v>16231</v>
      </c>
      <c r="C4393" s="31" t="s">
        <v>546</v>
      </c>
      <c r="D4393" s="31" t="s">
        <v>1628</v>
      </c>
      <c r="E4393" s="31" t="s">
        <v>16232</v>
      </c>
      <c r="F4393" s="31">
        <v>135</v>
      </c>
      <c r="G4393" s="31">
        <v>93</v>
      </c>
      <c r="H4393" s="31">
        <v>10</v>
      </c>
      <c r="I4393" s="31">
        <v>30</v>
      </c>
      <c r="J4393" s="31" t="s">
        <v>16233</v>
      </c>
      <c r="K4393" s="31" t="s">
        <v>123</v>
      </c>
      <c r="L4393" s="31" t="s">
        <v>56</v>
      </c>
      <c r="M4393" s="31">
        <v>158</v>
      </c>
      <c r="N4393" s="31">
        <v>2015</v>
      </c>
      <c r="O4393" s="31">
        <v>76</v>
      </c>
      <c r="P4393" s="31"/>
      <c r="Q4393" s="31"/>
      <c r="R4393" s="33"/>
      <c r="S4393" s="34" t="str">
        <f>HYPERLINK("http://www.cnpol.ru/covers/16226.jpg","фото на сайте")</f>
        <v>фото на сайте</v>
      </c>
    </row>
    <row r="4394" spans="1:19" ht="50.1" customHeight="1">
      <c r="A4394" s="31" t="s">
        <v>43</v>
      </c>
      <c r="B4394" s="32" t="s">
        <v>16234</v>
      </c>
      <c r="C4394" s="31" t="s">
        <v>37</v>
      </c>
      <c r="D4394" s="31" t="s">
        <v>2334</v>
      </c>
      <c r="E4394" s="31" t="s">
        <v>16235</v>
      </c>
      <c r="F4394" s="31" t="s">
        <v>31</v>
      </c>
      <c r="G4394" s="31">
        <v>807</v>
      </c>
      <c r="H4394" s="31">
        <v>10</v>
      </c>
      <c r="I4394" s="31">
        <v>5</v>
      </c>
      <c r="J4394" s="31" t="s">
        <v>16236</v>
      </c>
      <c r="K4394" s="31" t="s">
        <v>33</v>
      </c>
      <c r="L4394" s="31" t="s">
        <v>34</v>
      </c>
      <c r="M4394" s="31">
        <v>254</v>
      </c>
      <c r="N4394" s="31">
        <v>2025</v>
      </c>
      <c r="O4394" s="31" t="s">
        <v>220</v>
      </c>
      <c r="P4394" s="31"/>
      <c r="Q4394" s="31"/>
      <c r="R4394" s="33" t="s">
        <v>16237</v>
      </c>
      <c r="S4394" s="34" t="str">
        <f>HYPERLINK("http://www.cnpol.ru/covers/21807.jpg","фото на сайте")</f>
        <v>фото на сайте</v>
      </c>
    </row>
    <row r="4395" spans="1:19" ht="50.1" customHeight="1">
      <c r="A4395" s="31"/>
      <c r="B4395" s="32" t="s">
        <v>16238</v>
      </c>
      <c r="C4395" s="31" t="s">
        <v>1781</v>
      </c>
      <c r="D4395" s="31" t="s">
        <v>16239</v>
      </c>
      <c r="E4395" s="31" t="s">
        <v>16240</v>
      </c>
      <c r="F4395" s="31" t="s">
        <v>31</v>
      </c>
      <c r="G4395" s="31">
        <v>461</v>
      </c>
      <c r="H4395" s="31">
        <v>10</v>
      </c>
      <c r="I4395" s="31">
        <v>20</v>
      </c>
      <c r="J4395" s="31" t="s">
        <v>16241</v>
      </c>
      <c r="K4395" s="31" t="s">
        <v>33</v>
      </c>
      <c r="L4395" s="31" t="s">
        <v>34</v>
      </c>
      <c r="M4395" s="31">
        <v>192</v>
      </c>
      <c r="N4395" s="31">
        <v>2018</v>
      </c>
      <c r="O4395" s="31">
        <v>212</v>
      </c>
      <c r="P4395" s="31"/>
      <c r="Q4395" s="31"/>
      <c r="R4395" s="33"/>
      <c r="S4395" s="34" t="str">
        <f>HYPERLINK("http://www.cnpol.ru/covers/18094.jpg","фото на сайте")</f>
        <v>фото на сайте</v>
      </c>
    </row>
    <row r="4396" spans="1:19" ht="50.1" customHeight="1">
      <c r="A4396" s="31"/>
      <c r="B4396" s="32" t="s">
        <v>16242</v>
      </c>
      <c r="C4396" s="31" t="s">
        <v>2742</v>
      </c>
      <c r="D4396" s="31" t="s">
        <v>16243</v>
      </c>
      <c r="E4396" s="31" t="s">
        <v>16244</v>
      </c>
      <c r="F4396" s="31" t="s">
        <v>31</v>
      </c>
      <c r="G4396" s="31">
        <v>640</v>
      </c>
      <c r="H4396" s="31">
        <v>10</v>
      </c>
      <c r="I4396" s="31">
        <v>14</v>
      </c>
      <c r="J4396" s="31" t="s">
        <v>16245</v>
      </c>
      <c r="K4396" s="31" t="s">
        <v>33</v>
      </c>
      <c r="L4396" s="31" t="s">
        <v>34</v>
      </c>
      <c r="M4396" s="31">
        <v>447</v>
      </c>
      <c r="N4396" s="31">
        <v>2023</v>
      </c>
      <c r="O4396" s="31">
        <v>376</v>
      </c>
      <c r="P4396" s="31"/>
      <c r="Q4396" s="31"/>
      <c r="R4396" s="33" t="s">
        <v>16246</v>
      </c>
      <c r="S4396" s="34" t="str">
        <f>HYPERLINK("http://www.cnpol.ru/covers/20725.jpg","фото на сайте")</f>
        <v>фото на сайте</v>
      </c>
    </row>
    <row r="4397" spans="1:19" ht="50.1" customHeight="1">
      <c r="A4397" s="31" t="s">
        <v>35</v>
      </c>
      <c r="B4397" s="32" t="s">
        <v>16247</v>
      </c>
      <c r="C4397" s="31" t="s">
        <v>2056</v>
      </c>
      <c r="D4397" s="31" t="s">
        <v>16248</v>
      </c>
      <c r="E4397" s="31" t="s">
        <v>16249</v>
      </c>
      <c r="F4397" s="31" t="s">
        <v>31</v>
      </c>
      <c r="G4397" s="35">
        <v>1088</v>
      </c>
      <c r="H4397" s="31">
        <v>10</v>
      </c>
      <c r="I4397" s="31">
        <v>10</v>
      </c>
      <c r="J4397" s="31" t="s">
        <v>16250</v>
      </c>
      <c r="K4397" s="31" t="s">
        <v>33</v>
      </c>
      <c r="L4397" s="31" t="s">
        <v>34</v>
      </c>
      <c r="M4397" s="31">
        <v>415</v>
      </c>
      <c r="N4397" s="31">
        <v>2024</v>
      </c>
      <c r="O4397" s="31">
        <v>468</v>
      </c>
      <c r="P4397" s="31"/>
      <c r="Q4397" s="31"/>
      <c r="R4397" s="33" t="s">
        <v>16251</v>
      </c>
      <c r="S4397" s="34" t="str">
        <f>HYPERLINK("http://www.cnpol.ru/covers/21221.jpg","фото на сайте")</f>
        <v>фото на сайте</v>
      </c>
    </row>
    <row r="4398" spans="1:19" ht="50.1" customHeight="1">
      <c r="A4398" s="31"/>
      <c r="B4398" s="32" t="s">
        <v>16252</v>
      </c>
      <c r="C4398" s="31" t="s">
        <v>1594</v>
      </c>
      <c r="D4398" s="31" t="s">
        <v>10014</v>
      </c>
      <c r="E4398" s="31" t="s">
        <v>16253</v>
      </c>
      <c r="F4398" s="31" t="s">
        <v>31</v>
      </c>
      <c r="G4398" s="31">
        <v>169</v>
      </c>
      <c r="H4398" s="31">
        <v>10</v>
      </c>
      <c r="I4398" s="31">
        <v>8</v>
      </c>
      <c r="J4398" s="31" t="s">
        <v>16254</v>
      </c>
      <c r="K4398" s="31" t="s">
        <v>55</v>
      </c>
      <c r="L4398" s="31" t="s">
        <v>56</v>
      </c>
      <c r="M4398" s="31">
        <v>319</v>
      </c>
      <c r="N4398" s="31">
        <v>2022</v>
      </c>
      <c r="O4398" s="31">
        <v>163</v>
      </c>
      <c r="P4398" s="31"/>
      <c r="Q4398" s="31"/>
      <c r="R4398" s="33" t="s">
        <v>16255</v>
      </c>
      <c r="S4398" s="34" t="str">
        <f>HYPERLINK("http://www.cnpol.ru/covers/20418.jpg","фото на сайте")</f>
        <v>фото на сайте</v>
      </c>
    </row>
    <row r="4399" spans="1:19" ht="50.1" customHeight="1">
      <c r="A4399" s="31"/>
      <c r="B4399" s="32" t="s">
        <v>16256</v>
      </c>
      <c r="C4399" s="31" t="s">
        <v>400</v>
      </c>
      <c r="D4399" s="31" t="s">
        <v>13770</v>
      </c>
      <c r="E4399" s="31" t="s">
        <v>16257</v>
      </c>
      <c r="F4399" s="31" t="s">
        <v>31</v>
      </c>
      <c r="G4399" s="31">
        <v>503</v>
      </c>
      <c r="H4399" s="31">
        <v>10</v>
      </c>
      <c r="I4399" s="31">
        <v>14</v>
      </c>
      <c r="J4399" s="31" t="s">
        <v>16258</v>
      </c>
      <c r="K4399" s="31" t="s">
        <v>33</v>
      </c>
      <c r="L4399" s="31" t="s">
        <v>34</v>
      </c>
      <c r="M4399" s="31">
        <v>288</v>
      </c>
      <c r="N4399" s="31">
        <v>2020</v>
      </c>
      <c r="O4399" s="31">
        <v>258</v>
      </c>
      <c r="P4399" s="31"/>
      <c r="Q4399" s="31"/>
      <c r="R4399" s="33"/>
      <c r="S4399" s="34" t="str">
        <f>HYPERLINK("http://www.cnpol.ru/covers/19111.jpg","фото на сайте")</f>
        <v>фото на сайте</v>
      </c>
    </row>
    <row r="4400" spans="1:19" ht="50.1" customHeight="1">
      <c r="A4400" s="31" t="s">
        <v>43</v>
      </c>
      <c r="B4400" s="32" t="s">
        <v>16259</v>
      </c>
      <c r="C4400" s="31" t="s">
        <v>408</v>
      </c>
      <c r="D4400" s="31" t="s">
        <v>16260</v>
      </c>
      <c r="E4400" s="31" t="s">
        <v>16261</v>
      </c>
      <c r="F4400" s="31" t="s">
        <v>31</v>
      </c>
      <c r="G4400" s="31">
        <v>640</v>
      </c>
      <c r="H4400" s="31">
        <v>10</v>
      </c>
      <c r="I4400" s="31">
        <v>20</v>
      </c>
      <c r="J4400" s="31" t="s">
        <v>16262</v>
      </c>
      <c r="K4400" s="31" t="s">
        <v>33</v>
      </c>
      <c r="L4400" s="31" t="s">
        <v>34</v>
      </c>
      <c r="M4400" s="31">
        <v>223</v>
      </c>
      <c r="N4400" s="31">
        <v>2024</v>
      </c>
      <c r="O4400" s="31">
        <v>175</v>
      </c>
      <c r="P4400" s="31"/>
      <c r="Q4400" s="31"/>
      <c r="R4400" s="33" t="s">
        <v>16263</v>
      </c>
      <c r="S4400" s="34" t="str">
        <f>HYPERLINK("http://www.cnpol.ru/covers/21042.jpg","фото на сайте")</f>
        <v>фото на сайте</v>
      </c>
    </row>
    <row r="4401" spans="1:19" ht="50.1" customHeight="1">
      <c r="A4401" s="31"/>
      <c r="B4401" s="32" t="s">
        <v>16264</v>
      </c>
      <c r="C4401" s="31" t="s">
        <v>546</v>
      </c>
      <c r="D4401" s="31" t="s">
        <v>1581</v>
      </c>
      <c r="E4401" s="31" t="s">
        <v>16265</v>
      </c>
      <c r="F4401" s="31">
        <v>279</v>
      </c>
      <c r="G4401" s="31">
        <v>93</v>
      </c>
      <c r="H4401" s="31">
        <v>10</v>
      </c>
      <c r="I4401" s="31">
        <v>30</v>
      </c>
      <c r="J4401" s="31" t="s">
        <v>16266</v>
      </c>
      <c r="K4401" s="31" t="s">
        <v>123</v>
      </c>
      <c r="L4401" s="31" t="s">
        <v>56</v>
      </c>
      <c r="M4401" s="31">
        <v>160</v>
      </c>
      <c r="N4401" s="31">
        <v>2018</v>
      </c>
      <c r="O4401" s="31">
        <v>76</v>
      </c>
      <c r="P4401" s="31"/>
      <c r="Q4401" s="31"/>
      <c r="R4401" s="33"/>
      <c r="S4401" s="34" t="str">
        <f>HYPERLINK("http://www.cnpol.ru/covers/18317.jpg","фото на сайте")</f>
        <v>фото на сайте</v>
      </c>
    </row>
    <row r="4402" spans="1:19" ht="50.1" customHeight="1">
      <c r="A4402" s="31"/>
      <c r="B4402" s="32" t="s">
        <v>16267</v>
      </c>
      <c r="C4402" s="31" t="s">
        <v>7440</v>
      </c>
      <c r="D4402" s="31" t="s">
        <v>16268</v>
      </c>
      <c r="E4402" s="31" t="s">
        <v>16269</v>
      </c>
      <c r="F4402" s="31" t="s">
        <v>31</v>
      </c>
      <c r="G4402" s="31">
        <v>228</v>
      </c>
      <c r="H4402" s="31">
        <v>10</v>
      </c>
      <c r="I4402" s="31">
        <v>14</v>
      </c>
      <c r="J4402" s="31" t="s">
        <v>16270</v>
      </c>
      <c r="K4402" s="31" t="s">
        <v>739</v>
      </c>
      <c r="L4402" s="31" t="s">
        <v>34</v>
      </c>
      <c r="M4402" s="31">
        <v>286</v>
      </c>
      <c r="N4402" s="31">
        <v>2002</v>
      </c>
      <c r="O4402" s="31">
        <v>188</v>
      </c>
      <c r="P4402" s="31"/>
      <c r="Q4402" s="31"/>
      <c r="R4402" s="33"/>
      <c r="S4402" s="34" t="str">
        <f>HYPERLINK("http://www.cnpol.ru/covers/3455.jpg","фото на сайте")</f>
        <v>фото на сайте</v>
      </c>
    </row>
    <row r="4403" spans="1:19" ht="50.1" customHeight="1">
      <c r="A4403" s="31" t="s">
        <v>35</v>
      </c>
      <c r="B4403" s="32" t="s">
        <v>16271</v>
      </c>
      <c r="C4403" s="31" t="s">
        <v>643</v>
      </c>
      <c r="D4403" s="31" t="s">
        <v>16272</v>
      </c>
      <c r="E4403" s="31" t="s">
        <v>16273</v>
      </c>
      <c r="F4403" s="31" t="s">
        <v>31</v>
      </c>
      <c r="G4403" s="31">
        <v>880</v>
      </c>
      <c r="H4403" s="31">
        <v>10</v>
      </c>
      <c r="I4403" s="31">
        <v>5</v>
      </c>
      <c r="J4403" s="31" t="s">
        <v>16274</v>
      </c>
      <c r="K4403" s="31" t="s">
        <v>33</v>
      </c>
      <c r="L4403" s="31" t="s">
        <v>34</v>
      </c>
      <c r="M4403" s="31">
        <v>319</v>
      </c>
      <c r="N4403" s="31">
        <v>2025</v>
      </c>
      <c r="O4403" s="31" t="s">
        <v>220</v>
      </c>
      <c r="P4403" s="31"/>
      <c r="Q4403" s="31"/>
      <c r="R4403" s="33" t="s">
        <v>16275</v>
      </c>
      <c r="S4403" s="34" t="str">
        <f>HYPERLINK("http://www.cnpol.ru/covers/21588.jpg","фото на сайте")</f>
        <v>фото на сайте</v>
      </c>
    </row>
    <row r="4404" spans="1:19" ht="50.1" customHeight="1">
      <c r="A4404" s="31"/>
      <c r="B4404" s="32" t="s">
        <v>16276</v>
      </c>
      <c r="C4404" s="31" t="s">
        <v>1940</v>
      </c>
      <c r="D4404" s="31" t="s">
        <v>1935</v>
      </c>
      <c r="E4404" s="31" t="s">
        <v>16277</v>
      </c>
      <c r="F4404" s="31" t="s">
        <v>31</v>
      </c>
      <c r="G4404" s="31">
        <v>154</v>
      </c>
      <c r="H4404" s="31">
        <v>10</v>
      </c>
      <c r="I4404" s="31">
        <v>20</v>
      </c>
      <c r="J4404" s="31" t="s">
        <v>16278</v>
      </c>
      <c r="K4404" s="31" t="s">
        <v>55</v>
      </c>
      <c r="L4404" s="31" t="s">
        <v>56</v>
      </c>
      <c r="M4404" s="31">
        <v>382</v>
      </c>
      <c r="N4404" s="31">
        <v>2008</v>
      </c>
      <c r="O4404" s="31" t="s">
        <v>220</v>
      </c>
      <c r="P4404" s="31"/>
      <c r="Q4404" s="31"/>
      <c r="R4404" s="33"/>
      <c r="S4404" s="34" t="str">
        <f>HYPERLINK("http://www.cnpol.ru/covers/10362.jpg","фото на сайте")</f>
        <v>фото на сайте</v>
      </c>
    </row>
    <row r="4405" spans="1:19" ht="50.1" customHeight="1">
      <c r="A4405" s="31"/>
      <c r="B4405" s="32" t="s">
        <v>16279</v>
      </c>
      <c r="C4405" s="31" t="s">
        <v>6922</v>
      </c>
      <c r="D4405" s="31" t="s">
        <v>16280</v>
      </c>
      <c r="E4405" s="31" t="s">
        <v>16281</v>
      </c>
      <c r="F4405" s="31" t="s">
        <v>31</v>
      </c>
      <c r="G4405" s="31">
        <v>389</v>
      </c>
      <c r="H4405" s="31">
        <v>10</v>
      </c>
      <c r="I4405" s="31">
        <v>18</v>
      </c>
      <c r="J4405" s="31" t="s">
        <v>16282</v>
      </c>
      <c r="K4405" s="31" t="s">
        <v>55</v>
      </c>
      <c r="L4405" s="31" t="s">
        <v>34</v>
      </c>
      <c r="M4405" s="31">
        <v>288</v>
      </c>
      <c r="N4405" s="31">
        <v>2020</v>
      </c>
      <c r="O4405" s="31">
        <v>214</v>
      </c>
      <c r="P4405" s="31"/>
      <c r="Q4405" s="31"/>
      <c r="R4405" s="33"/>
      <c r="S4405" s="34" t="str">
        <f>HYPERLINK("http://www.cnpol.ru/covers/19289.jpg","фото на сайте")</f>
        <v>фото на сайте</v>
      </c>
    </row>
    <row r="4406" spans="1:19" ht="50.1" customHeight="1">
      <c r="A4406" s="31"/>
      <c r="B4406" s="32" t="s">
        <v>16283</v>
      </c>
      <c r="C4406" s="31" t="s">
        <v>7881</v>
      </c>
      <c r="D4406" s="31" t="s">
        <v>16284</v>
      </c>
      <c r="E4406" s="31" t="s">
        <v>16285</v>
      </c>
      <c r="F4406" s="31" t="s">
        <v>31</v>
      </c>
      <c r="G4406" s="31">
        <v>88</v>
      </c>
      <c r="H4406" s="31">
        <v>10</v>
      </c>
      <c r="I4406" s="31">
        <v>30</v>
      </c>
      <c r="J4406" s="31" t="s">
        <v>16286</v>
      </c>
      <c r="K4406" s="31" t="s">
        <v>55</v>
      </c>
      <c r="L4406" s="31" t="s">
        <v>56</v>
      </c>
      <c r="M4406" s="31">
        <v>207</v>
      </c>
      <c r="N4406" s="31">
        <v>2007</v>
      </c>
      <c r="O4406" s="31">
        <v>82</v>
      </c>
      <c r="P4406" s="31"/>
      <c r="Q4406" s="31"/>
      <c r="R4406" s="33"/>
      <c r="S4406" s="34" t="str">
        <f>HYPERLINK("http://www.cnpol.ru/covers/6444.jpg","фото на сайте")</f>
        <v>фото на сайте</v>
      </c>
    </row>
    <row r="4407" spans="1:19" ht="50.1" customHeight="1">
      <c r="A4407" s="31"/>
      <c r="B4407" s="32" t="s">
        <v>16287</v>
      </c>
      <c r="C4407" s="31" t="s">
        <v>28</v>
      </c>
      <c r="D4407" s="31" t="s">
        <v>16288</v>
      </c>
      <c r="E4407" s="31" t="s">
        <v>16289</v>
      </c>
      <c r="F4407" s="31" t="s">
        <v>31</v>
      </c>
      <c r="G4407" s="31">
        <v>575</v>
      </c>
      <c r="H4407" s="31">
        <v>10</v>
      </c>
      <c r="I4407" s="31">
        <v>20</v>
      </c>
      <c r="J4407" s="31" t="s">
        <v>16290</v>
      </c>
      <c r="K4407" s="31" t="s">
        <v>1159</v>
      </c>
      <c r="L4407" s="31" t="s">
        <v>34</v>
      </c>
      <c r="M4407" s="31">
        <v>255</v>
      </c>
      <c r="N4407" s="31">
        <v>2013</v>
      </c>
      <c r="O4407" s="31">
        <v>298</v>
      </c>
      <c r="P4407" s="31"/>
      <c r="Q4407" s="31"/>
      <c r="R4407" s="33"/>
      <c r="S4407" s="34" t="str">
        <f>HYPERLINK("http://www.cnpol.ru/covers/14466.jpg","фото на сайте")</f>
        <v>фото на сайте</v>
      </c>
    </row>
    <row r="4408" spans="1:19" ht="50.1" customHeight="1">
      <c r="A4408" s="31"/>
      <c r="B4408" s="32" t="s">
        <v>16291</v>
      </c>
      <c r="C4408" s="31" t="s">
        <v>538</v>
      </c>
      <c r="D4408" s="31" t="s">
        <v>7349</v>
      </c>
      <c r="E4408" s="31" t="s">
        <v>16292</v>
      </c>
      <c r="F4408" s="31" t="s">
        <v>31</v>
      </c>
      <c r="G4408" s="31">
        <v>559</v>
      </c>
      <c r="H4408" s="31">
        <v>10</v>
      </c>
      <c r="I4408" s="31">
        <v>10</v>
      </c>
      <c r="J4408" s="31" t="s">
        <v>16293</v>
      </c>
      <c r="K4408" s="31" t="s">
        <v>33</v>
      </c>
      <c r="L4408" s="31" t="s">
        <v>34</v>
      </c>
      <c r="M4408" s="31">
        <v>412</v>
      </c>
      <c r="N4408" s="31">
        <v>2009</v>
      </c>
      <c r="O4408" s="31">
        <v>392</v>
      </c>
      <c r="P4408" s="31"/>
      <c r="Q4408" s="31"/>
      <c r="R4408" s="33"/>
      <c r="S4408" s="34" t="str">
        <f>HYPERLINK("http://www.cnpol.ru/covers/11000.jpg","фото на сайте")</f>
        <v>фото на сайте</v>
      </c>
    </row>
    <row r="4409" spans="1:19" ht="50.1" customHeight="1">
      <c r="A4409" s="31"/>
      <c r="B4409" s="32" t="s">
        <v>16294</v>
      </c>
      <c r="C4409" s="31" t="s">
        <v>4248</v>
      </c>
      <c r="D4409" s="31" t="s">
        <v>5474</v>
      </c>
      <c r="E4409" s="31" t="s">
        <v>16295</v>
      </c>
      <c r="F4409" s="31" t="s">
        <v>31</v>
      </c>
      <c r="G4409" s="31">
        <v>486</v>
      </c>
      <c r="H4409" s="31">
        <v>10</v>
      </c>
      <c r="I4409" s="31">
        <v>12</v>
      </c>
      <c r="J4409" s="31" t="s">
        <v>16296</v>
      </c>
      <c r="K4409" s="31" t="s">
        <v>158</v>
      </c>
      <c r="L4409" s="31" t="s">
        <v>34</v>
      </c>
      <c r="M4409" s="31">
        <v>347</v>
      </c>
      <c r="N4409" s="31">
        <v>2013</v>
      </c>
      <c r="O4409" s="31">
        <v>250</v>
      </c>
      <c r="P4409" s="31"/>
      <c r="Q4409" s="31"/>
      <c r="R4409" s="33"/>
      <c r="S4409" s="34" t="str">
        <f>HYPERLINK("http://www.cnpol.ru/covers/14154.jpg","фото на сайте")</f>
        <v>фото на сайте</v>
      </c>
    </row>
    <row r="4410" spans="1:19" ht="50.1" customHeight="1">
      <c r="A4410" s="31" t="s">
        <v>35</v>
      </c>
      <c r="B4410" s="32" t="s">
        <v>16297</v>
      </c>
      <c r="C4410" s="31" t="s">
        <v>297</v>
      </c>
      <c r="D4410" s="31" t="s">
        <v>5474</v>
      </c>
      <c r="E4410" s="31" t="s">
        <v>16295</v>
      </c>
      <c r="F4410" s="31" t="s">
        <v>31</v>
      </c>
      <c r="G4410" s="31">
        <v>300</v>
      </c>
      <c r="H4410" s="31">
        <v>10</v>
      </c>
      <c r="I4410" s="31">
        <v>9</v>
      </c>
      <c r="J4410" s="31" t="s">
        <v>16298</v>
      </c>
      <c r="K4410" s="31" t="s">
        <v>300</v>
      </c>
      <c r="L4410" s="31" t="s">
        <v>56</v>
      </c>
      <c r="M4410" s="31">
        <v>287</v>
      </c>
      <c r="N4410" s="31">
        <v>2024</v>
      </c>
      <c r="O4410" s="31" t="s">
        <v>220</v>
      </c>
      <c r="P4410" s="31"/>
      <c r="Q4410" s="31"/>
      <c r="R4410" s="33" t="s">
        <v>16299</v>
      </c>
      <c r="S4410" s="34" t="str">
        <f>HYPERLINK("http://www.cnpol.ru/covers/21612.jpg","фото на сайте")</f>
        <v>фото на сайте</v>
      </c>
    </row>
    <row r="4411" spans="1:19" ht="50.1" customHeight="1">
      <c r="A4411" s="31"/>
      <c r="B4411" s="32" t="s">
        <v>16300</v>
      </c>
      <c r="C4411" s="31" t="s">
        <v>16301</v>
      </c>
      <c r="D4411" s="31" t="s">
        <v>16302</v>
      </c>
      <c r="E4411" s="31" t="s">
        <v>16303</v>
      </c>
      <c r="F4411" s="31" t="s">
        <v>31</v>
      </c>
      <c r="G4411" s="31">
        <v>386</v>
      </c>
      <c r="H4411" s="31">
        <v>10</v>
      </c>
      <c r="I4411" s="31">
        <v>10</v>
      </c>
      <c r="J4411" s="31" t="s">
        <v>16304</v>
      </c>
      <c r="K4411" s="31" t="s">
        <v>33</v>
      </c>
      <c r="L4411" s="31" t="s">
        <v>210</v>
      </c>
      <c r="M4411" s="31">
        <v>416</v>
      </c>
      <c r="N4411" s="31">
        <v>2018</v>
      </c>
      <c r="O4411" s="31">
        <v>242</v>
      </c>
      <c r="P4411" s="31"/>
      <c r="Q4411" s="31"/>
      <c r="R4411" s="33"/>
      <c r="S4411" s="34" t="str">
        <f>HYPERLINK("http://www.cnpol.ru/covers/18087.jpg","фото на сайте")</f>
        <v>фото на сайте</v>
      </c>
    </row>
    <row r="4412" spans="1:19" ht="50.1" customHeight="1">
      <c r="A4412" s="31"/>
      <c r="B4412" s="32" t="s">
        <v>16305</v>
      </c>
      <c r="C4412" s="31" t="s">
        <v>16301</v>
      </c>
      <c r="D4412" s="31" t="s">
        <v>16302</v>
      </c>
      <c r="E4412" s="31" t="s">
        <v>16306</v>
      </c>
      <c r="F4412" s="31" t="s">
        <v>31</v>
      </c>
      <c r="G4412" s="31">
        <v>386</v>
      </c>
      <c r="H4412" s="31">
        <v>10</v>
      </c>
      <c r="I4412" s="31">
        <v>10</v>
      </c>
      <c r="J4412" s="31" t="s">
        <v>16307</v>
      </c>
      <c r="K4412" s="31" t="s">
        <v>33</v>
      </c>
      <c r="L4412" s="31" t="s">
        <v>210</v>
      </c>
      <c r="M4412" s="31">
        <v>416</v>
      </c>
      <c r="N4412" s="31">
        <v>2017</v>
      </c>
      <c r="O4412" s="31">
        <v>252</v>
      </c>
      <c r="P4412" s="31"/>
      <c r="Q4412" s="31"/>
      <c r="R4412" s="33"/>
      <c r="S4412" s="34" t="str">
        <f>HYPERLINK("http://www.cnpol.ru/covers/17876.jpg","фото на сайте")</f>
        <v>фото на сайте</v>
      </c>
    </row>
    <row r="4413" spans="1:19" ht="50.1" customHeight="1">
      <c r="A4413" s="31"/>
      <c r="B4413" s="32" t="s">
        <v>16308</v>
      </c>
      <c r="C4413" s="31" t="s">
        <v>1338</v>
      </c>
      <c r="D4413" s="31" t="s">
        <v>5956</v>
      </c>
      <c r="E4413" s="31" t="s">
        <v>16309</v>
      </c>
      <c r="F4413" s="31" t="s">
        <v>31</v>
      </c>
      <c r="G4413" s="31">
        <v>154</v>
      </c>
      <c r="H4413" s="31">
        <v>10</v>
      </c>
      <c r="I4413" s="31">
        <v>40</v>
      </c>
      <c r="J4413" s="31" t="s">
        <v>16310</v>
      </c>
      <c r="K4413" s="31" t="s">
        <v>55</v>
      </c>
      <c r="L4413" s="31" t="s">
        <v>56</v>
      </c>
      <c r="M4413" s="31">
        <v>286</v>
      </c>
      <c r="N4413" s="31">
        <v>2010</v>
      </c>
      <c r="O4413" s="31">
        <v>124</v>
      </c>
      <c r="P4413" s="31"/>
      <c r="Q4413" s="31"/>
      <c r="R4413" s="33"/>
      <c r="S4413" s="34" t="str">
        <f>HYPERLINK("http://www.cnpol.ru/covers/12305.jpg","фото на сайте")</f>
        <v>фото на сайте</v>
      </c>
    </row>
    <row r="4414" spans="1:19" ht="50.1" customHeight="1">
      <c r="A4414" s="31"/>
      <c r="B4414" s="32" t="s">
        <v>16311</v>
      </c>
      <c r="C4414" s="31" t="s">
        <v>16301</v>
      </c>
      <c r="D4414" s="31" t="s">
        <v>16302</v>
      </c>
      <c r="E4414" s="31" t="s">
        <v>16312</v>
      </c>
      <c r="F4414" s="31" t="s">
        <v>31</v>
      </c>
      <c r="G4414" s="31">
        <v>386</v>
      </c>
      <c r="H4414" s="31">
        <v>10</v>
      </c>
      <c r="I4414" s="31">
        <v>10</v>
      </c>
      <c r="J4414" s="31" t="s">
        <v>16313</v>
      </c>
      <c r="K4414" s="31" t="s">
        <v>33</v>
      </c>
      <c r="L4414" s="31" t="s">
        <v>210</v>
      </c>
      <c r="M4414" s="31">
        <v>416</v>
      </c>
      <c r="N4414" s="31">
        <v>2018</v>
      </c>
      <c r="O4414" s="31">
        <v>252</v>
      </c>
      <c r="P4414" s="31"/>
      <c r="Q4414" s="31"/>
      <c r="R4414" s="33"/>
      <c r="S4414" s="34" t="str">
        <f>HYPERLINK("http://www.cnpol.ru/covers/18059.jpg","фото на сайте")</f>
        <v>фото на сайте</v>
      </c>
    </row>
    <row r="4415" spans="1:19" ht="50.1" customHeight="1">
      <c r="A4415" s="31"/>
      <c r="B4415" s="32" t="s">
        <v>16314</v>
      </c>
      <c r="C4415" s="31" t="s">
        <v>5756</v>
      </c>
      <c r="D4415" s="31" t="s">
        <v>5757</v>
      </c>
      <c r="E4415" s="31" t="s">
        <v>16315</v>
      </c>
      <c r="F4415" s="31" t="s">
        <v>31</v>
      </c>
      <c r="G4415" s="31">
        <v>275</v>
      </c>
      <c r="H4415" s="31">
        <v>10</v>
      </c>
      <c r="I4415" s="31">
        <v>28</v>
      </c>
      <c r="J4415" s="31" t="s">
        <v>16316</v>
      </c>
      <c r="K4415" s="31" t="s">
        <v>123</v>
      </c>
      <c r="L4415" s="31" t="s">
        <v>56</v>
      </c>
      <c r="M4415" s="31">
        <v>480</v>
      </c>
      <c r="N4415" s="31">
        <v>2019</v>
      </c>
      <c r="O4415" s="31">
        <v>216</v>
      </c>
      <c r="P4415" s="31"/>
      <c r="Q4415" s="31"/>
      <c r="R4415" s="33"/>
      <c r="S4415" s="34" t="str">
        <f>HYPERLINK("http://www.cnpol.ru/covers/18464.jpg","фото на сайте")</f>
        <v>фото на сайте</v>
      </c>
    </row>
    <row r="4416" spans="1:19" ht="50.1" customHeight="1">
      <c r="A4416" s="31"/>
      <c r="B4416" s="32" t="s">
        <v>16317</v>
      </c>
      <c r="C4416" s="31" t="s">
        <v>16301</v>
      </c>
      <c r="D4416" s="31" t="s">
        <v>16302</v>
      </c>
      <c r="E4416" s="31" t="s">
        <v>16318</v>
      </c>
      <c r="F4416" s="31" t="s">
        <v>31</v>
      </c>
      <c r="G4416" s="31">
        <v>386</v>
      </c>
      <c r="H4416" s="31">
        <v>10</v>
      </c>
      <c r="I4416" s="31">
        <v>10</v>
      </c>
      <c r="J4416" s="31" t="s">
        <v>16319</v>
      </c>
      <c r="K4416" s="31" t="s">
        <v>33</v>
      </c>
      <c r="L4416" s="31" t="s">
        <v>210</v>
      </c>
      <c r="M4416" s="31">
        <v>416</v>
      </c>
      <c r="N4416" s="31">
        <v>2018</v>
      </c>
      <c r="O4416" s="31">
        <v>252</v>
      </c>
      <c r="P4416" s="31"/>
      <c r="Q4416" s="31"/>
      <c r="R4416" s="33"/>
      <c r="S4416" s="34" t="str">
        <f>HYPERLINK("http://www.cnpol.ru/covers/17948.jpg","фото на сайте")</f>
        <v>фото на сайте</v>
      </c>
    </row>
    <row r="4417" spans="1:19" ht="50.1" customHeight="1">
      <c r="A4417" s="31" t="s">
        <v>35</v>
      </c>
      <c r="B4417" s="32" t="s">
        <v>16320</v>
      </c>
      <c r="C4417" s="31" t="s">
        <v>37</v>
      </c>
      <c r="D4417" s="31" t="s">
        <v>16321</v>
      </c>
      <c r="E4417" s="31" t="s">
        <v>16322</v>
      </c>
      <c r="F4417" s="31" t="s">
        <v>31</v>
      </c>
      <c r="G4417" s="35">
        <v>1125</v>
      </c>
      <c r="H4417" s="31">
        <v>10</v>
      </c>
      <c r="I4417" s="31">
        <v>10</v>
      </c>
      <c r="J4417" s="31" t="s">
        <v>16323</v>
      </c>
      <c r="K4417" s="31" t="s">
        <v>33</v>
      </c>
      <c r="L4417" s="31" t="s">
        <v>34</v>
      </c>
      <c r="M4417" s="31">
        <v>448</v>
      </c>
      <c r="N4417" s="31">
        <v>2024</v>
      </c>
      <c r="O4417" s="31">
        <v>489</v>
      </c>
      <c r="P4417" s="31"/>
      <c r="Q4417" s="31"/>
      <c r="R4417" s="33" t="s">
        <v>16324</v>
      </c>
      <c r="S4417" s="34" t="str">
        <f>HYPERLINK("http://www.cnpol.ru/covers/21187.jpg","фото на сайте")</f>
        <v>фото на сайте</v>
      </c>
    </row>
    <row r="4418" spans="1:19" ht="50.1" customHeight="1">
      <c r="A4418" s="31"/>
      <c r="B4418" s="32" t="s">
        <v>16325</v>
      </c>
      <c r="C4418" s="31" t="s">
        <v>1323</v>
      </c>
      <c r="D4418" s="31" t="s">
        <v>10569</v>
      </c>
      <c r="E4418" s="31" t="s">
        <v>16326</v>
      </c>
      <c r="F4418" s="31" t="s">
        <v>31</v>
      </c>
      <c r="G4418" s="31">
        <v>169</v>
      </c>
      <c r="H4418" s="31">
        <v>10</v>
      </c>
      <c r="I4418" s="31">
        <v>16</v>
      </c>
      <c r="J4418" s="31" t="s">
        <v>16327</v>
      </c>
      <c r="K4418" s="31" t="s">
        <v>55</v>
      </c>
      <c r="L4418" s="31" t="s">
        <v>56</v>
      </c>
      <c r="M4418" s="31">
        <v>288</v>
      </c>
      <c r="N4418" s="31">
        <v>2020</v>
      </c>
      <c r="O4418" s="31">
        <v>124</v>
      </c>
      <c r="P4418" s="31"/>
      <c r="Q4418" s="31"/>
      <c r="R4418" s="33"/>
      <c r="S4418" s="34" t="str">
        <f>HYPERLINK("http://www.cnpol.ru/covers/19344.jpg","фото на сайте")</f>
        <v>фото на сайте</v>
      </c>
    </row>
    <row r="4419" spans="1:19" ht="50.1" customHeight="1">
      <c r="A4419" s="31"/>
      <c r="B4419" s="32" t="s">
        <v>16328</v>
      </c>
      <c r="C4419" s="31" t="s">
        <v>4248</v>
      </c>
      <c r="D4419" s="31" t="s">
        <v>15919</v>
      </c>
      <c r="E4419" s="31" t="s">
        <v>16329</v>
      </c>
      <c r="F4419" s="31" t="s">
        <v>31</v>
      </c>
      <c r="G4419" s="31">
        <v>425</v>
      </c>
      <c r="H4419" s="31">
        <v>10</v>
      </c>
      <c r="I4419" s="31">
        <v>16</v>
      </c>
      <c r="J4419" s="31" t="s">
        <v>16330</v>
      </c>
      <c r="K4419" s="31" t="s">
        <v>158</v>
      </c>
      <c r="L4419" s="31" t="s">
        <v>34</v>
      </c>
      <c r="M4419" s="31">
        <v>285</v>
      </c>
      <c r="N4419" s="31">
        <v>2010</v>
      </c>
      <c r="O4419" s="31">
        <v>272</v>
      </c>
      <c r="P4419" s="31"/>
      <c r="Q4419" s="31"/>
      <c r="R4419" s="33"/>
      <c r="S4419" s="34" t="str">
        <f>HYPERLINK("http://www.cnpol.ru/covers/12369.jpg","фото на сайте")</f>
        <v>фото на сайте</v>
      </c>
    </row>
    <row r="4420" spans="1:19" ht="50.1" customHeight="1">
      <c r="A4420" s="31"/>
      <c r="B4420" s="32" t="s">
        <v>16331</v>
      </c>
      <c r="C4420" s="31" t="s">
        <v>4151</v>
      </c>
      <c r="D4420" s="31" t="s">
        <v>16332</v>
      </c>
      <c r="E4420" s="31" t="s">
        <v>16333</v>
      </c>
      <c r="F4420" s="31" t="s">
        <v>31</v>
      </c>
      <c r="G4420" s="31">
        <v>88</v>
      </c>
      <c r="H4420" s="31">
        <v>10</v>
      </c>
      <c r="I4420" s="31">
        <v>30</v>
      </c>
      <c r="J4420" s="31" t="s">
        <v>16334</v>
      </c>
      <c r="K4420" s="31" t="s">
        <v>55</v>
      </c>
      <c r="L4420" s="31" t="s">
        <v>56</v>
      </c>
      <c r="M4420" s="31">
        <v>205</v>
      </c>
      <c r="N4420" s="31">
        <v>2004</v>
      </c>
      <c r="O4420" s="31">
        <v>86</v>
      </c>
      <c r="P4420" s="31"/>
      <c r="Q4420" s="31"/>
      <c r="R4420" s="33"/>
      <c r="S4420" s="34" t="str">
        <f>HYPERLINK("http://www.cnpol.ru/covers/4706.jpg","фото на сайте")</f>
        <v>фото на сайте</v>
      </c>
    </row>
    <row r="4421" spans="1:19" ht="50.1" customHeight="1">
      <c r="A4421" s="31"/>
      <c r="B4421" s="32" t="s">
        <v>16335</v>
      </c>
      <c r="C4421" s="31" t="s">
        <v>4151</v>
      </c>
      <c r="D4421" s="31" t="s">
        <v>16332</v>
      </c>
      <c r="E4421" s="31" t="s">
        <v>16333</v>
      </c>
      <c r="F4421" s="31" t="s">
        <v>31</v>
      </c>
      <c r="G4421" s="31">
        <v>46</v>
      </c>
      <c r="H4421" s="31">
        <v>10</v>
      </c>
      <c r="I4421" s="31">
        <v>22</v>
      </c>
      <c r="J4421" s="31" t="s">
        <v>16334</v>
      </c>
      <c r="K4421" s="31" t="s">
        <v>55</v>
      </c>
      <c r="L4421" s="31" t="s">
        <v>56</v>
      </c>
      <c r="M4421" s="31" t="s">
        <v>431</v>
      </c>
      <c r="N4421" s="31" t="s">
        <v>431</v>
      </c>
      <c r="O4421" s="31" t="s">
        <v>220</v>
      </c>
      <c r="P4421" s="31"/>
      <c r="Q4421" s="31"/>
      <c r="R4421" s="33"/>
      <c r="S4421" s="34" t="str">
        <f>HYPERLINK("http://www.cnpol.ru/covers/3596.jpg","фото на сайте")</f>
        <v>фото на сайте</v>
      </c>
    </row>
    <row r="4422" spans="1:19" ht="50.1" customHeight="1">
      <c r="A4422" s="31"/>
      <c r="B4422" s="32" t="s">
        <v>16336</v>
      </c>
      <c r="C4422" s="31" t="s">
        <v>16301</v>
      </c>
      <c r="D4422" s="31" t="s">
        <v>16302</v>
      </c>
      <c r="E4422" s="31" t="s">
        <v>16337</v>
      </c>
      <c r="F4422" s="31" t="s">
        <v>31</v>
      </c>
      <c r="G4422" s="31">
        <v>386</v>
      </c>
      <c r="H4422" s="31">
        <v>10</v>
      </c>
      <c r="I4422" s="31">
        <v>10</v>
      </c>
      <c r="J4422" s="31" t="s">
        <v>16338</v>
      </c>
      <c r="K4422" s="31" t="s">
        <v>33</v>
      </c>
      <c r="L4422" s="31" t="s">
        <v>210</v>
      </c>
      <c r="M4422" s="31">
        <v>416</v>
      </c>
      <c r="N4422" s="31">
        <v>2018</v>
      </c>
      <c r="O4422" s="31">
        <v>252</v>
      </c>
      <c r="P4422" s="31"/>
      <c r="Q4422" s="31"/>
      <c r="R4422" s="33"/>
      <c r="S4422" s="34" t="str">
        <f>HYPERLINK("http://www.cnpol.ru/covers/17899.jpg","фото на сайте")</f>
        <v>фото на сайте</v>
      </c>
    </row>
    <row r="4423" spans="1:19" ht="50.1" customHeight="1">
      <c r="A4423" s="31"/>
      <c r="B4423" s="32" t="s">
        <v>16339</v>
      </c>
      <c r="C4423" s="31" t="s">
        <v>5756</v>
      </c>
      <c r="D4423" s="31" t="s">
        <v>5757</v>
      </c>
      <c r="E4423" s="31" t="s">
        <v>16340</v>
      </c>
      <c r="F4423" s="31" t="s">
        <v>31</v>
      </c>
      <c r="G4423" s="31">
        <v>275</v>
      </c>
      <c r="H4423" s="31">
        <v>10</v>
      </c>
      <c r="I4423" s="31">
        <v>12</v>
      </c>
      <c r="J4423" s="31" t="s">
        <v>16341</v>
      </c>
      <c r="K4423" s="31" t="s">
        <v>123</v>
      </c>
      <c r="L4423" s="31" t="s">
        <v>56</v>
      </c>
      <c r="M4423" s="31">
        <v>512</v>
      </c>
      <c r="N4423" s="31">
        <v>2019</v>
      </c>
      <c r="O4423" s="31">
        <v>234</v>
      </c>
      <c r="P4423" s="31"/>
      <c r="Q4423" s="31"/>
      <c r="R4423" s="33"/>
      <c r="S4423" s="34" t="str">
        <f>HYPERLINK("http://www.cnpol.ru/covers/18821.jpg","фото на сайте")</f>
        <v>фото на сайте</v>
      </c>
    </row>
    <row r="4424" spans="1:19" ht="50.1" customHeight="1">
      <c r="A4424" s="31"/>
      <c r="B4424" s="32" t="s">
        <v>16342</v>
      </c>
      <c r="C4424" s="31" t="s">
        <v>1685</v>
      </c>
      <c r="D4424" s="31" t="s">
        <v>1686</v>
      </c>
      <c r="E4424" s="31" t="s">
        <v>16343</v>
      </c>
      <c r="F4424" s="31" t="s">
        <v>31</v>
      </c>
      <c r="G4424" s="31">
        <v>209</v>
      </c>
      <c r="H4424" s="31">
        <v>10</v>
      </c>
      <c r="I4424" s="31">
        <v>20</v>
      </c>
      <c r="J4424" s="31" t="s">
        <v>16344</v>
      </c>
      <c r="K4424" s="31" t="s">
        <v>123</v>
      </c>
      <c r="L4424" s="31" t="s">
        <v>56</v>
      </c>
      <c r="M4424" s="31">
        <v>352</v>
      </c>
      <c r="N4424" s="31">
        <v>2017</v>
      </c>
      <c r="O4424" s="31">
        <v>160</v>
      </c>
      <c r="P4424" s="31"/>
      <c r="Q4424" s="31"/>
      <c r="R4424" s="33"/>
      <c r="S4424" s="34" t="str">
        <f>HYPERLINK("http://www.cnpol.ru/covers/17570.jpg","фото на сайте")</f>
        <v>фото на сайте</v>
      </c>
    </row>
    <row r="4425" spans="1:19" ht="50.1" customHeight="1">
      <c r="A4425" s="31"/>
      <c r="B4425" s="32" t="s">
        <v>16345</v>
      </c>
      <c r="C4425" s="31" t="s">
        <v>400</v>
      </c>
      <c r="D4425" s="31" t="s">
        <v>16346</v>
      </c>
      <c r="E4425" s="31" t="s">
        <v>16347</v>
      </c>
      <c r="F4425" s="31" t="s">
        <v>31</v>
      </c>
      <c r="G4425" s="31">
        <v>503</v>
      </c>
      <c r="H4425" s="31">
        <v>10</v>
      </c>
      <c r="I4425" s="31">
        <v>14</v>
      </c>
      <c r="J4425" s="31" t="s">
        <v>16348</v>
      </c>
      <c r="K4425" s="31" t="s">
        <v>33</v>
      </c>
      <c r="L4425" s="31" t="s">
        <v>34</v>
      </c>
      <c r="M4425" s="31">
        <v>288</v>
      </c>
      <c r="N4425" s="31">
        <v>2019</v>
      </c>
      <c r="O4425" s="31">
        <v>256</v>
      </c>
      <c r="P4425" s="31"/>
      <c r="Q4425" s="31"/>
      <c r="R4425" s="33"/>
      <c r="S4425" s="34" t="str">
        <f>HYPERLINK("http://www.cnpol.ru/covers/18745.jpg","фото на сайте")</f>
        <v>фото на сайте</v>
      </c>
    </row>
    <row r="4426" spans="1:19" ht="50.1" customHeight="1">
      <c r="A4426" s="31"/>
      <c r="B4426" s="32" t="s">
        <v>16349</v>
      </c>
      <c r="C4426" s="31" t="s">
        <v>1685</v>
      </c>
      <c r="D4426" s="31" t="s">
        <v>1686</v>
      </c>
      <c r="E4426" s="31" t="s">
        <v>16350</v>
      </c>
      <c r="F4426" s="31" t="s">
        <v>31</v>
      </c>
      <c r="G4426" s="31">
        <v>209</v>
      </c>
      <c r="H4426" s="31">
        <v>10</v>
      </c>
      <c r="I4426" s="31">
        <v>18</v>
      </c>
      <c r="J4426" s="31" t="s">
        <v>16351</v>
      </c>
      <c r="K4426" s="31" t="s">
        <v>123</v>
      </c>
      <c r="L4426" s="31" t="s">
        <v>56</v>
      </c>
      <c r="M4426" s="31">
        <v>384</v>
      </c>
      <c r="N4426" s="31">
        <v>2016</v>
      </c>
      <c r="O4426" s="31">
        <v>176</v>
      </c>
      <c r="P4426" s="31"/>
      <c r="Q4426" s="31"/>
      <c r="R4426" s="33"/>
      <c r="S4426" s="34" t="str">
        <f>HYPERLINK("http://www.cnpol.ru/covers/17211.jpg","фото на сайте")</f>
        <v>фото на сайте</v>
      </c>
    </row>
    <row r="4427" spans="1:19" ht="50.1" customHeight="1">
      <c r="A4427" s="31"/>
      <c r="B4427" s="32" t="s">
        <v>16352</v>
      </c>
      <c r="C4427" s="31" t="s">
        <v>400</v>
      </c>
      <c r="D4427" s="31" t="s">
        <v>1369</v>
      </c>
      <c r="E4427" s="31" t="s">
        <v>16353</v>
      </c>
      <c r="F4427" s="31" t="s">
        <v>31</v>
      </c>
      <c r="G4427" s="31">
        <v>503</v>
      </c>
      <c r="H4427" s="31">
        <v>10</v>
      </c>
      <c r="I4427" s="31">
        <v>14</v>
      </c>
      <c r="J4427" s="31" t="s">
        <v>16354</v>
      </c>
      <c r="K4427" s="31" t="s">
        <v>33</v>
      </c>
      <c r="L4427" s="31" t="s">
        <v>34</v>
      </c>
      <c r="M4427" s="31">
        <v>318</v>
      </c>
      <c r="N4427" s="31">
        <v>2015</v>
      </c>
      <c r="O4427" s="31">
        <v>274</v>
      </c>
      <c r="P4427" s="31"/>
      <c r="Q4427" s="31"/>
      <c r="R4427" s="33"/>
      <c r="S4427" s="34" t="str">
        <f>HYPERLINK("http://www.cnpol.ru/covers/16115.jpg","фото на сайте")</f>
        <v>фото на сайте</v>
      </c>
    </row>
    <row r="4428" spans="1:19" ht="50.1" customHeight="1">
      <c r="A4428" s="31"/>
      <c r="B4428" s="32" t="s">
        <v>16355</v>
      </c>
      <c r="C4428" s="31" t="s">
        <v>520</v>
      </c>
      <c r="D4428" s="31" t="s">
        <v>13534</v>
      </c>
      <c r="E4428" s="31" t="s">
        <v>16356</v>
      </c>
      <c r="F4428" s="31">
        <v>74</v>
      </c>
      <c r="G4428" s="31">
        <v>117</v>
      </c>
      <c r="H4428" s="31">
        <v>10</v>
      </c>
      <c r="I4428" s="31">
        <v>30</v>
      </c>
      <c r="J4428" s="31" t="s">
        <v>16357</v>
      </c>
      <c r="K4428" s="31" t="s">
        <v>123</v>
      </c>
      <c r="L4428" s="31" t="s">
        <v>56</v>
      </c>
      <c r="M4428" s="31">
        <v>192</v>
      </c>
      <c r="N4428" s="31">
        <v>2020</v>
      </c>
      <c r="O4428" s="31">
        <v>90</v>
      </c>
      <c r="P4428" s="31"/>
      <c r="Q4428" s="31"/>
      <c r="R4428" s="33"/>
      <c r="S4428" s="34" t="str">
        <f>HYPERLINK("http://www.cnpol.ru/covers/19017.jpg","фото на сайте")</f>
        <v>фото на сайте</v>
      </c>
    </row>
    <row r="4429" spans="1:19" ht="50.1" customHeight="1">
      <c r="A4429" s="31"/>
      <c r="B4429" s="32" t="s">
        <v>16358</v>
      </c>
      <c r="C4429" s="31" t="s">
        <v>1102</v>
      </c>
      <c r="D4429" s="31" t="s">
        <v>1103</v>
      </c>
      <c r="E4429" s="31" t="s">
        <v>16359</v>
      </c>
      <c r="F4429" s="31" t="s">
        <v>31</v>
      </c>
      <c r="G4429" s="31">
        <v>593</v>
      </c>
      <c r="H4429" s="31">
        <v>10</v>
      </c>
      <c r="I4429" s="31">
        <v>16</v>
      </c>
      <c r="J4429" s="31" t="s">
        <v>16360</v>
      </c>
      <c r="K4429" s="31" t="s">
        <v>33</v>
      </c>
      <c r="L4429" s="31" t="s">
        <v>34</v>
      </c>
      <c r="M4429" s="31">
        <v>256</v>
      </c>
      <c r="N4429" s="31">
        <v>2018</v>
      </c>
      <c r="O4429" s="31">
        <v>236</v>
      </c>
      <c r="P4429" s="31"/>
      <c r="Q4429" s="31"/>
      <c r="R4429" s="33"/>
      <c r="S4429" s="34" t="str">
        <f>HYPERLINK("http://www.cnpol.ru/covers/18153.jpg","фото на сайте")</f>
        <v>фото на сайте</v>
      </c>
    </row>
    <row r="4430" spans="1:19" ht="50.1" customHeight="1">
      <c r="A4430" s="31"/>
      <c r="B4430" s="32" t="s">
        <v>16361</v>
      </c>
      <c r="C4430" s="31" t="s">
        <v>37</v>
      </c>
      <c r="D4430" s="31" t="s">
        <v>16362</v>
      </c>
      <c r="E4430" s="31" t="s">
        <v>16363</v>
      </c>
      <c r="F4430" s="31" t="s">
        <v>31</v>
      </c>
      <c r="G4430" s="31">
        <v>807</v>
      </c>
      <c r="H4430" s="31">
        <v>10</v>
      </c>
      <c r="I4430" s="31">
        <v>14</v>
      </c>
      <c r="J4430" s="31" t="s">
        <v>16364</v>
      </c>
      <c r="K4430" s="31" t="s">
        <v>33</v>
      </c>
      <c r="L4430" s="31" t="s">
        <v>34</v>
      </c>
      <c r="M4430" s="31">
        <v>255</v>
      </c>
      <c r="N4430" s="31">
        <v>2023</v>
      </c>
      <c r="O4430" s="31">
        <v>250</v>
      </c>
      <c r="P4430" s="31"/>
      <c r="Q4430" s="31"/>
      <c r="R4430" s="33" t="s">
        <v>16365</v>
      </c>
      <c r="S4430" s="34" t="str">
        <f>HYPERLINK("http://www.cnpol.ru/covers/20582.jpg","фото на сайте")</f>
        <v>фото на сайте</v>
      </c>
    </row>
    <row r="4431" spans="1:19" ht="50.1" customHeight="1">
      <c r="A4431" s="31"/>
      <c r="B4431" s="32" t="s">
        <v>16366</v>
      </c>
      <c r="C4431" s="31" t="s">
        <v>1940</v>
      </c>
      <c r="D4431" s="31" t="s">
        <v>949</v>
      </c>
      <c r="E4431" s="31" t="s">
        <v>16367</v>
      </c>
      <c r="F4431" s="31" t="s">
        <v>31</v>
      </c>
      <c r="G4431" s="31">
        <v>154</v>
      </c>
      <c r="H4431" s="31">
        <v>10</v>
      </c>
      <c r="I4431" s="31">
        <v>16</v>
      </c>
      <c r="J4431" s="31" t="s">
        <v>16368</v>
      </c>
      <c r="K4431" s="31" t="s">
        <v>55</v>
      </c>
      <c r="L4431" s="31" t="s">
        <v>56</v>
      </c>
      <c r="M4431" s="31">
        <v>350</v>
      </c>
      <c r="N4431" s="31">
        <v>2009</v>
      </c>
      <c r="O4431" s="31">
        <v>150</v>
      </c>
      <c r="P4431" s="31"/>
      <c r="Q4431" s="31"/>
      <c r="R4431" s="33"/>
      <c r="S4431" s="34" t="str">
        <f>HYPERLINK("http://www.cnpol.ru/covers/11479.jpg","фото на сайте")</f>
        <v>фото на сайте</v>
      </c>
    </row>
    <row r="4432" spans="1:19" ht="50.1" customHeight="1">
      <c r="A4432" s="31"/>
      <c r="B4432" s="32" t="s">
        <v>16369</v>
      </c>
      <c r="C4432" s="31" t="s">
        <v>390</v>
      </c>
      <c r="D4432" s="31" t="s">
        <v>1758</v>
      </c>
      <c r="E4432" s="31" t="s">
        <v>16370</v>
      </c>
      <c r="F4432" s="31">
        <v>1003</v>
      </c>
      <c r="G4432" s="31">
        <v>86</v>
      </c>
      <c r="H4432" s="31">
        <v>10</v>
      </c>
      <c r="I4432" s="31">
        <v>30</v>
      </c>
      <c r="J4432" s="31" t="s">
        <v>16371</v>
      </c>
      <c r="K4432" s="31" t="s">
        <v>123</v>
      </c>
      <c r="L4432" s="31" t="s">
        <v>56</v>
      </c>
      <c r="M4432" s="31">
        <v>160</v>
      </c>
      <c r="N4432" s="31">
        <v>2020</v>
      </c>
      <c r="O4432" s="31">
        <v>76</v>
      </c>
      <c r="P4432" s="31"/>
      <c r="Q4432" s="31"/>
      <c r="R4432" s="33"/>
      <c r="S4432" s="34" t="str">
        <f>HYPERLINK("http://www.cnpol.ru/covers/19382.jpg","фото на сайте")</f>
        <v>фото на сайте</v>
      </c>
    </row>
    <row r="4433" spans="1:19" ht="50.1" customHeight="1">
      <c r="A4433" s="31"/>
      <c r="B4433" s="32" t="s">
        <v>16372</v>
      </c>
      <c r="C4433" s="31" t="s">
        <v>5849</v>
      </c>
      <c r="D4433" s="31" t="s">
        <v>386</v>
      </c>
      <c r="E4433" s="31" t="s">
        <v>16373</v>
      </c>
      <c r="F4433" s="31" t="s">
        <v>31</v>
      </c>
      <c r="G4433" s="31">
        <v>96</v>
      </c>
      <c r="H4433" s="31">
        <v>10</v>
      </c>
      <c r="I4433" s="31">
        <v>32</v>
      </c>
      <c r="J4433" s="31" t="s">
        <v>16374</v>
      </c>
      <c r="K4433" s="31" t="s">
        <v>55</v>
      </c>
      <c r="L4433" s="31" t="s">
        <v>56</v>
      </c>
      <c r="M4433" s="31">
        <v>222</v>
      </c>
      <c r="N4433" s="31">
        <v>2008</v>
      </c>
      <c r="O4433" s="31">
        <v>108</v>
      </c>
      <c r="P4433" s="31"/>
      <c r="Q4433" s="31"/>
      <c r="R4433" s="33"/>
      <c r="S4433" s="34" t="str">
        <f>HYPERLINK("http://www.cnpol.ru/covers/10428.jpg","фото на сайте")</f>
        <v>фото на сайте</v>
      </c>
    </row>
    <row r="4434" spans="1:19" ht="50.1" customHeight="1">
      <c r="A4434" s="31"/>
      <c r="B4434" s="32" t="s">
        <v>16375</v>
      </c>
      <c r="C4434" s="31" t="s">
        <v>385</v>
      </c>
      <c r="D4434" s="31" t="s">
        <v>386</v>
      </c>
      <c r="E4434" s="31" t="s">
        <v>16373</v>
      </c>
      <c r="F4434" s="31" t="s">
        <v>31</v>
      </c>
      <c r="G4434" s="31">
        <v>162</v>
      </c>
      <c r="H4434" s="31">
        <v>10</v>
      </c>
      <c r="I4434" s="31">
        <v>32</v>
      </c>
      <c r="J4434" s="31" t="s">
        <v>16376</v>
      </c>
      <c r="K4434" s="31" t="s">
        <v>55</v>
      </c>
      <c r="L4434" s="31" t="s">
        <v>56</v>
      </c>
      <c r="M4434" s="31">
        <v>222</v>
      </c>
      <c r="N4434" s="31">
        <v>2014</v>
      </c>
      <c r="O4434" s="31">
        <v>94</v>
      </c>
      <c r="P4434" s="31"/>
      <c r="Q4434" s="31"/>
      <c r="R4434" s="33"/>
      <c r="S4434" s="34" t="str">
        <f>HYPERLINK("http://www.cnpol.ru/covers/14947.jpg","фото на сайте")</f>
        <v>фото на сайте</v>
      </c>
    </row>
    <row r="4435" spans="1:19" ht="50.1" customHeight="1">
      <c r="A4435" s="31"/>
      <c r="B4435" s="32" t="s">
        <v>16377</v>
      </c>
      <c r="C4435" s="31" t="s">
        <v>385</v>
      </c>
      <c r="D4435" s="31" t="s">
        <v>386</v>
      </c>
      <c r="E4435" s="31" t="s">
        <v>16373</v>
      </c>
      <c r="F4435" s="31" t="s">
        <v>31</v>
      </c>
      <c r="G4435" s="31">
        <v>162</v>
      </c>
      <c r="H4435" s="31">
        <v>10</v>
      </c>
      <c r="I4435" s="31">
        <v>32</v>
      </c>
      <c r="J4435" s="31" t="s">
        <v>16378</v>
      </c>
      <c r="K4435" s="31" t="s">
        <v>55</v>
      </c>
      <c r="L4435" s="31" t="s">
        <v>56</v>
      </c>
      <c r="M4435" s="31">
        <v>224</v>
      </c>
      <c r="N4435" s="31">
        <v>2016</v>
      </c>
      <c r="O4435" s="31">
        <v>94</v>
      </c>
      <c r="P4435" s="31"/>
      <c r="Q4435" s="31"/>
      <c r="R4435" s="33"/>
      <c r="S4435" s="34" t="str">
        <f>HYPERLINK("http://www.cnpol.ru/covers/0166.jpg","фото на сайте")</f>
        <v>фото на сайте</v>
      </c>
    </row>
    <row r="4436" spans="1:19" ht="50.1" customHeight="1">
      <c r="A4436" s="31"/>
      <c r="B4436" s="32" t="s">
        <v>16379</v>
      </c>
      <c r="C4436" s="31" t="s">
        <v>413</v>
      </c>
      <c r="D4436" s="31" t="s">
        <v>16380</v>
      </c>
      <c r="E4436" s="31" t="s">
        <v>16381</v>
      </c>
      <c r="F4436" s="31">
        <v>72</v>
      </c>
      <c r="G4436" s="31">
        <v>117</v>
      </c>
      <c r="H4436" s="31">
        <v>10</v>
      </c>
      <c r="I4436" s="31">
        <v>36</v>
      </c>
      <c r="J4436" s="31" t="s">
        <v>16382</v>
      </c>
      <c r="K4436" s="31" t="s">
        <v>123</v>
      </c>
      <c r="L4436" s="31" t="s">
        <v>56</v>
      </c>
      <c r="M4436" s="31">
        <v>190</v>
      </c>
      <c r="N4436" s="31">
        <v>2015</v>
      </c>
      <c r="O4436" s="31">
        <v>90</v>
      </c>
      <c r="P4436" s="31"/>
      <c r="Q4436" s="31"/>
      <c r="R4436" s="33"/>
      <c r="S4436" s="34" t="str">
        <f>HYPERLINK("http://www.cnpol.ru/covers/16237.jpg","фото на сайте")</f>
        <v>фото на сайте</v>
      </c>
    </row>
    <row r="4437" spans="1:19" ht="50.1" customHeight="1">
      <c r="A4437" s="31"/>
      <c r="B4437" s="32" t="s">
        <v>16383</v>
      </c>
      <c r="C4437" s="31" t="s">
        <v>464</v>
      </c>
      <c r="D4437" s="31" t="s">
        <v>2607</v>
      </c>
      <c r="E4437" s="31" t="s">
        <v>16384</v>
      </c>
      <c r="F4437" s="31" t="s">
        <v>31</v>
      </c>
      <c r="G4437" s="31">
        <v>155</v>
      </c>
      <c r="H4437" s="31">
        <v>10</v>
      </c>
      <c r="I4437" s="31">
        <v>56</v>
      </c>
      <c r="J4437" s="31" t="s">
        <v>16385</v>
      </c>
      <c r="K4437" s="31" t="s">
        <v>1725</v>
      </c>
      <c r="L4437" s="31" t="s">
        <v>1726</v>
      </c>
      <c r="M4437" s="31">
        <v>14</v>
      </c>
      <c r="N4437" s="31">
        <v>2007</v>
      </c>
      <c r="O4437" s="31">
        <v>120</v>
      </c>
      <c r="P4437" s="31"/>
      <c r="Q4437" s="31"/>
      <c r="R4437" s="33"/>
      <c r="S4437" s="34" t="str">
        <f>HYPERLINK("http://www.cnpol.ru/covers/6997.jpg","фото на сайте")</f>
        <v>фото на сайте</v>
      </c>
    </row>
    <row r="4438" spans="1:19" ht="50.1" customHeight="1">
      <c r="A4438" s="31"/>
      <c r="B4438" s="32" t="s">
        <v>16386</v>
      </c>
      <c r="C4438" s="31" t="s">
        <v>1594</v>
      </c>
      <c r="D4438" s="31" t="s">
        <v>8074</v>
      </c>
      <c r="E4438" s="31" t="s">
        <v>16387</v>
      </c>
      <c r="F4438" s="31" t="s">
        <v>31</v>
      </c>
      <c r="G4438" s="31">
        <v>169</v>
      </c>
      <c r="H4438" s="31">
        <v>10</v>
      </c>
      <c r="I4438" s="31">
        <v>40</v>
      </c>
      <c r="J4438" s="31" t="s">
        <v>16388</v>
      </c>
      <c r="K4438" s="31" t="s">
        <v>55</v>
      </c>
      <c r="L4438" s="31" t="s">
        <v>56</v>
      </c>
      <c r="M4438" s="31">
        <v>256</v>
      </c>
      <c r="N4438" s="31">
        <v>2019</v>
      </c>
      <c r="O4438" s="31">
        <v>110</v>
      </c>
      <c r="P4438" s="31"/>
      <c r="Q4438" s="31"/>
      <c r="R4438" s="33"/>
      <c r="S4438" s="34" t="str">
        <f>HYPERLINK("http://www.cnpol.ru/covers/18609.jpg","фото на сайте")</f>
        <v>фото на сайте</v>
      </c>
    </row>
    <row r="4439" spans="1:19" ht="50.1" customHeight="1">
      <c r="A4439" s="31"/>
      <c r="B4439" s="32" t="s">
        <v>16389</v>
      </c>
      <c r="C4439" s="31" t="s">
        <v>400</v>
      </c>
      <c r="D4439" s="31" t="s">
        <v>16390</v>
      </c>
      <c r="E4439" s="31" t="s">
        <v>16391</v>
      </c>
      <c r="F4439" s="31" t="s">
        <v>31</v>
      </c>
      <c r="G4439" s="31">
        <v>503</v>
      </c>
      <c r="H4439" s="31">
        <v>10</v>
      </c>
      <c r="I4439" s="31">
        <v>14</v>
      </c>
      <c r="J4439" s="31" t="s">
        <v>16392</v>
      </c>
      <c r="K4439" s="31" t="s">
        <v>33</v>
      </c>
      <c r="L4439" s="31" t="s">
        <v>34</v>
      </c>
      <c r="M4439" s="31">
        <v>288</v>
      </c>
      <c r="N4439" s="31">
        <v>2019</v>
      </c>
      <c r="O4439" s="31">
        <v>254</v>
      </c>
      <c r="P4439" s="31"/>
      <c r="Q4439" s="31"/>
      <c r="R4439" s="33"/>
      <c r="S4439" s="34" t="str">
        <f>HYPERLINK("http://www.cnpol.ru/covers/18721.jpg","фото на сайте")</f>
        <v>фото на сайте</v>
      </c>
    </row>
    <row r="4440" spans="1:19" ht="50.1" customHeight="1">
      <c r="A4440" s="31"/>
      <c r="B4440" s="32" t="s">
        <v>16393</v>
      </c>
      <c r="C4440" s="31" t="s">
        <v>1594</v>
      </c>
      <c r="D4440" s="31" t="s">
        <v>3018</v>
      </c>
      <c r="E4440" s="31" t="s">
        <v>16394</v>
      </c>
      <c r="F4440" s="31" t="s">
        <v>31</v>
      </c>
      <c r="G4440" s="31">
        <v>169</v>
      </c>
      <c r="H4440" s="31">
        <v>10</v>
      </c>
      <c r="I4440" s="31">
        <v>40</v>
      </c>
      <c r="J4440" s="31" t="s">
        <v>16395</v>
      </c>
      <c r="K4440" s="31" t="s">
        <v>55</v>
      </c>
      <c r="L4440" s="31" t="s">
        <v>56</v>
      </c>
      <c r="M4440" s="31">
        <v>256</v>
      </c>
      <c r="N4440" s="31">
        <v>2020</v>
      </c>
      <c r="O4440" s="31">
        <v>110</v>
      </c>
      <c r="P4440" s="31"/>
      <c r="Q4440" s="31"/>
      <c r="R4440" s="33"/>
      <c r="S4440" s="34" t="str">
        <f>HYPERLINK("http://www.cnpol.ru/covers/19138.jpg","фото на сайте")</f>
        <v>фото на сайте</v>
      </c>
    </row>
    <row r="4441" spans="1:19" ht="50.1" customHeight="1">
      <c r="A4441" s="31"/>
      <c r="B4441" s="32" t="s">
        <v>16396</v>
      </c>
      <c r="C4441" s="31" t="s">
        <v>400</v>
      </c>
      <c r="D4441" s="31" t="s">
        <v>16397</v>
      </c>
      <c r="E4441" s="31" t="s">
        <v>16398</v>
      </c>
      <c r="F4441" s="31" t="s">
        <v>31</v>
      </c>
      <c r="G4441" s="31">
        <v>503</v>
      </c>
      <c r="H4441" s="31">
        <v>10</v>
      </c>
      <c r="I4441" s="31">
        <v>12</v>
      </c>
      <c r="J4441" s="31" t="s">
        <v>16399</v>
      </c>
      <c r="K4441" s="31" t="s">
        <v>33</v>
      </c>
      <c r="L4441" s="31" t="s">
        <v>34</v>
      </c>
      <c r="M4441" s="31">
        <v>352</v>
      </c>
      <c r="N4441" s="31">
        <v>2020</v>
      </c>
      <c r="O4441" s="31">
        <v>286</v>
      </c>
      <c r="P4441" s="31"/>
      <c r="Q4441" s="31"/>
      <c r="R4441" s="33"/>
      <c r="S4441" s="34" t="str">
        <f>HYPERLINK("http://www.cnpol.ru/covers/19026.jpg","фото на сайте")</f>
        <v>фото на сайте</v>
      </c>
    </row>
    <row r="4442" spans="1:19" ht="50.1" customHeight="1">
      <c r="A4442" s="31" t="s">
        <v>43</v>
      </c>
      <c r="B4442" s="32" t="s">
        <v>16400</v>
      </c>
      <c r="C4442" s="31" t="s">
        <v>434</v>
      </c>
      <c r="D4442" s="31" t="s">
        <v>435</v>
      </c>
      <c r="E4442" s="31" t="s">
        <v>16401</v>
      </c>
      <c r="F4442" s="31" t="s">
        <v>31</v>
      </c>
      <c r="G4442" s="31">
        <v>880</v>
      </c>
      <c r="H4442" s="31">
        <v>10</v>
      </c>
      <c r="I4442" s="31">
        <v>8</v>
      </c>
      <c r="J4442" s="31" t="s">
        <v>16402</v>
      </c>
      <c r="K4442" s="31" t="s">
        <v>33</v>
      </c>
      <c r="L4442" s="31" t="s">
        <v>34</v>
      </c>
      <c r="M4442" s="31">
        <v>302</v>
      </c>
      <c r="N4442" s="31">
        <v>2025</v>
      </c>
      <c r="O4442" s="31">
        <v>220</v>
      </c>
      <c r="P4442" s="31"/>
      <c r="Q4442" s="31"/>
      <c r="R4442" s="33" t="s">
        <v>16403</v>
      </c>
      <c r="S4442" s="34" t="str">
        <f>HYPERLINK("http://www.cnpol.ru/covers/21643.jpg","фото на сайте")</f>
        <v>фото на сайте</v>
      </c>
    </row>
    <row r="4443" spans="1:19" ht="50.1" customHeight="1">
      <c r="A4443" s="31" t="s">
        <v>35</v>
      </c>
      <c r="B4443" s="32" t="s">
        <v>16404</v>
      </c>
      <c r="C4443" s="31" t="s">
        <v>2742</v>
      </c>
      <c r="D4443" s="31" t="s">
        <v>16405</v>
      </c>
      <c r="E4443" s="31" t="s">
        <v>16406</v>
      </c>
      <c r="F4443" s="31" t="s">
        <v>31</v>
      </c>
      <c r="G4443" s="31">
        <v>640</v>
      </c>
      <c r="H4443" s="31">
        <v>10</v>
      </c>
      <c r="I4443" s="31">
        <v>14</v>
      </c>
      <c r="J4443" s="31" t="s">
        <v>16407</v>
      </c>
      <c r="K4443" s="31" t="s">
        <v>33</v>
      </c>
      <c r="L4443" s="31" t="s">
        <v>34</v>
      </c>
      <c r="M4443" s="31">
        <v>367</v>
      </c>
      <c r="N4443" s="31">
        <v>2025</v>
      </c>
      <c r="O4443" s="31">
        <v>338</v>
      </c>
      <c r="P4443" s="31"/>
      <c r="Q4443" s="31"/>
      <c r="R4443" s="33" t="s">
        <v>16408</v>
      </c>
      <c r="S4443" s="34" t="str">
        <f>HYPERLINK("http://www.cnpol.ru/covers/21594.jpg","фото на сайте")</f>
        <v>фото на сайте</v>
      </c>
    </row>
    <row r="4444" spans="1:19" ht="50.1" customHeight="1">
      <c r="A4444" s="31" t="s">
        <v>43</v>
      </c>
      <c r="B4444" s="32" t="s">
        <v>16409</v>
      </c>
      <c r="C4444" s="31" t="s">
        <v>143</v>
      </c>
      <c r="D4444" s="31" t="s">
        <v>16410</v>
      </c>
      <c r="E4444" s="31" t="s">
        <v>16411</v>
      </c>
      <c r="F4444" s="31" t="s">
        <v>31</v>
      </c>
      <c r="G4444" s="31">
        <v>800</v>
      </c>
      <c r="H4444" s="31">
        <v>10</v>
      </c>
      <c r="I4444" s="31">
        <v>10</v>
      </c>
      <c r="J4444" s="31" t="s">
        <v>16412</v>
      </c>
      <c r="K4444" s="31" t="s">
        <v>33</v>
      </c>
      <c r="L4444" s="31" t="s">
        <v>34</v>
      </c>
      <c r="M4444" s="31">
        <v>255</v>
      </c>
      <c r="N4444" s="31">
        <v>2025</v>
      </c>
      <c r="O4444" s="31" t="s">
        <v>220</v>
      </c>
      <c r="P4444" s="31"/>
      <c r="Q4444" s="31"/>
      <c r="R4444" s="33" t="s">
        <v>16413</v>
      </c>
      <c r="S4444" s="34" t="str">
        <f>HYPERLINK("http://www.cnpol.ru/covers/21848.jpg","фото на сайте")</f>
        <v>фото на сайте</v>
      </c>
    </row>
    <row r="4445" spans="1:19" ht="50.1" customHeight="1">
      <c r="A4445" s="31" t="s">
        <v>43</v>
      </c>
      <c r="B4445" s="32" t="s">
        <v>16414</v>
      </c>
      <c r="C4445" s="31" t="s">
        <v>297</v>
      </c>
      <c r="D4445" s="31" t="s">
        <v>16415</v>
      </c>
      <c r="E4445" s="31" t="s">
        <v>16416</v>
      </c>
      <c r="F4445" s="31" t="s">
        <v>31</v>
      </c>
      <c r="G4445" s="31">
        <v>300</v>
      </c>
      <c r="H4445" s="31">
        <v>10</v>
      </c>
      <c r="I4445" s="31">
        <v>8</v>
      </c>
      <c r="J4445" s="31" t="s">
        <v>16417</v>
      </c>
      <c r="K4445" s="31" t="s">
        <v>300</v>
      </c>
      <c r="L4445" s="31" t="s">
        <v>56</v>
      </c>
      <c r="M4445" s="31">
        <v>316</v>
      </c>
      <c r="N4445" s="31">
        <v>2024</v>
      </c>
      <c r="O4445" s="31">
        <v>164</v>
      </c>
      <c r="P4445" s="31"/>
      <c r="Q4445" s="31"/>
      <c r="R4445" s="33" t="s">
        <v>16418</v>
      </c>
      <c r="S4445" s="34" t="str">
        <f>HYPERLINK("http://www.cnpol.ru/covers/20976.jpg","фото на сайте")</f>
        <v>фото на сайте</v>
      </c>
    </row>
    <row r="4446" spans="1:19" ht="50.1" customHeight="1">
      <c r="A4446" s="31"/>
      <c r="B4446" s="32" t="s">
        <v>16419</v>
      </c>
      <c r="C4446" s="31" t="s">
        <v>413</v>
      </c>
      <c r="D4446" s="31" t="s">
        <v>7366</v>
      </c>
      <c r="E4446" s="31" t="s">
        <v>16420</v>
      </c>
      <c r="F4446" s="31">
        <v>54</v>
      </c>
      <c r="G4446" s="31">
        <v>117</v>
      </c>
      <c r="H4446" s="31">
        <v>10</v>
      </c>
      <c r="I4446" s="31">
        <v>36</v>
      </c>
      <c r="J4446" s="31" t="s">
        <v>16421</v>
      </c>
      <c r="K4446" s="31" t="s">
        <v>123</v>
      </c>
      <c r="L4446" s="31" t="s">
        <v>56</v>
      </c>
      <c r="M4446" s="31">
        <v>190</v>
      </c>
      <c r="N4446" s="31">
        <v>2015</v>
      </c>
      <c r="O4446" s="31">
        <v>90</v>
      </c>
      <c r="P4446" s="31"/>
      <c r="Q4446" s="31"/>
      <c r="R4446" s="33"/>
      <c r="S4446" s="34" t="str">
        <f>HYPERLINK("http://www.cnpol.ru/covers/15970.jpg","фото на сайте")</f>
        <v>фото на сайте</v>
      </c>
    </row>
    <row r="4447" spans="1:19" ht="50.1" customHeight="1">
      <c r="A4447" s="31"/>
      <c r="B4447" s="32" t="s">
        <v>16422</v>
      </c>
      <c r="C4447" s="31" t="s">
        <v>413</v>
      </c>
      <c r="D4447" s="31" t="s">
        <v>761</v>
      </c>
      <c r="E4447" s="31" t="s">
        <v>16423</v>
      </c>
      <c r="F4447" s="31">
        <v>25</v>
      </c>
      <c r="G4447" s="31">
        <v>117</v>
      </c>
      <c r="H4447" s="31">
        <v>10</v>
      </c>
      <c r="I4447" s="31">
        <v>36</v>
      </c>
      <c r="J4447" s="31" t="s">
        <v>16424</v>
      </c>
      <c r="K4447" s="31" t="s">
        <v>123</v>
      </c>
      <c r="L4447" s="31" t="s">
        <v>56</v>
      </c>
      <c r="M4447" s="31">
        <v>190</v>
      </c>
      <c r="N4447" s="31">
        <v>2014</v>
      </c>
      <c r="O4447" s="31">
        <v>92</v>
      </c>
      <c r="P4447" s="31"/>
      <c r="Q4447" s="31"/>
      <c r="R4447" s="33"/>
      <c r="S4447" s="34" t="str">
        <f>HYPERLINK("http://www.cnpol.ru/covers/15504.jpg","фото на сайте")</f>
        <v>фото на сайте</v>
      </c>
    </row>
    <row r="4448" spans="1:19" ht="50.1" customHeight="1">
      <c r="A4448" s="31"/>
      <c r="B4448" s="32" t="s">
        <v>16425</v>
      </c>
      <c r="C4448" s="31" t="s">
        <v>546</v>
      </c>
      <c r="D4448" s="31" t="s">
        <v>1846</v>
      </c>
      <c r="E4448" s="31" t="s">
        <v>16426</v>
      </c>
      <c r="F4448" s="31">
        <v>277</v>
      </c>
      <c r="G4448" s="31">
        <v>93</v>
      </c>
      <c r="H4448" s="31">
        <v>10</v>
      </c>
      <c r="I4448" s="31">
        <v>30</v>
      </c>
      <c r="J4448" s="31" t="s">
        <v>16427</v>
      </c>
      <c r="K4448" s="31" t="s">
        <v>123</v>
      </c>
      <c r="L4448" s="31" t="s">
        <v>56</v>
      </c>
      <c r="M4448" s="31">
        <v>160</v>
      </c>
      <c r="N4448" s="31">
        <v>2018</v>
      </c>
      <c r="O4448" s="31">
        <v>76</v>
      </c>
      <c r="P4448" s="31"/>
      <c r="Q4448" s="31"/>
      <c r="R4448" s="33"/>
      <c r="S4448" s="34" t="str">
        <f>HYPERLINK("http://www.cnpol.ru/covers/18285.jpg","фото на сайте")</f>
        <v>фото на сайте</v>
      </c>
    </row>
    <row r="4449" spans="1:19" ht="50.1" customHeight="1">
      <c r="A4449" s="31"/>
      <c r="B4449" s="32" t="s">
        <v>16428</v>
      </c>
      <c r="C4449" s="31" t="s">
        <v>297</v>
      </c>
      <c r="D4449" s="31" t="s">
        <v>13403</v>
      </c>
      <c r="E4449" s="31" t="s">
        <v>16429</v>
      </c>
      <c r="F4449" s="31" t="s">
        <v>31</v>
      </c>
      <c r="G4449" s="31">
        <v>300</v>
      </c>
      <c r="H4449" s="31">
        <v>10</v>
      </c>
      <c r="I4449" s="31">
        <v>14</v>
      </c>
      <c r="J4449" s="31" t="s">
        <v>16430</v>
      </c>
      <c r="K4449" s="31" t="s">
        <v>300</v>
      </c>
      <c r="L4449" s="31" t="s">
        <v>56</v>
      </c>
      <c r="M4449" s="31">
        <v>448</v>
      </c>
      <c r="N4449" s="31">
        <v>2016</v>
      </c>
      <c r="O4449" s="31">
        <v>216</v>
      </c>
      <c r="P4449" s="31"/>
      <c r="Q4449" s="31"/>
      <c r="R4449" s="33"/>
      <c r="S4449" s="34" t="str">
        <f>HYPERLINK("http://www.cnpol.ru/covers/17180.jpg","фото на сайте")</f>
        <v>фото на сайте</v>
      </c>
    </row>
    <row r="4450" spans="1:19" ht="50.1" customHeight="1">
      <c r="A4450" s="31"/>
      <c r="B4450" s="32" t="s">
        <v>16431</v>
      </c>
      <c r="C4450" s="31" t="s">
        <v>4834</v>
      </c>
      <c r="D4450" s="31" t="s">
        <v>16432</v>
      </c>
      <c r="E4450" s="31" t="s">
        <v>16433</v>
      </c>
      <c r="F4450" s="31" t="s">
        <v>31</v>
      </c>
      <c r="G4450" s="31">
        <v>290</v>
      </c>
      <c r="H4450" s="31">
        <v>10</v>
      </c>
      <c r="I4450" s="31">
        <v>14</v>
      </c>
      <c r="J4450" s="31" t="s">
        <v>16434</v>
      </c>
      <c r="K4450" s="31" t="s">
        <v>300</v>
      </c>
      <c r="L4450" s="31" t="s">
        <v>56</v>
      </c>
      <c r="M4450" s="31">
        <v>448</v>
      </c>
      <c r="N4450" s="31">
        <v>2019</v>
      </c>
      <c r="O4450" s="31">
        <v>222</v>
      </c>
      <c r="P4450" s="31"/>
      <c r="Q4450" s="31"/>
      <c r="R4450" s="33"/>
      <c r="S4450" s="34" t="str">
        <f>HYPERLINK("http://www.cnpol.ru/covers/18466.jpg","фото на сайте")</f>
        <v>фото на сайте</v>
      </c>
    </row>
    <row r="4451" spans="1:19" ht="50.1" customHeight="1">
      <c r="A4451" s="31"/>
      <c r="B4451" s="32" t="s">
        <v>16435</v>
      </c>
      <c r="C4451" s="31" t="s">
        <v>3229</v>
      </c>
      <c r="D4451" s="31" t="s">
        <v>16432</v>
      </c>
      <c r="E4451" s="31" t="s">
        <v>16433</v>
      </c>
      <c r="F4451" s="31" t="s">
        <v>31</v>
      </c>
      <c r="G4451" s="31">
        <v>658</v>
      </c>
      <c r="H4451" s="31">
        <v>10</v>
      </c>
      <c r="I4451" s="31">
        <v>12</v>
      </c>
      <c r="J4451" s="31" t="s">
        <v>16436</v>
      </c>
      <c r="K4451" s="31" t="s">
        <v>33</v>
      </c>
      <c r="L4451" s="31" t="s">
        <v>34</v>
      </c>
      <c r="M4451" s="31">
        <v>383</v>
      </c>
      <c r="N4451" s="31">
        <v>2014</v>
      </c>
      <c r="O4451" s="31">
        <v>382</v>
      </c>
      <c r="P4451" s="31"/>
      <c r="Q4451" s="31"/>
      <c r="R4451" s="33"/>
      <c r="S4451" s="34" t="str">
        <f>HYPERLINK("http://www.cnpol.ru/covers/15691.jpg","фото на сайте")</f>
        <v>фото на сайте</v>
      </c>
    </row>
    <row r="4452" spans="1:19" ht="50.1" customHeight="1">
      <c r="A4452" s="31" t="s">
        <v>43</v>
      </c>
      <c r="B4452" s="32" t="s">
        <v>16437</v>
      </c>
      <c r="C4452" s="31" t="s">
        <v>390</v>
      </c>
      <c r="D4452" s="31" t="s">
        <v>1846</v>
      </c>
      <c r="E4452" s="31" t="s">
        <v>16438</v>
      </c>
      <c r="F4452" s="31">
        <v>1172</v>
      </c>
      <c r="G4452" s="31">
        <v>86</v>
      </c>
      <c r="H4452" s="31">
        <v>10</v>
      </c>
      <c r="I4452" s="31">
        <v>30</v>
      </c>
      <c r="J4452" s="31" t="s">
        <v>16439</v>
      </c>
      <c r="K4452" s="31" t="s">
        <v>123</v>
      </c>
      <c r="L4452" s="31" t="s">
        <v>56</v>
      </c>
      <c r="M4452" s="31">
        <v>159</v>
      </c>
      <c r="N4452" s="31">
        <v>2024</v>
      </c>
      <c r="O4452" s="31">
        <v>76</v>
      </c>
      <c r="P4452" s="31"/>
      <c r="Q4452" s="31"/>
      <c r="R4452" s="33" t="s">
        <v>16440</v>
      </c>
      <c r="S4452" s="34" t="str">
        <f>HYPERLINK("http://www.cnpol.ru/covers/21098.jpg","фото на сайте")</f>
        <v>фото на сайте</v>
      </c>
    </row>
    <row r="4453" spans="1:19" ht="50.1" customHeight="1">
      <c r="A4453" s="31"/>
      <c r="B4453" s="32" t="s">
        <v>16441</v>
      </c>
      <c r="C4453" s="31" t="s">
        <v>390</v>
      </c>
      <c r="D4453" s="31" t="s">
        <v>3095</v>
      </c>
      <c r="E4453" s="31" t="s">
        <v>16442</v>
      </c>
      <c r="F4453" s="31">
        <v>575</v>
      </c>
      <c r="G4453" s="31">
        <v>86</v>
      </c>
      <c r="H4453" s="31">
        <v>10</v>
      </c>
      <c r="I4453" s="31">
        <v>30</v>
      </c>
      <c r="J4453" s="31" t="s">
        <v>16443</v>
      </c>
      <c r="K4453" s="31" t="s">
        <v>123</v>
      </c>
      <c r="L4453" s="31" t="s">
        <v>56</v>
      </c>
      <c r="M4453" s="31">
        <v>158</v>
      </c>
      <c r="N4453" s="31">
        <v>2016</v>
      </c>
      <c r="O4453" s="31">
        <v>76</v>
      </c>
      <c r="P4453" s="31"/>
      <c r="Q4453" s="31"/>
      <c r="R4453" s="33"/>
      <c r="S4453" s="34" t="str">
        <f>HYPERLINK("http://www.cnpol.ru/covers/16420.jpg","фото на сайте")</f>
        <v>фото на сайте</v>
      </c>
    </row>
    <row r="4454" spans="1:19" ht="50.1" customHeight="1">
      <c r="A4454" s="31"/>
      <c r="B4454" s="32" t="s">
        <v>16444</v>
      </c>
      <c r="C4454" s="31" t="s">
        <v>1527</v>
      </c>
      <c r="D4454" s="31" t="s">
        <v>1528</v>
      </c>
      <c r="E4454" s="31" t="s">
        <v>16445</v>
      </c>
      <c r="F4454" s="31">
        <v>1</v>
      </c>
      <c r="G4454" s="31">
        <v>559</v>
      </c>
      <c r="H4454" s="31">
        <v>10</v>
      </c>
      <c r="I4454" s="31">
        <v>10</v>
      </c>
      <c r="J4454" s="31" t="s">
        <v>16446</v>
      </c>
      <c r="K4454" s="31" t="s">
        <v>158</v>
      </c>
      <c r="L4454" s="31" t="s">
        <v>34</v>
      </c>
      <c r="M4454" s="31">
        <v>446</v>
      </c>
      <c r="N4454" s="31">
        <v>2016</v>
      </c>
      <c r="O4454" s="31">
        <v>390</v>
      </c>
      <c r="P4454" s="31"/>
      <c r="Q4454" s="31"/>
      <c r="R4454" s="33"/>
      <c r="S4454" s="34" t="str">
        <f>HYPERLINK("http://www.cnpol.ru/covers/16680.jpg","фото на сайте")</f>
        <v>фото на сайте</v>
      </c>
    </row>
    <row r="4455" spans="1:19" ht="50.1" customHeight="1">
      <c r="A4455" s="31"/>
      <c r="B4455" s="32" t="s">
        <v>16447</v>
      </c>
      <c r="C4455" s="31" t="s">
        <v>413</v>
      </c>
      <c r="D4455" s="31" t="s">
        <v>1628</v>
      </c>
      <c r="E4455" s="31" t="s">
        <v>16448</v>
      </c>
      <c r="F4455" s="31">
        <v>104</v>
      </c>
      <c r="G4455" s="31">
        <v>117</v>
      </c>
      <c r="H4455" s="31">
        <v>10</v>
      </c>
      <c r="I4455" s="31">
        <v>36</v>
      </c>
      <c r="J4455" s="31" t="s">
        <v>16449</v>
      </c>
      <c r="K4455" s="31" t="s">
        <v>123</v>
      </c>
      <c r="L4455" s="31" t="s">
        <v>56</v>
      </c>
      <c r="M4455" s="31">
        <v>192</v>
      </c>
      <c r="N4455" s="31">
        <v>2016</v>
      </c>
      <c r="O4455" s="31">
        <v>90</v>
      </c>
      <c r="P4455" s="31"/>
      <c r="Q4455" s="31"/>
      <c r="R4455" s="33"/>
      <c r="S4455" s="34" t="str">
        <f>HYPERLINK("http://www.cnpol.ru/covers/16750.jpg","фото на сайте")</f>
        <v>фото на сайте</v>
      </c>
    </row>
    <row r="4456" spans="1:19" ht="50.1" customHeight="1">
      <c r="A4456" s="31"/>
      <c r="B4456" s="32" t="s">
        <v>16450</v>
      </c>
      <c r="C4456" s="31" t="s">
        <v>423</v>
      </c>
      <c r="D4456" s="31" t="s">
        <v>1908</v>
      </c>
      <c r="E4456" s="31" t="s">
        <v>16451</v>
      </c>
      <c r="F4456" s="31" t="s">
        <v>31</v>
      </c>
      <c r="G4456" s="31">
        <v>154</v>
      </c>
      <c r="H4456" s="31">
        <v>10</v>
      </c>
      <c r="I4456" s="31">
        <v>40</v>
      </c>
      <c r="J4456" s="31" t="s">
        <v>16452</v>
      </c>
      <c r="K4456" s="31" t="s">
        <v>55</v>
      </c>
      <c r="L4456" s="31" t="s">
        <v>56</v>
      </c>
      <c r="M4456" s="31">
        <v>285</v>
      </c>
      <c r="N4456" s="31">
        <v>2014</v>
      </c>
      <c r="O4456" s="31">
        <v>120</v>
      </c>
      <c r="P4456" s="31"/>
      <c r="Q4456" s="31"/>
      <c r="R4456" s="33"/>
      <c r="S4456" s="34" t="str">
        <f>HYPERLINK("http://www.cnpol.ru/covers/14727.jpg","фото на сайте")</f>
        <v>фото на сайте</v>
      </c>
    </row>
    <row r="4457" spans="1:19" ht="50.1" customHeight="1">
      <c r="A4457" s="31"/>
      <c r="B4457" s="32" t="s">
        <v>16453</v>
      </c>
      <c r="C4457" s="31" t="s">
        <v>16454</v>
      </c>
      <c r="D4457" s="31" t="s">
        <v>1478</v>
      </c>
      <c r="E4457" s="31" t="s">
        <v>16455</v>
      </c>
      <c r="F4457" s="31" t="s">
        <v>31</v>
      </c>
      <c r="G4457" s="31">
        <v>154</v>
      </c>
      <c r="H4457" s="31">
        <v>10</v>
      </c>
      <c r="I4457" s="31">
        <v>24</v>
      </c>
      <c r="J4457" s="31" t="s">
        <v>16456</v>
      </c>
      <c r="K4457" s="31" t="s">
        <v>55</v>
      </c>
      <c r="L4457" s="31" t="s">
        <v>56</v>
      </c>
      <c r="M4457" s="31">
        <v>317</v>
      </c>
      <c r="N4457" s="31">
        <v>2008</v>
      </c>
      <c r="O4457" s="31">
        <v>132</v>
      </c>
      <c r="P4457" s="31"/>
      <c r="Q4457" s="31"/>
      <c r="R4457" s="33"/>
      <c r="S4457" s="34" t="str">
        <f>HYPERLINK("http://www.cnpol.ru/covers/10601.jpg","фото на сайте")</f>
        <v>фото на сайте</v>
      </c>
    </row>
    <row r="4458" spans="1:19" ht="50.1" customHeight="1">
      <c r="A4458" s="31"/>
      <c r="B4458" s="32" t="s">
        <v>16457</v>
      </c>
      <c r="C4458" s="31" t="s">
        <v>355</v>
      </c>
      <c r="D4458" s="31" t="s">
        <v>1478</v>
      </c>
      <c r="E4458" s="31" t="s">
        <v>16455</v>
      </c>
      <c r="F4458" s="31" t="s">
        <v>31</v>
      </c>
      <c r="G4458" s="31">
        <v>425</v>
      </c>
      <c r="H4458" s="31">
        <v>10</v>
      </c>
      <c r="I4458" s="31">
        <v>10</v>
      </c>
      <c r="J4458" s="31" t="s">
        <v>16458</v>
      </c>
      <c r="K4458" s="31" t="s">
        <v>359</v>
      </c>
      <c r="L4458" s="31" t="s">
        <v>34</v>
      </c>
      <c r="M4458" s="31">
        <v>319</v>
      </c>
      <c r="N4458" s="31">
        <v>2008</v>
      </c>
      <c r="O4458" s="31">
        <v>290</v>
      </c>
      <c r="P4458" s="31"/>
      <c r="Q4458" s="31"/>
      <c r="R4458" s="33"/>
      <c r="S4458" s="34" t="str">
        <f>HYPERLINK("http://www.cnpol.ru/covers/7686.jpg","фото на сайте")</f>
        <v>фото на сайте</v>
      </c>
    </row>
    <row r="4459" spans="1:19" ht="50.1" customHeight="1">
      <c r="A4459" s="31"/>
      <c r="B4459" s="32" t="s">
        <v>16459</v>
      </c>
      <c r="C4459" s="31" t="s">
        <v>355</v>
      </c>
      <c r="D4459" s="31" t="s">
        <v>1478</v>
      </c>
      <c r="E4459" s="31" t="s">
        <v>16455</v>
      </c>
      <c r="F4459" s="31" t="s">
        <v>31</v>
      </c>
      <c r="G4459" s="31">
        <v>425</v>
      </c>
      <c r="H4459" s="31">
        <v>10</v>
      </c>
      <c r="I4459" s="31">
        <v>12</v>
      </c>
      <c r="J4459" s="31" t="s">
        <v>16458</v>
      </c>
      <c r="K4459" s="31" t="s">
        <v>359</v>
      </c>
      <c r="L4459" s="31" t="s">
        <v>34</v>
      </c>
      <c r="M4459" s="31">
        <v>319</v>
      </c>
      <c r="N4459" s="31">
        <v>2008</v>
      </c>
      <c r="O4459" s="31">
        <v>290</v>
      </c>
      <c r="P4459" s="31"/>
      <c r="Q4459" s="31"/>
      <c r="R4459" s="33"/>
      <c r="S4459" s="34" t="str">
        <f>HYPERLINK("http://www.cnpol.ru/covers/7778.jpg","фото на сайте")</f>
        <v>фото на сайте</v>
      </c>
    </row>
    <row r="4460" spans="1:19" ht="50.1" customHeight="1">
      <c r="A4460" s="31"/>
      <c r="B4460" s="32" t="s">
        <v>16460</v>
      </c>
      <c r="C4460" s="31" t="s">
        <v>37</v>
      </c>
      <c r="D4460" s="31" t="s">
        <v>16461</v>
      </c>
      <c r="E4460" s="31" t="s">
        <v>16462</v>
      </c>
      <c r="F4460" s="31" t="s">
        <v>31</v>
      </c>
      <c r="G4460" s="31">
        <v>961</v>
      </c>
      <c r="H4460" s="31">
        <v>10</v>
      </c>
      <c r="I4460" s="31">
        <v>12</v>
      </c>
      <c r="J4460" s="31" t="s">
        <v>16463</v>
      </c>
      <c r="K4460" s="31" t="s">
        <v>33</v>
      </c>
      <c r="L4460" s="31" t="s">
        <v>34</v>
      </c>
      <c r="M4460" s="31">
        <v>351</v>
      </c>
      <c r="N4460" s="31">
        <v>2022</v>
      </c>
      <c r="O4460" s="31">
        <v>394</v>
      </c>
      <c r="P4460" s="31"/>
      <c r="Q4460" s="31"/>
      <c r="R4460" s="33"/>
      <c r="S4460" s="34" t="str">
        <f>HYPERLINK("http://www.cnpol.ru/covers/20209.jpg","фото на сайте")</f>
        <v>фото на сайте</v>
      </c>
    </row>
    <row r="4461" spans="1:19" ht="50.1" customHeight="1">
      <c r="A4461" s="31" t="s">
        <v>43</v>
      </c>
      <c r="B4461" s="32" t="s">
        <v>16464</v>
      </c>
      <c r="C4461" s="31" t="s">
        <v>37</v>
      </c>
      <c r="D4461" s="31" t="s">
        <v>16465</v>
      </c>
      <c r="E4461" s="31" t="s">
        <v>16466</v>
      </c>
      <c r="F4461" s="31" t="s">
        <v>31</v>
      </c>
      <c r="G4461" s="31">
        <v>467</v>
      </c>
      <c r="H4461" s="31">
        <v>10</v>
      </c>
      <c r="I4461" s="31">
        <v>14</v>
      </c>
      <c r="J4461" s="31" t="s">
        <v>16467</v>
      </c>
      <c r="K4461" s="31" t="s">
        <v>33</v>
      </c>
      <c r="L4461" s="31" t="s">
        <v>34</v>
      </c>
      <c r="M4461" s="31">
        <v>286</v>
      </c>
      <c r="N4461" s="31">
        <v>2025</v>
      </c>
      <c r="O4461" s="31">
        <v>222</v>
      </c>
      <c r="P4461" s="31"/>
      <c r="Q4461" s="31"/>
      <c r="R4461" s="33" t="s">
        <v>16468</v>
      </c>
      <c r="S4461" s="34" t="str">
        <f>HYPERLINK("http://www.cnpol.ru/covers/21466.jpg","фото на сайте")</f>
        <v>фото на сайте</v>
      </c>
    </row>
    <row r="4462" spans="1:19" ht="50.1" customHeight="1">
      <c r="A4462" s="31"/>
      <c r="B4462" s="32" t="s">
        <v>16469</v>
      </c>
      <c r="C4462" s="31" t="s">
        <v>400</v>
      </c>
      <c r="D4462" s="31" t="s">
        <v>16470</v>
      </c>
      <c r="E4462" s="31" t="s">
        <v>16471</v>
      </c>
      <c r="F4462" s="31" t="s">
        <v>31</v>
      </c>
      <c r="G4462" s="31">
        <v>503</v>
      </c>
      <c r="H4462" s="31">
        <v>10</v>
      </c>
      <c r="I4462" s="31">
        <v>14</v>
      </c>
      <c r="J4462" s="31" t="s">
        <v>16472</v>
      </c>
      <c r="K4462" s="31" t="s">
        <v>33</v>
      </c>
      <c r="L4462" s="31" t="s">
        <v>34</v>
      </c>
      <c r="M4462" s="31">
        <v>288</v>
      </c>
      <c r="N4462" s="31">
        <v>2019</v>
      </c>
      <c r="O4462" s="31">
        <v>255</v>
      </c>
      <c r="P4462" s="31"/>
      <c r="Q4462" s="31"/>
      <c r="R4462" s="33"/>
      <c r="S4462" s="34" t="str">
        <f>HYPERLINK("http://www.cnpol.ru/covers/18934.jpg","фото на сайте")</f>
        <v>фото на сайте</v>
      </c>
    </row>
    <row r="4463" spans="1:19" ht="50.1" customHeight="1">
      <c r="A4463" s="31"/>
      <c r="B4463" s="32" t="s">
        <v>16473</v>
      </c>
      <c r="C4463" s="31" t="s">
        <v>2420</v>
      </c>
      <c r="D4463" s="31" t="s">
        <v>9711</v>
      </c>
      <c r="E4463" s="31" t="s">
        <v>16474</v>
      </c>
      <c r="F4463" s="31" t="s">
        <v>31</v>
      </c>
      <c r="G4463" s="31">
        <v>88</v>
      </c>
      <c r="H4463" s="31">
        <v>10</v>
      </c>
      <c r="I4463" s="31">
        <v>30</v>
      </c>
      <c r="J4463" s="31" t="s">
        <v>16475</v>
      </c>
      <c r="K4463" s="31" t="s">
        <v>123</v>
      </c>
      <c r="L4463" s="31" t="s">
        <v>56</v>
      </c>
      <c r="M4463" s="31">
        <v>175</v>
      </c>
      <c r="N4463" s="31">
        <v>2007</v>
      </c>
      <c r="O4463" s="31">
        <v>84</v>
      </c>
      <c r="P4463" s="31"/>
      <c r="Q4463" s="31"/>
      <c r="R4463" s="33"/>
      <c r="S4463" s="34" t="str">
        <f>HYPERLINK("http://www.cnpol.ru/covers/6484.jpg","фото на сайте")</f>
        <v>фото на сайте</v>
      </c>
    </row>
    <row r="4464" spans="1:19" ht="50.1" customHeight="1">
      <c r="A4464" s="31"/>
      <c r="B4464" s="32" t="s">
        <v>16476</v>
      </c>
      <c r="C4464" s="31" t="s">
        <v>546</v>
      </c>
      <c r="D4464" s="31" t="s">
        <v>765</v>
      </c>
      <c r="E4464" s="31" t="s">
        <v>16477</v>
      </c>
      <c r="F4464" s="31">
        <v>370</v>
      </c>
      <c r="G4464" s="31">
        <v>93</v>
      </c>
      <c r="H4464" s="31">
        <v>10</v>
      </c>
      <c r="I4464" s="31">
        <v>30</v>
      </c>
      <c r="J4464" s="31" t="s">
        <v>16478</v>
      </c>
      <c r="K4464" s="31" t="s">
        <v>123</v>
      </c>
      <c r="L4464" s="31" t="s">
        <v>56</v>
      </c>
      <c r="M4464" s="31">
        <v>160</v>
      </c>
      <c r="N4464" s="31">
        <v>2021</v>
      </c>
      <c r="O4464" s="31">
        <v>76</v>
      </c>
      <c r="P4464" s="31"/>
      <c r="Q4464" s="31"/>
      <c r="R4464" s="33"/>
      <c r="S4464" s="34" t="str">
        <f>HYPERLINK("http://www.cnpol.ru/covers/19574.jpg","фото на сайте")</f>
        <v>фото на сайте</v>
      </c>
    </row>
    <row r="4465" spans="1:19" ht="50.1" customHeight="1">
      <c r="A4465" s="31"/>
      <c r="B4465" s="32" t="s">
        <v>16479</v>
      </c>
      <c r="C4465" s="31" t="s">
        <v>390</v>
      </c>
      <c r="D4465" s="31" t="s">
        <v>2285</v>
      </c>
      <c r="E4465" s="31" t="s">
        <v>16480</v>
      </c>
      <c r="F4465" s="31">
        <v>879</v>
      </c>
      <c r="G4465" s="31">
        <v>86</v>
      </c>
      <c r="H4465" s="31">
        <v>10</v>
      </c>
      <c r="I4465" s="31">
        <v>30</v>
      </c>
      <c r="J4465" s="31" t="s">
        <v>16481</v>
      </c>
      <c r="K4465" s="31" t="s">
        <v>123</v>
      </c>
      <c r="L4465" s="31" t="s">
        <v>56</v>
      </c>
      <c r="M4465" s="31">
        <v>160</v>
      </c>
      <c r="N4465" s="31">
        <v>2019</v>
      </c>
      <c r="O4465" s="31">
        <v>76</v>
      </c>
      <c r="P4465" s="31"/>
      <c r="Q4465" s="31"/>
      <c r="R4465" s="33"/>
      <c r="S4465" s="34" t="str">
        <f>HYPERLINK("http://www.cnpol.ru/covers/18565.jpg","фото на сайте")</f>
        <v>фото на сайте</v>
      </c>
    </row>
    <row r="4466" spans="1:19" ht="50.1" customHeight="1">
      <c r="A4466" s="31"/>
      <c r="B4466" s="32" t="s">
        <v>16482</v>
      </c>
      <c r="C4466" s="31" t="s">
        <v>385</v>
      </c>
      <c r="D4466" s="31" t="s">
        <v>386</v>
      </c>
      <c r="E4466" s="31" t="s">
        <v>16483</v>
      </c>
      <c r="F4466" s="31" t="s">
        <v>31</v>
      </c>
      <c r="G4466" s="31">
        <v>162</v>
      </c>
      <c r="H4466" s="31">
        <v>10</v>
      </c>
      <c r="I4466" s="31">
        <v>32</v>
      </c>
      <c r="J4466" s="31" t="s">
        <v>16484</v>
      </c>
      <c r="K4466" s="31" t="s">
        <v>55</v>
      </c>
      <c r="L4466" s="31" t="s">
        <v>56</v>
      </c>
      <c r="M4466" s="31">
        <v>192</v>
      </c>
      <c r="N4466" s="31">
        <v>2014</v>
      </c>
      <c r="O4466" s="31">
        <v>84</v>
      </c>
      <c r="P4466" s="31"/>
      <c r="Q4466" s="31"/>
      <c r="R4466" s="33"/>
      <c r="S4466" s="34" t="str">
        <f>HYPERLINK("http://www.cnpol.ru/covers/15198.jpg","фото на сайте")</f>
        <v>фото на сайте</v>
      </c>
    </row>
    <row r="4467" spans="1:19" ht="50.1" customHeight="1">
      <c r="A4467" s="31"/>
      <c r="B4467" s="32" t="s">
        <v>16485</v>
      </c>
      <c r="C4467" s="31" t="s">
        <v>385</v>
      </c>
      <c r="D4467" s="31" t="s">
        <v>386</v>
      </c>
      <c r="E4467" s="31" t="s">
        <v>16483</v>
      </c>
      <c r="F4467" s="31" t="s">
        <v>31</v>
      </c>
      <c r="G4467" s="31">
        <v>162</v>
      </c>
      <c r="H4467" s="31">
        <v>10</v>
      </c>
      <c r="I4467" s="31">
        <v>32</v>
      </c>
      <c r="J4467" s="31" t="s">
        <v>16486</v>
      </c>
      <c r="K4467" s="31" t="s">
        <v>55</v>
      </c>
      <c r="L4467" s="31" t="s">
        <v>56</v>
      </c>
      <c r="M4467" s="31">
        <v>192</v>
      </c>
      <c r="N4467" s="31">
        <v>2016</v>
      </c>
      <c r="O4467" s="31">
        <v>84</v>
      </c>
      <c r="P4467" s="31"/>
      <c r="Q4467" s="31"/>
      <c r="R4467" s="33"/>
      <c r="S4467" s="34" t="str">
        <f>HYPERLINK("http://www.cnpol.ru/covers/0162.jpg","фото на сайте")</f>
        <v>фото на сайте</v>
      </c>
    </row>
    <row r="4468" spans="1:19" ht="50.1" customHeight="1">
      <c r="A4468" s="31"/>
      <c r="B4468" s="32" t="s">
        <v>16487</v>
      </c>
      <c r="C4468" s="31" t="s">
        <v>297</v>
      </c>
      <c r="D4468" s="31" t="s">
        <v>872</v>
      </c>
      <c r="E4468" s="31" t="s">
        <v>16488</v>
      </c>
      <c r="F4468" s="31" t="s">
        <v>31</v>
      </c>
      <c r="G4468" s="31">
        <v>300</v>
      </c>
      <c r="H4468" s="31">
        <v>10</v>
      </c>
      <c r="I4468" s="31">
        <v>20</v>
      </c>
      <c r="J4468" s="31" t="s">
        <v>16489</v>
      </c>
      <c r="K4468" s="31" t="s">
        <v>300</v>
      </c>
      <c r="L4468" s="31" t="s">
        <v>56</v>
      </c>
      <c r="M4468" s="31">
        <v>352</v>
      </c>
      <c r="N4468" s="31">
        <v>2020</v>
      </c>
      <c r="O4468" s="31">
        <v>176</v>
      </c>
      <c r="P4468" s="31"/>
      <c r="Q4468" s="31"/>
      <c r="R4468" s="33"/>
      <c r="S4468" s="34" t="str">
        <f>HYPERLINK("http://www.cnpol.ru/covers/19391.jpg","фото на сайте")</f>
        <v>фото на сайте</v>
      </c>
    </row>
    <row r="4469" spans="1:19" ht="50.1" customHeight="1">
      <c r="A4469" s="31"/>
      <c r="B4469" s="32" t="s">
        <v>16490</v>
      </c>
      <c r="C4469" s="31" t="s">
        <v>302</v>
      </c>
      <c r="D4469" s="31" t="s">
        <v>872</v>
      </c>
      <c r="E4469" s="31" t="s">
        <v>16488</v>
      </c>
      <c r="F4469" s="31" t="s">
        <v>31</v>
      </c>
      <c r="G4469" s="31">
        <v>968</v>
      </c>
      <c r="H4469" s="31">
        <v>10</v>
      </c>
      <c r="I4469" s="31">
        <v>14</v>
      </c>
      <c r="J4469" s="31" t="s">
        <v>16491</v>
      </c>
      <c r="K4469" s="31" t="s">
        <v>41</v>
      </c>
      <c r="L4469" s="31" t="s">
        <v>304</v>
      </c>
      <c r="M4469" s="31">
        <v>352</v>
      </c>
      <c r="N4469" s="31">
        <v>2021</v>
      </c>
      <c r="O4469" s="31">
        <v>464</v>
      </c>
      <c r="P4469" s="31"/>
      <c r="Q4469" s="31"/>
      <c r="R4469" s="33"/>
      <c r="S4469" s="34" t="str">
        <f>HYPERLINK("http://www.cnpol.ru/covers/19979.jpg","фото на сайте")</f>
        <v>фото на сайте</v>
      </c>
    </row>
    <row r="4470" spans="1:19" ht="50.1" customHeight="1">
      <c r="A4470" s="31"/>
      <c r="B4470" s="32" t="s">
        <v>16492</v>
      </c>
      <c r="C4470" s="31" t="s">
        <v>297</v>
      </c>
      <c r="D4470" s="31" t="s">
        <v>5401</v>
      </c>
      <c r="E4470" s="31" t="s">
        <v>16493</v>
      </c>
      <c r="F4470" s="31" t="s">
        <v>31</v>
      </c>
      <c r="G4470" s="31">
        <v>300</v>
      </c>
      <c r="H4470" s="31">
        <v>10</v>
      </c>
      <c r="I4470" s="31">
        <v>18</v>
      </c>
      <c r="J4470" s="31" t="s">
        <v>16494</v>
      </c>
      <c r="K4470" s="31" t="s">
        <v>300</v>
      </c>
      <c r="L4470" s="31" t="s">
        <v>56</v>
      </c>
      <c r="M4470" s="31">
        <v>384</v>
      </c>
      <c r="N4470" s="31">
        <v>2018</v>
      </c>
      <c r="O4470" s="31">
        <v>196</v>
      </c>
      <c r="P4470" s="31"/>
      <c r="Q4470" s="31"/>
      <c r="R4470" s="33"/>
      <c r="S4470" s="34" t="str">
        <f>HYPERLINK("http://www.cnpol.ru/covers/18145.jpg","фото на сайте")</f>
        <v>фото на сайте</v>
      </c>
    </row>
    <row r="4471" spans="1:19" ht="50.1" customHeight="1">
      <c r="A4471" s="31"/>
      <c r="B4471" s="32" t="s">
        <v>16495</v>
      </c>
      <c r="C4471" s="31" t="s">
        <v>528</v>
      </c>
      <c r="D4471" s="31" t="s">
        <v>529</v>
      </c>
      <c r="E4471" s="31" t="s">
        <v>16496</v>
      </c>
      <c r="F4471" s="31" t="s">
        <v>31</v>
      </c>
      <c r="G4471" s="31">
        <v>137</v>
      </c>
      <c r="H4471" s="31">
        <v>10</v>
      </c>
      <c r="I4471" s="31">
        <v>32</v>
      </c>
      <c r="J4471" s="31" t="s">
        <v>16497</v>
      </c>
      <c r="K4471" s="31" t="s">
        <v>55</v>
      </c>
      <c r="L4471" s="31" t="s">
        <v>56</v>
      </c>
      <c r="M4471" s="31">
        <v>160</v>
      </c>
      <c r="N4471" s="31">
        <v>2016</v>
      </c>
      <c r="O4471" s="31">
        <v>68</v>
      </c>
      <c r="P4471" s="31"/>
      <c r="Q4471" s="31"/>
      <c r="R4471" s="33"/>
      <c r="S4471" s="34" t="str">
        <f>HYPERLINK("http://www.cnpol.ru/covers/17175.jpg","фото на сайте")</f>
        <v>фото на сайте</v>
      </c>
    </row>
    <row r="4472" spans="1:19" ht="50.1" customHeight="1">
      <c r="A4472" s="31" t="s">
        <v>43</v>
      </c>
      <c r="B4472" s="32" t="s">
        <v>16498</v>
      </c>
      <c r="C4472" s="31" t="s">
        <v>37</v>
      </c>
      <c r="D4472" s="31" t="s">
        <v>8651</v>
      </c>
      <c r="E4472" s="31" t="s">
        <v>16499</v>
      </c>
      <c r="F4472" s="31" t="s">
        <v>31</v>
      </c>
      <c r="G4472" s="31">
        <v>692</v>
      </c>
      <c r="H4472" s="31">
        <v>10</v>
      </c>
      <c r="I4472" s="31">
        <v>18</v>
      </c>
      <c r="J4472" s="31" t="s">
        <v>16500</v>
      </c>
      <c r="K4472" s="31" t="s">
        <v>33</v>
      </c>
      <c r="L4472" s="31" t="s">
        <v>34</v>
      </c>
      <c r="M4472" s="31">
        <v>191</v>
      </c>
      <c r="N4472" s="31">
        <v>2024</v>
      </c>
      <c r="O4472" s="31">
        <v>268</v>
      </c>
      <c r="P4472" s="31"/>
      <c r="Q4472" s="31"/>
      <c r="R4472" s="33" t="s">
        <v>16501</v>
      </c>
      <c r="S4472" s="34" t="str">
        <f>HYPERLINK("http://www.cnpol.ru/covers/21114.jpg","фото на сайте")</f>
        <v>фото на сайте</v>
      </c>
    </row>
    <row r="4473" spans="1:19" ht="50.1" customHeight="1">
      <c r="A4473" s="31" t="s">
        <v>35</v>
      </c>
      <c r="B4473" s="32" t="s">
        <v>16502</v>
      </c>
      <c r="C4473" s="31" t="s">
        <v>37</v>
      </c>
      <c r="D4473" s="31" t="s">
        <v>16503</v>
      </c>
      <c r="E4473" s="31" t="s">
        <v>16504</v>
      </c>
      <c r="F4473" s="31" t="s">
        <v>31</v>
      </c>
      <c r="G4473" s="31">
        <v>930</v>
      </c>
      <c r="H4473" s="31">
        <v>10</v>
      </c>
      <c r="I4473" s="31">
        <v>12</v>
      </c>
      <c r="J4473" s="31" t="s">
        <v>16505</v>
      </c>
      <c r="K4473" s="31" t="s">
        <v>33</v>
      </c>
      <c r="L4473" s="31" t="s">
        <v>34</v>
      </c>
      <c r="M4473" s="31">
        <v>319</v>
      </c>
      <c r="N4473" s="31">
        <v>2025</v>
      </c>
      <c r="O4473" s="31">
        <v>274</v>
      </c>
      <c r="P4473" s="31"/>
      <c r="Q4473" s="31"/>
      <c r="R4473" s="33" t="s">
        <v>16506</v>
      </c>
      <c r="S4473" s="34" t="str">
        <f>HYPERLINK("http://www.cnpol.ru/covers/21425.jpg","фото на сайте")</f>
        <v>фото на сайте</v>
      </c>
    </row>
    <row r="4474" spans="1:19" ht="50.1" customHeight="1">
      <c r="A4474" s="31"/>
      <c r="B4474" s="32" t="s">
        <v>16507</v>
      </c>
      <c r="C4474" s="31" t="s">
        <v>143</v>
      </c>
      <c r="D4474" s="31" t="s">
        <v>12893</v>
      </c>
      <c r="E4474" s="31" t="s">
        <v>16508</v>
      </c>
      <c r="F4474" s="31" t="s">
        <v>31</v>
      </c>
      <c r="G4474" s="31">
        <v>722</v>
      </c>
      <c r="H4474" s="31">
        <v>10</v>
      </c>
      <c r="I4474" s="31">
        <v>18</v>
      </c>
      <c r="J4474" s="31" t="s">
        <v>16509</v>
      </c>
      <c r="K4474" s="31" t="s">
        <v>33</v>
      </c>
      <c r="L4474" s="31" t="s">
        <v>34</v>
      </c>
      <c r="M4474" s="31">
        <v>207</v>
      </c>
      <c r="N4474" s="31">
        <v>2022</v>
      </c>
      <c r="O4474" s="31">
        <v>205</v>
      </c>
      <c r="P4474" s="31"/>
      <c r="Q4474" s="31"/>
      <c r="R4474" s="33"/>
      <c r="S4474" s="34" t="str">
        <f>HYPERLINK("http://www.cnpol.ru/covers/20198.jpg","фото на сайте")</f>
        <v>фото на сайте</v>
      </c>
    </row>
    <row r="4475" spans="1:19" ht="50.1" customHeight="1">
      <c r="A4475" s="31" t="s">
        <v>35</v>
      </c>
      <c r="B4475" s="32" t="s">
        <v>16510</v>
      </c>
      <c r="C4475" s="31" t="s">
        <v>2742</v>
      </c>
      <c r="D4475" s="31" t="s">
        <v>16511</v>
      </c>
      <c r="E4475" s="31" t="s">
        <v>16512</v>
      </c>
      <c r="F4475" s="31" t="s">
        <v>31</v>
      </c>
      <c r="G4475" s="31">
        <v>640</v>
      </c>
      <c r="H4475" s="31">
        <v>10</v>
      </c>
      <c r="I4475" s="31">
        <v>14</v>
      </c>
      <c r="J4475" s="31" t="s">
        <v>16513</v>
      </c>
      <c r="K4475" s="31" t="s">
        <v>33</v>
      </c>
      <c r="L4475" s="31" t="s">
        <v>34</v>
      </c>
      <c r="M4475" s="31">
        <v>383</v>
      </c>
      <c r="N4475" s="31">
        <v>2025</v>
      </c>
      <c r="O4475" s="31" t="s">
        <v>220</v>
      </c>
      <c r="P4475" s="31"/>
      <c r="Q4475" s="31"/>
      <c r="R4475" s="33" t="s">
        <v>16514</v>
      </c>
      <c r="S4475" s="34" t="str">
        <f>HYPERLINK("http://www.cnpol.ru/covers/21821.jpg","фото на сайте")</f>
        <v>фото на сайте</v>
      </c>
    </row>
    <row r="4476" spans="1:19" ht="50.1" customHeight="1">
      <c r="A4476" s="31"/>
      <c r="B4476" s="32" t="s">
        <v>16515</v>
      </c>
      <c r="C4476" s="31" t="s">
        <v>479</v>
      </c>
      <c r="D4476" s="31" t="s">
        <v>16516</v>
      </c>
      <c r="E4476" s="31" t="s">
        <v>16517</v>
      </c>
      <c r="F4476" s="31" t="s">
        <v>31</v>
      </c>
      <c r="G4476" s="31">
        <v>559</v>
      </c>
      <c r="H4476" s="31">
        <v>10</v>
      </c>
      <c r="I4476" s="31">
        <v>10</v>
      </c>
      <c r="J4476" s="31" t="s">
        <v>16518</v>
      </c>
      <c r="K4476" s="31" t="s">
        <v>33</v>
      </c>
      <c r="L4476" s="31" t="s">
        <v>34</v>
      </c>
      <c r="M4476" s="31">
        <v>416</v>
      </c>
      <c r="N4476" s="31">
        <v>2017</v>
      </c>
      <c r="O4476" s="31">
        <v>328</v>
      </c>
      <c r="P4476" s="31"/>
      <c r="Q4476" s="31"/>
      <c r="R4476" s="33"/>
      <c r="S4476" s="34" t="str">
        <f>HYPERLINK("http://www.cnpol.ru/covers/17518.jpg","фото на сайте")</f>
        <v>фото на сайте</v>
      </c>
    </row>
    <row r="4477" spans="1:19" ht="50.1" customHeight="1">
      <c r="A4477" s="31"/>
      <c r="B4477" s="32" t="s">
        <v>16519</v>
      </c>
      <c r="C4477" s="31" t="s">
        <v>879</v>
      </c>
      <c r="D4477" s="31" t="s">
        <v>880</v>
      </c>
      <c r="E4477" s="31" t="s">
        <v>16520</v>
      </c>
      <c r="F4477" s="31" t="s">
        <v>31</v>
      </c>
      <c r="G4477" s="31">
        <v>275</v>
      </c>
      <c r="H4477" s="31">
        <v>10</v>
      </c>
      <c r="I4477" s="31">
        <v>24</v>
      </c>
      <c r="J4477" s="31" t="s">
        <v>16521</v>
      </c>
      <c r="K4477" s="31" t="s">
        <v>130</v>
      </c>
      <c r="L4477" s="31" t="s">
        <v>56</v>
      </c>
      <c r="M4477" s="31">
        <v>192</v>
      </c>
      <c r="N4477" s="31">
        <v>2020</v>
      </c>
      <c r="O4477" s="31">
        <v>120</v>
      </c>
      <c r="P4477" s="31"/>
      <c r="Q4477" s="31"/>
      <c r="R4477" s="33"/>
      <c r="S4477" s="34" t="str">
        <f>HYPERLINK("http://www.cnpol.ru/covers/19281.jpg","фото на сайте")</f>
        <v>фото на сайте</v>
      </c>
    </row>
    <row r="4478" spans="1:19" ht="50.1" customHeight="1">
      <c r="A4478" s="31"/>
      <c r="B4478" s="32" t="s">
        <v>16522</v>
      </c>
      <c r="C4478" s="31" t="s">
        <v>37</v>
      </c>
      <c r="D4478" s="31" t="s">
        <v>16523</v>
      </c>
      <c r="E4478" s="31" t="s">
        <v>16524</v>
      </c>
      <c r="F4478" s="31" t="s">
        <v>31</v>
      </c>
      <c r="G4478" s="35">
        <v>1235</v>
      </c>
      <c r="H4478" s="31">
        <v>10</v>
      </c>
      <c r="I4478" s="31">
        <v>8</v>
      </c>
      <c r="J4478" s="31" t="s">
        <v>16525</v>
      </c>
      <c r="K4478" s="31" t="s">
        <v>33</v>
      </c>
      <c r="L4478" s="31" t="s">
        <v>34</v>
      </c>
      <c r="M4478" s="31">
        <v>512</v>
      </c>
      <c r="N4478" s="31">
        <v>2021</v>
      </c>
      <c r="O4478" s="31">
        <v>460</v>
      </c>
      <c r="P4478" s="31"/>
      <c r="Q4478" s="31"/>
      <c r="R4478" s="33"/>
      <c r="S4478" s="34" t="str">
        <f>HYPERLINK("http://www.cnpol.ru/covers/19654.jpg","фото на сайте")</f>
        <v>фото на сайте</v>
      </c>
    </row>
    <row r="4479" spans="1:19" ht="50.1" customHeight="1">
      <c r="A4479" s="31"/>
      <c r="B4479" s="32" t="s">
        <v>16526</v>
      </c>
      <c r="C4479" s="31" t="s">
        <v>119</v>
      </c>
      <c r="D4479" s="31" t="s">
        <v>16527</v>
      </c>
      <c r="E4479" s="31" t="s">
        <v>16528</v>
      </c>
      <c r="F4479" s="31" t="s">
        <v>31</v>
      </c>
      <c r="G4479" s="31">
        <v>503</v>
      </c>
      <c r="H4479" s="31">
        <v>10</v>
      </c>
      <c r="I4479" s="31">
        <v>16</v>
      </c>
      <c r="J4479" s="31" t="s">
        <v>16529</v>
      </c>
      <c r="K4479" s="31" t="s">
        <v>194</v>
      </c>
      <c r="L4479" s="31" t="s">
        <v>34</v>
      </c>
      <c r="M4479" s="31">
        <v>192</v>
      </c>
      <c r="N4479" s="31">
        <v>2019</v>
      </c>
      <c r="O4479" s="31">
        <v>204</v>
      </c>
      <c r="P4479" s="31"/>
      <c r="Q4479" s="31"/>
      <c r="R4479" s="33"/>
      <c r="S4479" s="34" t="str">
        <f>HYPERLINK("http://www.cnpol.ru/covers/18882.jpg","фото на сайте")</f>
        <v>фото на сайте</v>
      </c>
    </row>
    <row r="4480" spans="1:19" ht="50.1" customHeight="1">
      <c r="A4480" s="31"/>
      <c r="B4480" s="32" t="s">
        <v>16530</v>
      </c>
      <c r="C4480" s="31" t="s">
        <v>3990</v>
      </c>
      <c r="D4480" s="31" t="s">
        <v>16531</v>
      </c>
      <c r="E4480" s="31" t="s">
        <v>16532</v>
      </c>
      <c r="F4480" s="31" t="s">
        <v>31</v>
      </c>
      <c r="G4480" s="35">
        <v>1155</v>
      </c>
      <c r="H4480" s="31">
        <v>10</v>
      </c>
      <c r="I4480" s="31">
        <v>12</v>
      </c>
      <c r="J4480" s="31" t="s">
        <v>16533</v>
      </c>
      <c r="K4480" s="31" t="s">
        <v>33</v>
      </c>
      <c r="L4480" s="31" t="s">
        <v>34</v>
      </c>
      <c r="M4480" s="31">
        <v>399</v>
      </c>
      <c r="N4480" s="31">
        <v>2022</v>
      </c>
      <c r="O4480" s="31">
        <v>420</v>
      </c>
      <c r="P4480" s="31"/>
      <c r="Q4480" s="31"/>
      <c r="R4480" s="33"/>
      <c r="S4480" s="34" t="str">
        <f>HYPERLINK("http://www.cnpol.ru/covers/20154.jpg","фото на сайте")</f>
        <v>фото на сайте</v>
      </c>
    </row>
    <row r="4481" spans="1:19" ht="50.1" customHeight="1">
      <c r="A4481" s="31"/>
      <c r="B4481" s="32" t="s">
        <v>16534</v>
      </c>
      <c r="C4481" s="31" t="s">
        <v>546</v>
      </c>
      <c r="D4481" s="31" t="s">
        <v>3095</v>
      </c>
      <c r="E4481" s="31" t="s">
        <v>16535</v>
      </c>
      <c r="F4481" s="31">
        <v>411</v>
      </c>
      <c r="G4481" s="31">
        <v>93</v>
      </c>
      <c r="H4481" s="31">
        <v>10</v>
      </c>
      <c r="I4481" s="31">
        <v>30</v>
      </c>
      <c r="J4481" s="31" t="s">
        <v>16536</v>
      </c>
      <c r="K4481" s="31" t="s">
        <v>123</v>
      </c>
      <c r="L4481" s="31" t="s">
        <v>56</v>
      </c>
      <c r="M4481" s="31">
        <v>159</v>
      </c>
      <c r="N4481" s="31">
        <v>2022</v>
      </c>
      <c r="O4481" s="31">
        <v>76</v>
      </c>
      <c r="P4481" s="31"/>
      <c r="Q4481" s="31"/>
      <c r="R4481" s="33"/>
      <c r="S4481" s="34" t="str">
        <f>HYPERLINK("http://www.cnpol.ru/covers/20387.jpg","фото на сайте")</f>
        <v>фото на сайте</v>
      </c>
    </row>
    <row r="4482" spans="1:19" ht="50.1" customHeight="1">
      <c r="A4482" s="31"/>
      <c r="B4482" s="32" t="s">
        <v>16537</v>
      </c>
      <c r="C4482" s="31" t="s">
        <v>390</v>
      </c>
      <c r="D4482" s="31" t="s">
        <v>1427</v>
      </c>
      <c r="E4482" s="31" t="s">
        <v>16538</v>
      </c>
      <c r="F4482" s="31">
        <v>793</v>
      </c>
      <c r="G4482" s="31">
        <v>86</v>
      </c>
      <c r="H4482" s="31">
        <v>10</v>
      </c>
      <c r="I4482" s="31">
        <v>30</v>
      </c>
      <c r="J4482" s="31" t="s">
        <v>16539</v>
      </c>
      <c r="K4482" s="31" t="s">
        <v>123</v>
      </c>
      <c r="L4482" s="31" t="s">
        <v>56</v>
      </c>
      <c r="M4482" s="31">
        <v>160</v>
      </c>
      <c r="N4482" s="31">
        <v>2018</v>
      </c>
      <c r="O4482" s="31">
        <v>76</v>
      </c>
      <c r="P4482" s="31"/>
      <c r="Q4482" s="31"/>
      <c r="R4482" s="33"/>
      <c r="S4482" s="34" t="str">
        <f>HYPERLINK("http://www.cnpol.ru/covers/17985.jpg","фото на сайте")</f>
        <v>фото на сайте</v>
      </c>
    </row>
    <row r="4483" spans="1:19" ht="50.1" customHeight="1">
      <c r="A4483" s="31" t="s">
        <v>43</v>
      </c>
      <c r="B4483" s="32" t="s">
        <v>16540</v>
      </c>
      <c r="C4483" s="31" t="s">
        <v>1390</v>
      </c>
      <c r="D4483" s="31" t="s">
        <v>236</v>
      </c>
      <c r="E4483" s="31" t="s">
        <v>16541</v>
      </c>
      <c r="F4483" s="31" t="s">
        <v>31</v>
      </c>
      <c r="G4483" s="31">
        <v>514</v>
      </c>
      <c r="H4483" s="31">
        <v>10</v>
      </c>
      <c r="I4483" s="31">
        <v>16</v>
      </c>
      <c r="J4483" s="31" t="s">
        <v>16542</v>
      </c>
      <c r="K4483" s="31" t="s">
        <v>33</v>
      </c>
      <c r="L4483" s="31" t="s">
        <v>34</v>
      </c>
      <c r="M4483" s="31">
        <v>254</v>
      </c>
      <c r="N4483" s="31">
        <v>2025</v>
      </c>
      <c r="O4483" s="31">
        <v>230</v>
      </c>
      <c r="P4483" s="31"/>
      <c r="Q4483" s="31"/>
      <c r="R4483" s="33" t="s">
        <v>16543</v>
      </c>
      <c r="S4483" s="34" t="str">
        <f>HYPERLINK("http://www.cnpol.ru/covers/21502.jpg","фото на сайте")</f>
        <v>фото на сайте</v>
      </c>
    </row>
    <row r="4484" spans="1:19" ht="50.1" customHeight="1">
      <c r="A4484" s="31"/>
      <c r="B4484" s="32" t="s">
        <v>16544</v>
      </c>
      <c r="C4484" s="31" t="s">
        <v>1390</v>
      </c>
      <c r="D4484" s="31" t="s">
        <v>236</v>
      </c>
      <c r="E4484" s="31" t="s">
        <v>16545</v>
      </c>
      <c r="F4484" s="31" t="s">
        <v>31</v>
      </c>
      <c r="G4484" s="31">
        <v>539</v>
      </c>
      <c r="H4484" s="31">
        <v>10</v>
      </c>
      <c r="I4484" s="31">
        <v>12</v>
      </c>
      <c r="J4484" s="31" t="s">
        <v>16546</v>
      </c>
      <c r="K4484" s="31" t="s">
        <v>33</v>
      </c>
      <c r="L4484" s="31" t="s">
        <v>34</v>
      </c>
      <c r="M4484" s="31">
        <v>352</v>
      </c>
      <c r="N4484" s="31">
        <v>2021</v>
      </c>
      <c r="O4484" s="31">
        <v>284</v>
      </c>
      <c r="P4484" s="31"/>
      <c r="Q4484" s="31"/>
      <c r="R4484" s="33"/>
      <c r="S4484" s="34" t="str">
        <f>HYPERLINK("http://www.cnpol.ru/covers/19631.jpg","фото на сайте")</f>
        <v>фото на сайте</v>
      </c>
    </row>
    <row r="4485" spans="1:19" ht="50.1" customHeight="1">
      <c r="A4485" s="31"/>
      <c r="B4485" s="32" t="s">
        <v>16547</v>
      </c>
      <c r="C4485" s="31" t="s">
        <v>390</v>
      </c>
      <c r="D4485" s="31" t="s">
        <v>3095</v>
      </c>
      <c r="E4485" s="31" t="s">
        <v>16548</v>
      </c>
      <c r="F4485" s="31">
        <v>998</v>
      </c>
      <c r="G4485" s="31">
        <v>86</v>
      </c>
      <c r="H4485" s="31">
        <v>10</v>
      </c>
      <c r="I4485" s="31">
        <v>30</v>
      </c>
      <c r="J4485" s="31" t="s">
        <v>16549</v>
      </c>
      <c r="K4485" s="31" t="s">
        <v>123</v>
      </c>
      <c r="L4485" s="31" t="s">
        <v>56</v>
      </c>
      <c r="M4485" s="31">
        <v>160</v>
      </c>
      <c r="N4485" s="31">
        <v>2020</v>
      </c>
      <c r="O4485" s="31">
        <v>76</v>
      </c>
      <c r="P4485" s="31"/>
      <c r="Q4485" s="31"/>
      <c r="R4485" s="33"/>
      <c r="S4485" s="34" t="str">
        <f>HYPERLINK("http://www.cnpol.ru/covers/19356.jpg","фото на сайте")</f>
        <v>фото на сайте</v>
      </c>
    </row>
    <row r="4486" spans="1:19" ht="50.1" customHeight="1">
      <c r="A4486" s="31"/>
      <c r="B4486" s="32" t="s">
        <v>16550</v>
      </c>
      <c r="C4486" s="31" t="s">
        <v>390</v>
      </c>
      <c r="D4486" s="31" t="s">
        <v>5684</v>
      </c>
      <c r="E4486" s="31" t="s">
        <v>16551</v>
      </c>
      <c r="F4486" s="31">
        <v>899</v>
      </c>
      <c r="G4486" s="31">
        <v>86</v>
      </c>
      <c r="H4486" s="31">
        <v>10</v>
      </c>
      <c r="I4486" s="31">
        <v>30</v>
      </c>
      <c r="J4486" s="31" t="s">
        <v>16552</v>
      </c>
      <c r="K4486" s="31" t="s">
        <v>123</v>
      </c>
      <c r="L4486" s="31" t="s">
        <v>56</v>
      </c>
      <c r="M4486" s="31">
        <v>160</v>
      </c>
      <c r="N4486" s="31">
        <v>2019</v>
      </c>
      <c r="O4486" s="31">
        <v>78</v>
      </c>
      <c r="P4486" s="31"/>
      <c r="Q4486" s="31"/>
      <c r="R4486" s="33"/>
      <c r="S4486" s="34" t="str">
        <f>HYPERLINK("http://www.cnpol.ru/covers/18694.jpg","фото на сайте")</f>
        <v>фото на сайте</v>
      </c>
    </row>
    <row r="4487" spans="1:19" ht="50.1" customHeight="1">
      <c r="A4487" s="31"/>
      <c r="B4487" s="32" t="s">
        <v>16553</v>
      </c>
      <c r="C4487" s="31" t="s">
        <v>1050</v>
      </c>
      <c r="D4487" s="31" t="s">
        <v>16554</v>
      </c>
      <c r="E4487" s="31" t="s">
        <v>16555</v>
      </c>
      <c r="F4487" s="31" t="s">
        <v>31</v>
      </c>
      <c r="G4487" s="31">
        <v>386</v>
      </c>
      <c r="H4487" s="31">
        <v>10</v>
      </c>
      <c r="I4487" s="31">
        <v>16</v>
      </c>
      <c r="J4487" s="31" t="s">
        <v>16556</v>
      </c>
      <c r="K4487" s="31" t="s">
        <v>33</v>
      </c>
      <c r="L4487" s="31" t="s">
        <v>210</v>
      </c>
      <c r="M4487" s="31">
        <v>320</v>
      </c>
      <c r="N4487" s="31">
        <v>2017</v>
      </c>
      <c r="O4487" s="31">
        <v>266</v>
      </c>
      <c r="P4487" s="31"/>
      <c r="Q4487" s="31"/>
      <c r="R4487" s="33"/>
      <c r="S4487" s="34" t="str">
        <f>HYPERLINK("http://www.cnpol.ru/covers/17773.jpg","фото на сайте")</f>
        <v>фото на сайте</v>
      </c>
    </row>
    <row r="4488" spans="1:19" ht="50.1" customHeight="1">
      <c r="A4488" s="31"/>
      <c r="B4488" s="32" t="s">
        <v>16557</v>
      </c>
      <c r="C4488" s="31" t="s">
        <v>520</v>
      </c>
      <c r="D4488" s="31" t="s">
        <v>16558</v>
      </c>
      <c r="E4488" s="31" t="s">
        <v>16559</v>
      </c>
      <c r="F4488" s="31">
        <v>30</v>
      </c>
      <c r="G4488" s="31">
        <v>117</v>
      </c>
      <c r="H4488" s="31">
        <v>10</v>
      </c>
      <c r="I4488" s="31">
        <v>36</v>
      </c>
      <c r="J4488" s="31" t="s">
        <v>16560</v>
      </c>
      <c r="K4488" s="31" t="s">
        <v>123</v>
      </c>
      <c r="L4488" s="31" t="s">
        <v>56</v>
      </c>
      <c r="M4488" s="31">
        <v>192</v>
      </c>
      <c r="N4488" s="31">
        <v>2016</v>
      </c>
      <c r="O4488" s="31">
        <v>90</v>
      </c>
      <c r="P4488" s="31"/>
      <c r="Q4488" s="31"/>
      <c r="R4488" s="33"/>
      <c r="S4488" s="34" t="str">
        <f>HYPERLINK("http://www.cnpol.ru/covers/16897.jpg","фото на сайте")</f>
        <v>фото на сайте</v>
      </c>
    </row>
    <row r="4489" spans="1:19" ht="50.1" customHeight="1">
      <c r="A4489" s="31"/>
      <c r="B4489" s="32" t="s">
        <v>16561</v>
      </c>
      <c r="C4489" s="31" t="s">
        <v>520</v>
      </c>
      <c r="D4489" s="31" t="s">
        <v>5102</v>
      </c>
      <c r="E4489" s="31" t="s">
        <v>16562</v>
      </c>
      <c r="F4489" s="31">
        <v>22</v>
      </c>
      <c r="G4489" s="31">
        <v>117</v>
      </c>
      <c r="H4489" s="31">
        <v>10</v>
      </c>
      <c r="I4489" s="31">
        <v>30</v>
      </c>
      <c r="J4489" s="31" t="s">
        <v>16563</v>
      </c>
      <c r="K4489" s="31" t="s">
        <v>123</v>
      </c>
      <c r="L4489" s="31" t="s">
        <v>56</v>
      </c>
      <c r="M4489" s="31">
        <v>192</v>
      </c>
      <c r="N4489" s="31">
        <v>2016</v>
      </c>
      <c r="O4489" s="31">
        <v>90</v>
      </c>
      <c r="P4489" s="31"/>
      <c r="Q4489" s="31"/>
      <c r="R4489" s="33"/>
      <c r="S4489" s="34" t="str">
        <f>HYPERLINK("http://www.cnpol.ru/covers/16583.jpg","фото на сайте")</f>
        <v>фото на сайте</v>
      </c>
    </row>
    <row r="4490" spans="1:19" ht="50.1" customHeight="1">
      <c r="A4490" s="31"/>
      <c r="B4490" s="32" t="s">
        <v>16564</v>
      </c>
      <c r="C4490" s="31" t="s">
        <v>423</v>
      </c>
      <c r="D4490" s="31" t="s">
        <v>16565</v>
      </c>
      <c r="E4490" s="31" t="s">
        <v>16566</v>
      </c>
      <c r="F4490" s="31" t="s">
        <v>31</v>
      </c>
      <c r="G4490" s="31">
        <v>154</v>
      </c>
      <c r="H4490" s="31">
        <v>10</v>
      </c>
      <c r="I4490" s="31">
        <v>28</v>
      </c>
      <c r="J4490" s="31" t="s">
        <v>16567</v>
      </c>
      <c r="K4490" s="31" t="s">
        <v>55</v>
      </c>
      <c r="L4490" s="31" t="s">
        <v>56</v>
      </c>
      <c r="M4490" s="31">
        <v>270</v>
      </c>
      <c r="N4490" s="31">
        <v>2008</v>
      </c>
      <c r="O4490" s="31">
        <v>116</v>
      </c>
      <c r="P4490" s="31"/>
      <c r="Q4490" s="31"/>
      <c r="R4490" s="33"/>
      <c r="S4490" s="34" t="str">
        <f>HYPERLINK("http://www.cnpol.ru/covers/7735.jpg","фото на сайте")</f>
        <v>фото на сайте</v>
      </c>
    </row>
    <row r="4491" spans="1:19" ht="50.1" customHeight="1">
      <c r="A4491" s="31"/>
      <c r="B4491" s="32" t="s">
        <v>16568</v>
      </c>
      <c r="C4491" s="31" t="s">
        <v>390</v>
      </c>
      <c r="D4491" s="31" t="s">
        <v>1520</v>
      </c>
      <c r="E4491" s="31" t="s">
        <v>16569</v>
      </c>
      <c r="F4491" s="31">
        <v>775</v>
      </c>
      <c r="G4491" s="31">
        <v>86</v>
      </c>
      <c r="H4491" s="31">
        <v>10</v>
      </c>
      <c r="I4491" s="31">
        <v>30</v>
      </c>
      <c r="J4491" s="31" t="s">
        <v>16570</v>
      </c>
      <c r="K4491" s="31" t="s">
        <v>123</v>
      </c>
      <c r="L4491" s="31" t="s">
        <v>56</v>
      </c>
      <c r="M4491" s="31">
        <v>160</v>
      </c>
      <c r="N4491" s="31">
        <v>2017</v>
      </c>
      <c r="O4491" s="31">
        <v>76</v>
      </c>
      <c r="P4491" s="31"/>
      <c r="Q4491" s="31"/>
      <c r="R4491" s="33"/>
      <c r="S4491" s="34" t="str">
        <f>HYPERLINK("http://www.cnpol.ru/covers/17844.jpg","фото на сайте")</f>
        <v>фото на сайте</v>
      </c>
    </row>
    <row r="4492" spans="1:19" ht="50.1" customHeight="1">
      <c r="A4492" s="31"/>
      <c r="B4492" s="32" t="s">
        <v>16571</v>
      </c>
      <c r="C4492" s="31" t="s">
        <v>375</v>
      </c>
      <c r="D4492" s="31" t="s">
        <v>16572</v>
      </c>
      <c r="E4492" s="31" t="s">
        <v>16573</v>
      </c>
      <c r="F4492" s="31" t="s">
        <v>31</v>
      </c>
      <c r="G4492" s="31">
        <v>321</v>
      </c>
      <c r="H4492" s="31">
        <v>10</v>
      </c>
      <c r="I4492" s="31">
        <v>18</v>
      </c>
      <c r="J4492" s="31" t="s">
        <v>16574</v>
      </c>
      <c r="K4492" s="31" t="s">
        <v>123</v>
      </c>
      <c r="L4492" s="31" t="s">
        <v>210</v>
      </c>
      <c r="M4492" s="31">
        <v>252</v>
      </c>
      <c r="N4492" s="31">
        <v>2008</v>
      </c>
      <c r="O4492" s="31">
        <v>154</v>
      </c>
      <c r="P4492" s="31"/>
      <c r="Q4492" s="31"/>
      <c r="R4492" s="33"/>
      <c r="S4492" s="34" t="str">
        <f>HYPERLINK("http://www.cnpol.ru/covers/10311.jpg","фото на сайте")</f>
        <v>фото на сайте</v>
      </c>
    </row>
    <row r="4493" spans="1:19" ht="50.1" customHeight="1">
      <c r="A4493" s="31"/>
      <c r="B4493" s="32" t="s">
        <v>16575</v>
      </c>
      <c r="C4493" s="31" t="s">
        <v>479</v>
      </c>
      <c r="D4493" s="31" t="s">
        <v>16576</v>
      </c>
      <c r="E4493" s="31" t="s">
        <v>16577</v>
      </c>
      <c r="F4493" s="31" t="s">
        <v>31</v>
      </c>
      <c r="G4493" s="31">
        <v>896</v>
      </c>
      <c r="H4493" s="31">
        <v>10</v>
      </c>
      <c r="I4493" s="31">
        <v>8</v>
      </c>
      <c r="J4493" s="31" t="s">
        <v>16578</v>
      </c>
      <c r="K4493" s="31" t="s">
        <v>41</v>
      </c>
      <c r="L4493" s="31" t="s">
        <v>34</v>
      </c>
      <c r="M4493" s="31">
        <v>624</v>
      </c>
      <c r="N4493" s="31">
        <v>2022</v>
      </c>
      <c r="O4493" s="31">
        <v>660</v>
      </c>
      <c r="P4493" s="31"/>
      <c r="Q4493" s="31"/>
      <c r="R4493" s="33"/>
      <c r="S4493" s="34" t="str">
        <f>HYPERLINK("http://www.cnpol.ru/covers/20293.jpg","фото на сайте")</f>
        <v>фото на сайте</v>
      </c>
    </row>
    <row r="4494" spans="1:19" ht="50.1" customHeight="1">
      <c r="A4494" s="31" t="s">
        <v>35</v>
      </c>
      <c r="B4494" s="32" t="s">
        <v>16579</v>
      </c>
      <c r="C4494" s="31" t="s">
        <v>37</v>
      </c>
      <c r="D4494" s="31" t="s">
        <v>2555</v>
      </c>
      <c r="E4494" s="31" t="s">
        <v>16580</v>
      </c>
      <c r="F4494" s="31" t="s">
        <v>31</v>
      </c>
      <c r="G4494" s="35">
        <v>1168</v>
      </c>
      <c r="H4494" s="31">
        <v>10</v>
      </c>
      <c r="I4494" s="31">
        <v>6</v>
      </c>
      <c r="J4494" s="31" t="s">
        <v>16581</v>
      </c>
      <c r="K4494" s="31" t="s">
        <v>33</v>
      </c>
      <c r="L4494" s="31" t="s">
        <v>34</v>
      </c>
      <c r="M4494" s="31">
        <v>479</v>
      </c>
      <c r="N4494" s="31">
        <v>2026</v>
      </c>
      <c r="O4494" s="31" t="s">
        <v>220</v>
      </c>
      <c r="P4494" s="31"/>
      <c r="Q4494" s="31"/>
      <c r="R4494" s="33" t="s">
        <v>16582</v>
      </c>
      <c r="S4494" s="34" t="str">
        <f>HYPERLINK("http://www.cnpol.ru/covers/21900.jpg","фото на сайте")</f>
        <v>фото на сайте</v>
      </c>
    </row>
    <row r="4495" spans="1:19" ht="50.1" customHeight="1">
      <c r="A4495" s="31"/>
      <c r="B4495" s="32" t="s">
        <v>16583</v>
      </c>
      <c r="C4495" s="31" t="s">
        <v>1594</v>
      </c>
      <c r="D4495" s="31" t="s">
        <v>9327</v>
      </c>
      <c r="E4495" s="31" t="s">
        <v>16584</v>
      </c>
      <c r="F4495" s="31" t="s">
        <v>31</v>
      </c>
      <c r="G4495" s="31">
        <v>169</v>
      </c>
      <c r="H4495" s="31">
        <v>10</v>
      </c>
      <c r="I4495" s="31">
        <v>16</v>
      </c>
      <c r="J4495" s="31" t="s">
        <v>16585</v>
      </c>
      <c r="K4495" s="31" t="s">
        <v>55</v>
      </c>
      <c r="L4495" s="31" t="s">
        <v>56</v>
      </c>
      <c r="M4495" s="31">
        <v>288</v>
      </c>
      <c r="N4495" s="31">
        <v>2021</v>
      </c>
      <c r="O4495" s="31">
        <v>122</v>
      </c>
      <c r="P4495" s="31"/>
      <c r="Q4495" s="31"/>
      <c r="R4495" s="33"/>
      <c r="S4495" s="34" t="str">
        <f>HYPERLINK("http://www.cnpol.ru/covers/20006.jpg","фото на сайте")</f>
        <v>фото на сайте</v>
      </c>
    </row>
    <row r="4496" spans="1:19" ht="50.1" customHeight="1">
      <c r="A4496" s="31"/>
      <c r="B4496" s="32" t="s">
        <v>16586</v>
      </c>
      <c r="C4496" s="31" t="s">
        <v>413</v>
      </c>
      <c r="D4496" s="31" t="s">
        <v>859</v>
      </c>
      <c r="E4496" s="31" t="s">
        <v>16587</v>
      </c>
      <c r="F4496" s="31">
        <v>52</v>
      </c>
      <c r="G4496" s="31">
        <v>117</v>
      </c>
      <c r="H4496" s="31">
        <v>10</v>
      </c>
      <c r="I4496" s="31">
        <v>36</v>
      </c>
      <c r="J4496" s="31" t="s">
        <v>16588</v>
      </c>
      <c r="K4496" s="31" t="s">
        <v>123</v>
      </c>
      <c r="L4496" s="31" t="s">
        <v>56</v>
      </c>
      <c r="M4496" s="31">
        <v>190</v>
      </c>
      <c r="N4496" s="31">
        <v>2015</v>
      </c>
      <c r="O4496" s="31">
        <v>90</v>
      </c>
      <c r="P4496" s="31"/>
      <c r="Q4496" s="31"/>
      <c r="R4496" s="33"/>
      <c r="S4496" s="34" t="str">
        <f>HYPERLINK("http://www.cnpol.ru/covers/15939.jpg","фото на сайте")</f>
        <v>фото на сайте</v>
      </c>
    </row>
    <row r="4497" spans="1:19" ht="50.1" customHeight="1">
      <c r="A4497" s="31"/>
      <c r="B4497" s="32" t="s">
        <v>16589</v>
      </c>
      <c r="C4497" s="31" t="s">
        <v>1237</v>
      </c>
      <c r="D4497" s="31" t="s">
        <v>1238</v>
      </c>
      <c r="E4497" s="31" t="s">
        <v>16590</v>
      </c>
      <c r="F4497" s="31" t="s">
        <v>31</v>
      </c>
      <c r="G4497" s="31">
        <v>807</v>
      </c>
      <c r="H4497" s="31">
        <v>10</v>
      </c>
      <c r="I4497" s="31">
        <v>12</v>
      </c>
      <c r="J4497" s="31" t="s">
        <v>16591</v>
      </c>
      <c r="K4497" s="31" t="s">
        <v>33</v>
      </c>
      <c r="L4497" s="31" t="s">
        <v>34</v>
      </c>
      <c r="M4497" s="31">
        <v>416</v>
      </c>
      <c r="N4497" s="31">
        <v>2019</v>
      </c>
      <c r="O4497" s="31">
        <v>508</v>
      </c>
      <c r="P4497" s="31"/>
      <c r="Q4497" s="31"/>
      <c r="R4497" s="33"/>
      <c r="S4497" s="34" t="str">
        <f>HYPERLINK("http://www.cnpol.ru/covers/18904.jpg","фото на сайте")</f>
        <v>фото на сайте</v>
      </c>
    </row>
    <row r="4498" spans="1:19" ht="50.1" customHeight="1">
      <c r="A4498" s="31"/>
      <c r="B4498" s="32" t="s">
        <v>16592</v>
      </c>
      <c r="C4498" s="31" t="s">
        <v>181</v>
      </c>
      <c r="D4498" s="31" t="s">
        <v>16593</v>
      </c>
      <c r="E4498" s="31" t="s">
        <v>16594</v>
      </c>
      <c r="F4498" s="31" t="s">
        <v>31</v>
      </c>
      <c r="G4498" s="31">
        <v>300</v>
      </c>
      <c r="H4498" s="31">
        <v>10</v>
      </c>
      <c r="I4498" s="31">
        <v>30</v>
      </c>
      <c r="J4498" s="31" t="s">
        <v>16595</v>
      </c>
      <c r="K4498" s="31" t="s">
        <v>130</v>
      </c>
      <c r="L4498" s="31" t="s">
        <v>56</v>
      </c>
      <c r="M4498" s="31">
        <v>77</v>
      </c>
      <c r="N4498" s="31">
        <v>2013</v>
      </c>
      <c r="O4498" s="31">
        <v>168</v>
      </c>
      <c r="P4498" s="31"/>
      <c r="Q4498" s="31"/>
      <c r="R4498" s="33"/>
      <c r="S4498" s="34" t="str">
        <f>HYPERLINK("http://www.cnpol.ru/covers/14422.jpg","фото на сайте")</f>
        <v>фото на сайте</v>
      </c>
    </row>
    <row r="4499" spans="1:19" ht="50.1" customHeight="1">
      <c r="A4499" s="31"/>
      <c r="B4499" s="32" t="s">
        <v>16596</v>
      </c>
      <c r="C4499" s="31" t="s">
        <v>413</v>
      </c>
      <c r="D4499" s="31" t="s">
        <v>765</v>
      </c>
      <c r="E4499" s="31" t="s">
        <v>16597</v>
      </c>
      <c r="F4499" s="31">
        <v>91</v>
      </c>
      <c r="G4499" s="31">
        <v>117</v>
      </c>
      <c r="H4499" s="31">
        <v>10</v>
      </c>
      <c r="I4499" s="31">
        <v>36</v>
      </c>
      <c r="J4499" s="31" t="s">
        <v>16598</v>
      </c>
      <c r="K4499" s="31" t="s">
        <v>123</v>
      </c>
      <c r="L4499" s="31" t="s">
        <v>56</v>
      </c>
      <c r="M4499" s="31">
        <v>192</v>
      </c>
      <c r="N4499" s="31">
        <v>2016</v>
      </c>
      <c r="O4499" s="31">
        <v>90</v>
      </c>
      <c r="P4499" s="31"/>
      <c r="Q4499" s="31"/>
      <c r="R4499" s="33"/>
      <c r="S4499" s="34" t="str">
        <f>HYPERLINK("http://www.cnpol.ru/covers/16532.jpg","фото на сайте")</f>
        <v>фото на сайте</v>
      </c>
    </row>
    <row r="4500" spans="1:19" ht="50.1" customHeight="1">
      <c r="A4500" s="31"/>
      <c r="B4500" s="32" t="s">
        <v>16599</v>
      </c>
      <c r="C4500" s="31" t="s">
        <v>3990</v>
      </c>
      <c r="D4500" s="31" t="s">
        <v>7615</v>
      </c>
      <c r="E4500" s="31" t="s">
        <v>16600</v>
      </c>
      <c r="F4500" s="31" t="s">
        <v>31</v>
      </c>
      <c r="G4500" s="35">
        <v>1406</v>
      </c>
      <c r="H4500" s="31">
        <v>10</v>
      </c>
      <c r="I4500" s="31">
        <v>10</v>
      </c>
      <c r="J4500" s="31" t="s">
        <v>16601</v>
      </c>
      <c r="K4500" s="31" t="s">
        <v>33</v>
      </c>
      <c r="L4500" s="31" t="s">
        <v>34</v>
      </c>
      <c r="M4500" s="31">
        <v>574</v>
      </c>
      <c r="N4500" s="31">
        <v>2022</v>
      </c>
      <c r="O4500" s="31">
        <v>456</v>
      </c>
      <c r="P4500" s="31"/>
      <c r="Q4500" s="31"/>
      <c r="R4500" s="33"/>
      <c r="S4500" s="34" t="str">
        <f>HYPERLINK("http://www.cnpol.ru/covers/20264.jpg","фото на сайте")</f>
        <v>фото на сайте</v>
      </c>
    </row>
    <row r="4501" spans="1:19" ht="50.1" customHeight="1">
      <c r="A4501" s="31"/>
      <c r="B4501" s="32" t="s">
        <v>16602</v>
      </c>
      <c r="C4501" s="31" t="s">
        <v>546</v>
      </c>
      <c r="D4501" s="31" t="s">
        <v>11316</v>
      </c>
      <c r="E4501" s="31" t="s">
        <v>16603</v>
      </c>
      <c r="F4501" s="31">
        <v>417</v>
      </c>
      <c r="G4501" s="31">
        <v>93</v>
      </c>
      <c r="H4501" s="31">
        <v>10</v>
      </c>
      <c r="I4501" s="31">
        <v>30</v>
      </c>
      <c r="J4501" s="31" t="s">
        <v>16604</v>
      </c>
      <c r="K4501" s="31" t="s">
        <v>123</v>
      </c>
      <c r="L4501" s="31" t="s">
        <v>56</v>
      </c>
      <c r="M4501" s="31">
        <v>159</v>
      </c>
      <c r="N4501" s="31">
        <v>2022</v>
      </c>
      <c r="O4501" s="31">
        <v>76</v>
      </c>
      <c r="P4501" s="31"/>
      <c r="Q4501" s="31"/>
      <c r="R4501" s="33" t="s">
        <v>16605</v>
      </c>
      <c r="S4501" s="34" t="str">
        <f>HYPERLINK("http://www.cnpol.ru/covers/20464.jpg","фото на сайте")</f>
        <v>фото на сайте</v>
      </c>
    </row>
    <row r="4502" spans="1:19" ht="50.1" customHeight="1">
      <c r="A4502" s="31"/>
      <c r="B4502" s="32" t="s">
        <v>16606</v>
      </c>
      <c r="C4502" s="31" t="s">
        <v>400</v>
      </c>
      <c r="D4502" s="31" t="s">
        <v>1369</v>
      </c>
      <c r="E4502" s="31" t="s">
        <v>16607</v>
      </c>
      <c r="F4502" s="31" t="s">
        <v>31</v>
      </c>
      <c r="G4502" s="31">
        <v>503</v>
      </c>
      <c r="H4502" s="31">
        <v>10</v>
      </c>
      <c r="I4502" s="31">
        <v>12</v>
      </c>
      <c r="J4502" s="31" t="s">
        <v>16608</v>
      </c>
      <c r="K4502" s="31" t="s">
        <v>33</v>
      </c>
      <c r="L4502" s="31" t="s">
        <v>34</v>
      </c>
      <c r="M4502" s="31">
        <v>288</v>
      </c>
      <c r="N4502" s="31">
        <v>2016</v>
      </c>
      <c r="O4502" s="31">
        <v>242</v>
      </c>
      <c r="P4502" s="31"/>
      <c r="Q4502" s="31"/>
      <c r="R4502" s="33"/>
      <c r="S4502" s="34" t="str">
        <f>HYPERLINK("http://www.cnpol.ru/covers/16928.jpg","фото на сайте")</f>
        <v>фото на сайте</v>
      </c>
    </row>
    <row r="4503" spans="1:19" ht="50.1" customHeight="1">
      <c r="A4503" s="31"/>
      <c r="B4503" s="32" t="s">
        <v>16609</v>
      </c>
      <c r="C4503" s="31" t="s">
        <v>546</v>
      </c>
      <c r="D4503" s="31" t="s">
        <v>1774</v>
      </c>
      <c r="E4503" s="31" t="s">
        <v>16610</v>
      </c>
      <c r="F4503" s="31">
        <v>264</v>
      </c>
      <c r="G4503" s="31">
        <v>93</v>
      </c>
      <c r="H4503" s="31">
        <v>10</v>
      </c>
      <c r="I4503" s="31">
        <v>30</v>
      </c>
      <c r="J4503" s="31" t="s">
        <v>16611</v>
      </c>
      <c r="K4503" s="31" t="s">
        <v>123</v>
      </c>
      <c r="L4503" s="31" t="s">
        <v>56</v>
      </c>
      <c r="M4503" s="31">
        <v>160</v>
      </c>
      <c r="N4503" s="31">
        <v>2018</v>
      </c>
      <c r="O4503" s="31">
        <v>76</v>
      </c>
      <c r="P4503" s="31"/>
      <c r="Q4503" s="31"/>
      <c r="R4503" s="33"/>
      <c r="S4503" s="34" t="str">
        <f>HYPERLINK("http://www.cnpol.ru/covers/18125.jpg","фото на сайте")</f>
        <v>фото на сайте</v>
      </c>
    </row>
    <row r="4504" spans="1:19" ht="50.1" customHeight="1">
      <c r="A4504" s="31" t="s">
        <v>43</v>
      </c>
      <c r="B4504" s="32" t="s">
        <v>16612</v>
      </c>
      <c r="C4504" s="31" t="s">
        <v>16613</v>
      </c>
      <c r="D4504" s="31" t="s">
        <v>16614</v>
      </c>
      <c r="E4504" s="31" t="s">
        <v>16615</v>
      </c>
      <c r="F4504" s="31" t="s">
        <v>31</v>
      </c>
      <c r="G4504" s="35">
        <v>1166</v>
      </c>
      <c r="H4504" s="31">
        <v>10</v>
      </c>
      <c r="I4504" s="31">
        <v>5</v>
      </c>
      <c r="J4504" s="31" t="s">
        <v>16616</v>
      </c>
      <c r="K4504" s="31" t="s">
        <v>33</v>
      </c>
      <c r="L4504" s="31" t="s">
        <v>34</v>
      </c>
      <c r="M4504" s="31">
        <v>495</v>
      </c>
      <c r="N4504" s="31">
        <v>2025</v>
      </c>
      <c r="O4504" s="31" t="s">
        <v>220</v>
      </c>
      <c r="P4504" s="31"/>
      <c r="Q4504" s="31"/>
      <c r="R4504" s="33" t="s">
        <v>16617</v>
      </c>
      <c r="S4504" s="34" t="str">
        <f>HYPERLINK("http://www.cnpol.ru/covers/21802.jpg","фото на сайте")</f>
        <v>фото на сайте</v>
      </c>
    </row>
    <row r="4505" spans="1:19" ht="50.1" customHeight="1">
      <c r="A4505" s="31" t="s">
        <v>43</v>
      </c>
      <c r="B4505" s="32" t="s">
        <v>16618</v>
      </c>
      <c r="C4505" s="31" t="s">
        <v>16613</v>
      </c>
      <c r="D4505" s="31" t="s">
        <v>16614</v>
      </c>
      <c r="E4505" s="31" t="s">
        <v>16619</v>
      </c>
      <c r="F4505" s="31" t="s">
        <v>31</v>
      </c>
      <c r="G4505" s="35">
        <v>1166</v>
      </c>
      <c r="H4505" s="31">
        <v>10</v>
      </c>
      <c r="I4505" s="31">
        <v>5</v>
      </c>
      <c r="J4505" s="31" t="s">
        <v>16620</v>
      </c>
      <c r="K4505" s="31" t="s">
        <v>33</v>
      </c>
      <c r="L4505" s="31" t="s">
        <v>34</v>
      </c>
      <c r="M4505" s="31">
        <v>527</v>
      </c>
      <c r="N4505" s="31">
        <v>2025</v>
      </c>
      <c r="O4505" s="31" t="s">
        <v>220</v>
      </c>
      <c r="P4505" s="31"/>
      <c r="Q4505" s="31"/>
      <c r="R4505" s="33" t="s">
        <v>16621</v>
      </c>
      <c r="S4505" s="34" t="str">
        <f>HYPERLINK("http://www.cnpol.ru/covers/21801.jpg","фото на сайте")</f>
        <v>фото на сайте</v>
      </c>
    </row>
    <row r="4506" spans="1:19" ht="50.1" customHeight="1">
      <c r="A4506" s="31" t="s">
        <v>43</v>
      </c>
      <c r="B4506" s="32" t="s">
        <v>16622</v>
      </c>
      <c r="C4506" s="31" t="s">
        <v>16613</v>
      </c>
      <c r="D4506" s="31" t="s">
        <v>16614</v>
      </c>
      <c r="E4506" s="31" t="s">
        <v>16623</v>
      </c>
      <c r="F4506" s="31" t="s">
        <v>31</v>
      </c>
      <c r="G4506" s="35">
        <v>1166</v>
      </c>
      <c r="H4506" s="31">
        <v>10</v>
      </c>
      <c r="I4506" s="31">
        <v>5</v>
      </c>
      <c r="J4506" s="31" t="s">
        <v>16624</v>
      </c>
      <c r="K4506" s="31" t="s">
        <v>33</v>
      </c>
      <c r="L4506" s="31" t="s">
        <v>34</v>
      </c>
      <c r="M4506" s="31">
        <v>527</v>
      </c>
      <c r="N4506" s="31">
        <v>2025</v>
      </c>
      <c r="O4506" s="31" t="s">
        <v>220</v>
      </c>
      <c r="P4506" s="31"/>
      <c r="Q4506" s="31"/>
      <c r="R4506" s="33" t="s">
        <v>16625</v>
      </c>
      <c r="S4506" s="34" t="str">
        <f>HYPERLINK("http://www.cnpol.ru/covers/21803.jpg","фото на сайте")</f>
        <v>фото на сайте</v>
      </c>
    </row>
    <row r="4507" spans="1:19" ht="50.1" customHeight="1">
      <c r="A4507" s="31"/>
      <c r="B4507" s="32" t="s">
        <v>16626</v>
      </c>
      <c r="C4507" s="31" t="s">
        <v>5890</v>
      </c>
      <c r="D4507" s="31" t="s">
        <v>5886</v>
      </c>
      <c r="E4507" s="31" t="s">
        <v>16627</v>
      </c>
      <c r="F4507" s="31" t="s">
        <v>31</v>
      </c>
      <c r="G4507" s="35">
        <v>1168</v>
      </c>
      <c r="H4507" s="31">
        <v>10</v>
      </c>
      <c r="I4507" s="31">
        <v>10</v>
      </c>
      <c r="J4507" s="31" t="s">
        <v>16628</v>
      </c>
      <c r="K4507" s="31" t="s">
        <v>41</v>
      </c>
      <c r="L4507" s="31" t="s">
        <v>34</v>
      </c>
      <c r="M4507" s="31">
        <v>399</v>
      </c>
      <c r="N4507" s="31">
        <v>2021</v>
      </c>
      <c r="O4507" s="31">
        <v>500</v>
      </c>
      <c r="P4507" s="31"/>
      <c r="Q4507" s="31"/>
      <c r="R4507" s="33"/>
      <c r="S4507" s="34" t="str">
        <f>HYPERLINK("http://www.cnpol.ru/covers/19926.jpg","фото на сайте")</f>
        <v>фото на сайте</v>
      </c>
    </row>
    <row r="4508" spans="1:19" ht="50.1" customHeight="1">
      <c r="A4508" s="31"/>
      <c r="B4508" s="32" t="s">
        <v>16629</v>
      </c>
      <c r="C4508" s="31" t="s">
        <v>408</v>
      </c>
      <c r="D4508" s="31" t="s">
        <v>16630</v>
      </c>
      <c r="E4508" s="31" t="s">
        <v>16631</v>
      </c>
      <c r="F4508" s="31" t="s">
        <v>31</v>
      </c>
      <c r="G4508" s="31">
        <v>640</v>
      </c>
      <c r="H4508" s="31">
        <v>10</v>
      </c>
      <c r="I4508" s="31">
        <v>14</v>
      </c>
      <c r="J4508" s="31" t="s">
        <v>16632</v>
      </c>
      <c r="K4508" s="31" t="s">
        <v>33</v>
      </c>
      <c r="L4508" s="31" t="s">
        <v>34</v>
      </c>
      <c r="M4508" s="31">
        <v>223</v>
      </c>
      <c r="N4508" s="31">
        <v>2023</v>
      </c>
      <c r="O4508" s="31">
        <v>321</v>
      </c>
      <c r="P4508" s="31"/>
      <c r="Q4508" s="31"/>
      <c r="R4508" s="33" t="s">
        <v>16633</v>
      </c>
      <c r="S4508" s="34" t="str">
        <f>HYPERLINK("http://www.cnpol.ru/covers/20811.jpg","фото на сайте")</f>
        <v>фото на сайте</v>
      </c>
    </row>
    <row r="4509" spans="1:19" ht="50.1" customHeight="1">
      <c r="A4509" s="31"/>
      <c r="B4509" s="32" t="s">
        <v>16634</v>
      </c>
      <c r="C4509" s="31" t="s">
        <v>418</v>
      </c>
      <c r="D4509" s="31" t="s">
        <v>5706</v>
      </c>
      <c r="E4509" s="31" t="s">
        <v>16635</v>
      </c>
      <c r="F4509" s="31">
        <v>98</v>
      </c>
      <c r="G4509" s="31">
        <v>153</v>
      </c>
      <c r="H4509" s="31">
        <v>10</v>
      </c>
      <c r="I4509" s="31">
        <v>24</v>
      </c>
      <c r="J4509" s="31" t="s">
        <v>16636</v>
      </c>
      <c r="K4509" s="31" t="s">
        <v>123</v>
      </c>
      <c r="L4509" s="31" t="s">
        <v>56</v>
      </c>
      <c r="M4509" s="31">
        <v>256</v>
      </c>
      <c r="N4509" s="31">
        <v>2019</v>
      </c>
      <c r="O4509" s="31">
        <v>120</v>
      </c>
      <c r="P4509" s="31"/>
      <c r="Q4509" s="31"/>
      <c r="R4509" s="33"/>
      <c r="S4509" s="34" t="str">
        <f>HYPERLINK("http://www.cnpol.ru/covers/18651.jpg","фото на сайте")</f>
        <v>фото на сайте</v>
      </c>
    </row>
    <row r="4510" spans="1:19" ht="50.1" customHeight="1">
      <c r="A4510" s="31"/>
      <c r="B4510" s="32" t="s">
        <v>16637</v>
      </c>
      <c r="C4510" s="31" t="s">
        <v>16638</v>
      </c>
      <c r="D4510" s="31" t="s">
        <v>16639</v>
      </c>
      <c r="E4510" s="31" t="s">
        <v>16640</v>
      </c>
      <c r="F4510" s="31" t="s">
        <v>31</v>
      </c>
      <c r="G4510" s="31">
        <v>169</v>
      </c>
      <c r="H4510" s="31">
        <v>10</v>
      </c>
      <c r="I4510" s="31">
        <v>30</v>
      </c>
      <c r="J4510" s="31" t="s">
        <v>16641</v>
      </c>
      <c r="K4510" s="31" t="s">
        <v>130</v>
      </c>
      <c r="L4510" s="31" t="s">
        <v>56</v>
      </c>
      <c r="M4510" s="31">
        <v>128</v>
      </c>
      <c r="N4510" s="31">
        <v>2021</v>
      </c>
      <c r="O4510" s="31">
        <v>80</v>
      </c>
      <c r="P4510" s="31"/>
      <c r="Q4510" s="31"/>
      <c r="R4510" s="33"/>
      <c r="S4510" s="34" t="str">
        <f>HYPERLINK("http://www.cnpol.ru/covers/19722.jpg","фото на сайте")</f>
        <v>фото на сайте</v>
      </c>
    </row>
    <row r="4511" spans="1:19" ht="50.1" customHeight="1">
      <c r="A4511" s="31"/>
      <c r="B4511" s="32" t="s">
        <v>16642</v>
      </c>
      <c r="C4511" s="31" t="s">
        <v>630</v>
      </c>
      <c r="D4511" s="31" t="s">
        <v>16643</v>
      </c>
      <c r="E4511" s="31" t="s">
        <v>16644</v>
      </c>
      <c r="F4511" s="31" t="s">
        <v>31</v>
      </c>
      <c r="G4511" s="31">
        <v>96</v>
      </c>
      <c r="H4511" s="31">
        <v>10</v>
      </c>
      <c r="I4511" s="31">
        <v>30</v>
      </c>
      <c r="J4511" s="31" t="s">
        <v>16645</v>
      </c>
      <c r="K4511" s="31" t="s">
        <v>130</v>
      </c>
      <c r="L4511" s="31" t="s">
        <v>56</v>
      </c>
      <c r="M4511" s="31">
        <v>127</v>
      </c>
      <c r="N4511" s="31">
        <v>2007</v>
      </c>
      <c r="O4511" s="31">
        <v>82</v>
      </c>
      <c r="P4511" s="31"/>
      <c r="Q4511" s="31"/>
      <c r="R4511" s="33"/>
      <c r="S4511" s="34" t="str">
        <f>HYPERLINK("http://www.cnpol.ru/covers/6343.jpg","фото на сайте")</f>
        <v>фото на сайте</v>
      </c>
    </row>
    <row r="4512" spans="1:19" ht="50.1" customHeight="1">
      <c r="A4512" s="31"/>
      <c r="B4512" s="32" t="s">
        <v>16646</v>
      </c>
      <c r="C4512" s="31" t="s">
        <v>385</v>
      </c>
      <c r="D4512" s="31" t="s">
        <v>386</v>
      </c>
      <c r="E4512" s="31" t="s">
        <v>16647</v>
      </c>
      <c r="F4512" s="31" t="s">
        <v>31</v>
      </c>
      <c r="G4512" s="31">
        <v>162</v>
      </c>
      <c r="H4512" s="31">
        <v>10</v>
      </c>
      <c r="I4512" s="31">
        <v>32</v>
      </c>
      <c r="J4512" s="31" t="s">
        <v>16648</v>
      </c>
      <c r="K4512" s="31" t="s">
        <v>55</v>
      </c>
      <c r="L4512" s="31" t="s">
        <v>56</v>
      </c>
      <c r="M4512" s="31">
        <v>190</v>
      </c>
      <c r="N4512" s="31">
        <v>2015</v>
      </c>
      <c r="O4512" s="31">
        <v>86</v>
      </c>
      <c r="P4512" s="31"/>
      <c r="Q4512" s="31"/>
      <c r="R4512" s="33"/>
      <c r="S4512" s="34" t="str">
        <f>HYPERLINK("http://www.cnpol.ru/covers/15758.jpg","фото на сайте")</f>
        <v>фото на сайте</v>
      </c>
    </row>
    <row r="4513" spans="1:19" ht="50.1" customHeight="1">
      <c r="A4513" s="31"/>
      <c r="B4513" s="32" t="s">
        <v>16649</v>
      </c>
      <c r="C4513" s="31" t="s">
        <v>385</v>
      </c>
      <c r="D4513" s="31" t="s">
        <v>386</v>
      </c>
      <c r="E4513" s="31" t="s">
        <v>16647</v>
      </c>
      <c r="F4513" s="31" t="s">
        <v>31</v>
      </c>
      <c r="G4513" s="31">
        <v>162</v>
      </c>
      <c r="H4513" s="31">
        <v>10</v>
      </c>
      <c r="I4513" s="31">
        <v>32</v>
      </c>
      <c r="J4513" s="31" t="s">
        <v>16650</v>
      </c>
      <c r="K4513" s="31" t="s">
        <v>55</v>
      </c>
      <c r="L4513" s="31" t="s">
        <v>56</v>
      </c>
      <c r="M4513" s="31">
        <v>192</v>
      </c>
      <c r="N4513" s="31">
        <v>2016</v>
      </c>
      <c r="O4513" s="31">
        <v>86</v>
      </c>
      <c r="P4513" s="31"/>
      <c r="Q4513" s="31"/>
      <c r="R4513" s="33"/>
      <c r="S4513" s="34" t="str">
        <f>HYPERLINK("http://www.cnpol.ru/covers/0161.jpg","фото на сайте")</f>
        <v>фото на сайте</v>
      </c>
    </row>
    <row r="4514" spans="1:19" ht="50.1" customHeight="1">
      <c r="A4514" s="31"/>
      <c r="B4514" s="32" t="s">
        <v>16651</v>
      </c>
      <c r="C4514" s="31" t="s">
        <v>2120</v>
      </c>
      <c r="D4514" s="31" t="s">
        <v>1449</v>
      </c>
      <c r="E4514" s="31" t="s">
        <v>16652</v>
      </c>
      <c r="F4514" s="31" t="s">
        <v>31</v>
      </c>
      <c r="G4514" s="31">
        <v>81</v>
      </c>
      <c r="H4514" s="31">
        <v>10</v>
      </c>
      <c r="I4514" s="31">
        <v>100</v>
      </c>
      <c r="J4514" s="31" t="s">
        <v>16653</v>
      </c>
      <c r="K4514" s="31" t="s">
        <v>123</v>
      </c>
      <c r="L4514" s="31" t="s">
        <v>56</v>
      </c>
      <c r="M4514" s="31">
        <v>45</v>
      </c>
      <c r="N4514" s="31">
        <v>2005</v>
      </c>
      <c r="O4514" s="31">
        <v>28</v>
      </c>
      <c r="P4514" s="31"/>
      <c r="Q4514" s="31"/>
      <c r="R4514" s="33"/>
      <c r="S4514" s="34" t="str">
        <f>HYPERLINK("http://www.cnpol.ru/covers/6172.jpg","фото на сайте")</f>
        <v>фото на сайте</v>
      </c>
    </row>
    <row r="4515" spans="1:19" ht="50.1" customHeight="1">
      <c r="A4515" s="31"/>
      <c r="B4515" s="32" t="s">
        <v>16654</v>
      </c>
      <c r="C4515" s="31" t="s">
        <v>297</v>
      </c>
      <c r="D4515" s="31" t="s">
        <v>16655</v>
      </c>
      <c r="E4515" s="31" t="s">
        <v>16656</v>
      </c>
      <c r="F4515" s="31" t="s">
        <v>31</v>
      </c>
      <c r="G4515" s="31">
        <v>300</v>
      </c>
      <c r="H4515" s="31">
        <v>10</v>
      </c>
      <c r="I4515" s="31">
        <v>24</v>
      </c>
      <c r="J4515" s="31" t="s">
        <v>16657</v>
      </c>
      <c r="K4515" s="31" t="s">
        <v>300</v>
      </c>
      <c r="L4515" s="31" t="s">
        <v>56</v>
      </c>
      <c r="M4515" s="31">
        <v>255</v>
      </c>
      <c r="N4515" s="31">
        <v>2022</v>
      </c>
      <c r="O4515" s="31">
        <v>134</v>
      </c>
      <c r="P4515" s="31"/>
      <c r="Q4515" s="31"/>
      <c r="R4515" s="33"/>
      <c r="S4515" s="34" t="str">
        <f>HYPERLINK("http://www.cnpol.ru/covers/20189.jpg","фото на сайте")</f>
        <v>фото на сайте</v>
      </c>
    </row>
    <row r="4516" spans="1:19" ht="50.1" customHeight="1">
      <c r="A4516" s="31"/>
      <c r="B4516" s="32" t="s">
        <v>16658</v>
      </c>
      <c r="C4516" s="31" t="s">
        <v>302</v>
      </c>
      <c r="D4516" s="31" t="s">
        <v>16655</v>
      </c>
      <c r="E4516" s="31" t="s">
        <v>16656</v>
      </c>
      <c r="F4516" s="31" t="s">
        <v>31</v>
      </c>
      <c r="G4516" s="31">
        <v>917</v>
      </c>
      <c r="H4516" s="31">
        <v>10</v>
      </c>
      <c r="I4516" s="31">
        <v>16</v>
      </c>
      <c r="J4516" s="31" t="s">
        <v>16659</v>
      </c>
      <c r="K4516" s="31" t="s">
        <v>41</v>
      </c>
      <c r="L4516" s="31" t="s">
        <v>304</v>
      </c>
      <c r="M4516" s="31">
        <v>256</v>
      </c>
      <c r="N4516" s="31">
        <v>2019</v>
      </c>
      <c r="O4516" s="31">
        <v>340</v>
      </c>
      <c r="P4516" s="31"/>
      <c r="Q4516" s="31"/>
      <c r="R4516" s="33"/>
      <c r="S4516" s="34" t="str">
        <f>HYPERLINK("http://www.cnpol.ru/covers/18602.jpg","фото на сайте")</f>
        <v>фото на сайте</v>
      </c>
    </row>
    <row r="4517" spans="1:19" ht="50.1" customHeight="1">
      <c r="A4517" s="31" t="s">
        <v>35</v>
      </c>
      <c r="B4517" s="32" t="s">
        <v>16660</v>
      </c>
      <c r="C4517" s="31" t="s">
        <v>37</v>
      </c>
      <c r="D4517" s="31" t="s">
        <v>16661</v>
      </c>
      <c r="E4517" s="31" t="s">
        <v>16662</v>
      </c>
      <c r="F4517" s="31" t="s">
        <v>31</v>
      </c>
      <c r="G4517" s="31">
        <v>562</v>
      </c>
      <c r="H4517" s="31">
        <v>10</v>
      </c>
      <c r="I4517" s="31">
        <v>10</v>
      </c>
      <c r="J4517" s="31" t="s">
        <v>16663</v>
      </c>
      <c r="K4517" s="31" t="s">
        <v>33</v>
      </c>
      <c r="L4517" s="31" t="s">
        <v>34</v>
      </c>
      <c r="M4517" s="31">
        <v>416</v>
      </c>
      <c r="N4517" s="31">
        <v>2024</v>
      </c>
      <c r="O4517" s="31">
        <v>358</v>
      </c>
      <c r="P4517" s="31"/>
      <c r="Q4517" s="31"/>
      <c r="R4517" s="33" t="s">
        <v>16664</v>
      </c>
      <c r="S4517" s="34" t="str">
        <f>HYPERLINK("http://www.cnpol.ru/covers/21039.jpg","фото на сайте")</f>
        <v>фото на сайте</v>
      </c>
    </row>
    <row r="4518" spans="1:19" ht="50.1" customHeight="1">
      <c r="A4518" s="31" t="s">
        <v>43</v>
      </c>
      <c r="B4518" s="32" t="s">
        <v>16665</v>
      </c>
      <c r="C4518" s="31" t="s">
        <v>434</v>
      </c>
      <c r="D4518" s="31" t="s">
        <v>16666</v>
      </c>
      <c r="E4518" s="31" t="s">
        <v>16667</v>
      </c>
      <c r="F4518" s="31" t="s">
        <v>31</v>
      </c>
      <c r="G4518" s="31">
        <v>807</v>
      </c>
      <c r="H4518" s="31">
        <v>10</v>
      </c>
      <c r="I4518" s="31">
        <v>14</v>
      </c>
      <c r="J4518" s="31" t="s">
        <v>16668</v>
      </c>
      <c r="K4518" s="31" t="s">
        <v>33</v>
      </c>
      <c r="L4518" s="31" t="s">
        <v>34</v>
      </c>
      <c r="M4518" s="31">
        <v>255</v>
      </c>
      <c r="N4518" s="31">
        <v>2024</v>
      </c>
      <c r="O4518" s="31">
        <v>314</v>
      </c>
      <c r="P4518" s="31"/>
      <c r="Q4518" s="31"/>
      <c r="R4518" s="33" t="s">
        <v>16669</v>
      </c>
      <c r="S4518" s="34" t="str">
        <f>HYPERLINK("http://www.cnpol.ru/covers/21110.jpg","фото на сайте")</f>
        <v>фото на сайте</v>
      </c>
    </row>
    <row r="4519" spans="1:19" ht="50.1" customHeight="1">
      <c r="A4519" s="31" t="s">
        <v>43</v>
      </c>
      <c r="B4519" s="32" t="s">
        <v>16670</v>
      </c>
      <c r="C4519" s="31" t="s">
        <v>1668</v>
      </c>
      <c r="D4519" s="31" t="s">
        <v>1669</v>
      </c>
      <c r="E4519" s="31" t="s">
        <v>16671</v>
      </c>
      <c r="F4519" s="31" t="s">
        <v>31</v>
      </c>
      <c r="G4519" s="31">
        <v>575</v>
      </c>
      <c r="H4519" s="31">
        <v>10</v>
      </c>
      <c r="I4519" s="31">
        <v>14</v>
      </c>
      <c r="J4519" s="31" t="s">
        <v>16672</v>
      </c>
      <c r="K4519" s="31" t="s">
        <v>33</v>
      </c>
      <c r="L4519" s="31" t="s">
        <v>34</v>
      </c>
      <c r="M4519" s="31">
        <v>287</v>
      </c>
      <c r="N4519" s="31">
        <v>2024</v>
      </c>
      <c r="O4519" s="31">
        <v>250</v>
      </c>
      <c r="P4519" s="31"/>
      <c r="Q4519" s="31"/>
      <c r="R4519" s="33" t="s">
        <v>16673</v>
      </c>
      <c r="S4519" s="34" t="str">
        <f>HYPERLINK("http://www.cnpol.ru/covers/20995.jpg","фото на сайте")</f>
        <v>фото на сайте</v>
      </c>
    </row>
    <row r="4520" spans="1:19" ht="50.1" customHeight="1">
      <c r="A4520" s="31"/>
      <c r="B4520" s="32" t="s">
        <v>16674</v>
      </c>
      <c r="C4520" s="31" t="s">
        <v>6139</v>
      </c>
      <c r="D4520" s="31" t="s">
        <v>8906</v>
      </c>
      <c r="E4520" s="31" t="s">
        <v>16675</v>
      </c>
      <c r="F4520" s="31" t="s">
        <v>31</v>
      </c>
      <c r="G4520" s="31">
        <v>88</v>
      </c>
      <c r="H4520" s="31">
        <v>10</v>
      </c>
      <c r="I4520" s="31">
        <v>30</v>
      </c>
      <c r="J4520" s="31" t="s">
        <v>16676</v>
      </c>
      <c r="K4520" s="31" t="s">
        <v>123</v>
      </c>
      <c r="L4520" s="31" t="s">
        <v>56</v>
      </c>
      <c r="M4520" s="31">
        <v>158</v>
      </c>
      <c r="N4520" s="31">
        <v>2008</v>
      </c>
      <c r="O4520" s="31">
        <v>76</v>
      </c>
      <c r="P4520" s="31"/>
      <c r="Q4520" s="31"/>
      <c r="R4520" s="33"/>
      <c r="S4520" s="34" t="str">
        <f>HYPERLINK("http://www.cnpol.ru/covers/10894.jpg","фото на сайте")</f>
        <v>фото на сайте</v>
      </c>
    </row>
    <row r="4521" spans="1:19" ht="50.1" customHeight="1">
      <c r="A4521" s="31"/>
      <c r="B4521" s="32" t="s">
        <v>16677</v>
      </c>
      <c r="C4521" s="31" t="s">
        <v>390</v>
      </c>
      <c r="D4521" s="31" t="s">
        <v>391</v>
      </c>
      <c r="E4521" s="31" t="s">
        <v>16678</v>
      </c>
      <c r="F4521" s="31">
        <v>681</v>
      </c>
      <c r="G4521" s="31">
        <v>86</v>
      </c>
      <c r="H4521" s="31">
        <v>10</v>
      </c>
      <c r="I4521" s="31">
        <v>30</v>
      </c>
      <c r="J4521" s="31" t="s">
        <v>16679</v>
      </c>
      <c r="K4521" s="31" t="s">
        <v>123</v>
      </c>
      <c r="L4521" s="31" t="s">
        <v>56</v>
      </c>
      <c r="M4521" s="31">
        <v>160</v>
      </c>
      <c r="N4521" s="31">
        <v>2016</v>
      </c>
      <c r="O4521" s="31">
        <v>76</v>
      </c>
      <c r="P4521" s="31"/>
      <c r="Q4521" s="31"/>
      <c r="R4521" s="33"/>
      <c r="S4521" s="34" t="str">
        <f>HYPERLINK("http://www.cnpol.ru/covers/17234.jpg","фото на сайте")</f>
        <v>фото на сайте</v>
      </c>
    </row>
    <row r="4522" spans="1:19" ht="50.1" customHeight="1">
      <c r="A4522" s="31"/>
      <c r="B4522" s="32" t="s">
        <v>16680</v>
      </c>
      <c r="C4522" s="31" t="s">
        <v>390</v>
      </c>
      <c r="D4522" s="31" t="s">
        <v>16681</v>
      </c>
      <c r="E4522" s="31" t="s">
        <v>16682</v>
      </c>
      <c r="F4522" s="31">
        <v>1076</v>
      </c>
      <c r="G4522" s="31">
        <v>86</v>
      </c>
      <c r="H4522" s="31">
        <v>10</v>
      </c>
      <c r="I4522" s="31">
        <v>30</v>
      </c>
      <c r="J4522" s="31" t="s">
        <v>16683</v>
      </c>
      <c r="K4522" s="31" t="s">
        <v>123</v>
      </c>
      <c r="L4522" s="31" t="s">
        <v>56</v>
      </c>
      <c r="M4522" s="31">
        <v>159</v>
      </c>
      <c r="N4522" s="31">
        <v>2022</v>
      </c>
      <c r="O4522" s="31">
        <v>76</v>
      </c>
      <c r="P4522" s="31"/>
      <c r="Q4522" s="31"/>
      <c r="R4522" s="33"/>
      <c r="S4522" s="34" t="str">
        <f>HYPERLINK("http://www.cnpol.ru/covers/20048.jpg","фото на сайте")</f>
        <v>фото на сайте</v>
      </c>
    </row>
    <row r="4523" spans="1:19" ht="50.1" customHeight="1">
      <c r="A4523" s="31"/>
      <c r="B4523" s="32" t="s">
        <v>16684</v>
      </c>
      <c r="C4523" s="31" t="s">
        <v>6824</v>
      </c>
      <c r="D4523" s="31" t="s">
        <v>198</v>
      </c>
      <c r="E4523" s="31" t="s">
        <v>16685</v>
      </c>
      <c r="F4523" s="31" t="s">
        <v>31</v>
      </c>
      <c r="G4523" s="31">
        <v>88</v>
      </c>
      <c r="H4523" s="31">
        <v>10</v>
      </c>
      <c r="I4523" s="31">
        <v>40</v>
      </c>
      <c r="J4523" s="31" t="s">
        <v>16686</v>
      </c>
      <c r="K4523" s="31" t="s">
        <v>130</v>
      </c>
      <c r="L4523" s="31" t="s">
        <v>56</v>
      </c>
      <c r="M4523" s="31">
        <v>94</v>
      </c>
      <c r="N4523" s="31">
        <v>2010</v>
      </c>
      <c r="O4523" s="31">
        <v>62</v>
      </c>
      <c r="P4523" s="31"/>
      <c r="Q4523" s="31"/>
      <c r="R4523" s="33"/>
      <c r="S4523" s="34" t="str">
        <f>HYPERLINK("http://www.cnpol.ru/covers/11403.jpg","фото на сайте")</f>
        <v>фото на сайте</v>
      </c>
    </row>
    <row r="4524" spans="1:19" ht="50.1" customHeight="1">
      <c r="A4524" s="31"/>
      <c r="B4524" s="32" t="s">
        <v>16687</v>
      </c>
      <c r="C4524" s="31" t="s">
        <v>390</v>
      </c>
      <c r="D4524" s="31" t="s">
        <v>2253</v>
      </c>
      <c r="E4524" s="31" t="s">
        <v>16688</v>
      </c>
      <c r="F4524" s="31">
        <v>478</v>
      </c>
      <c r="G4524" s="31">
        <v>86</v>
      </c>
      <c r="H4524" s="31">
        <v>10</v>
      </c>
      <c r="I4524" s="31">
        <v>30</v>
      </c>
      <c r="J4524" s="31" t="s">
        <v>16689</v>
      </c>
      <c r="K4524" s="31" t="s">
        <v>123</v>
      </c>
      <c r="L4524" s="31" t="s">
        <v>56</v>
      </c>
      <c r="M4524" s="31">
        <v>158</v>
      </c>
      <c r="N4524" s="31">
        <v>2014</v>
      </c>
      <c r="O4524" s="31">
        <v>78</v>
      </c>
      <c r="P4524" s="31"/>
      <c r="Q4524" s="31"/>
      <c r="R4524" s="33"/>
      <c r="S4524" s="34" t="str">
        <f>HYPERLINK("http://www.cnpol.ru/covers/15694.jpg","фото на сайте")</f>
        <v>фото на сайте</v>
      </c>
    </row>
    <row r="4525" spans="1:19" ht="50.1" customHeight="1">
      <c r="A4525" s="31"/>
      <c r="B4525" s="32" t="s">
        <v>16690</v>
      </c>
      <c r="C4525" s="31" t="s">
        <v>390</v>
      </c>
      <c r="D4525" s="31" t="s">
        <v>2645</v>
      </c>
      <c r="E4525" s="31" t="s">
        <v>16691</v>
      </c>
      <c r="F4525" s="31">
        <v>797</v>
      </c>
      <c r="G4525" s="31">
        <v>86</v>
      </c>
      <c r="H4525" s="31">
        <v>10</v>
      </c>
      <c r="I4525" s="31">
        <v>30</v>
      </c>
      <c r="J4525" s="31" t="s">
        <v>16692</v>
      </c>
      <c r="K4525" s="31" t="s">
        <v>123</v>
      </c>
      <c r="L4525" s="31" t="s">
        <v>56</v>
      </c>
      <c r="M4525" s="31">
        <v>160</v>
      </c>
      <c r="N4525" s="31">
        <v>2018</v>
      </c>
      <c r="O4525" s="31">
        <v>76</v>
      </c>
      <c r="P4525" s="31"/>
      <c r="Q4525" s="31"/>
      <c r="R4525" s="33"/>
      <c r="S4525" s="34" t="str">
        <f>HYPERLINK("http://www.cnpol.ru/covers/18015.jpg","фото на сайте")</f>
        <v>фото на сайте</v>
      </c>
    </row>
    <row r="4526" spans="1:19" ht="50.1" customHeight="1">
      <c r="A4526" s="31"/>
      <c r="B4526" s="32" t="s">
        <v>16693</v>
      </c>
      <c r="C4526" s="31" t="s">
        <v>390</v>
      </c>
      <c r="D4526" s="31" t="s">
        <v>1187</v>
      </c>
      <c r="E4526" s="31" t="s">
        <v>16694</v>
      </c>
      <c r="F4526" s="31">
        <v>489</v>
      </c>
      <c r="G4526" s="31">
        <v>86</v>
      </c>
      <c r="H4526" s="31">
        <v>10</v>
      </c>
      <c r="I4526" s="31">
        <v>30</v>
      </c>
      <c r="J4526" s="31" t="s">
        <v>16695</v>
      </c>
      <c r="K4526" s="31" t="s">
        <v>123</v>
      </c>
      <c r="L4526" s="31" t="s">
        <v>56</v>
      </c>
      <c r="M4526" s="31">
        <v>158</v>
      </c>
      <c r="N4526" s="31">
        <v>2015</v>
      </c>
      <c r="O4526" s="31">
        <v>78</v>
      </c>
      <c r="P4526" s="31"/>
      <c r="Q4526" s="31"/>
      <c r="R4526" s="33"/>
      <c r="S4526" s="34" t="str">
        <f>HYPERLINK("http://www.cnpol.ru/covers/15784.jpg","фото на сайте")</f>
        <v>фото на сайте</v>
      </c>
    </row>
    <row r="4527" spans="1:19" ht="50.1" customHeight="1">
      <c r="A4527" s="31"/>
      <c r="B4527" s="32" t="s">
        <v>16696</v>
      </c>
      <c r="C4527" s="31" t="s">
        <v>390</v>
      </c>
      <c r="D4527" s="31" t="s">
        <v>414</v>
      </c>
      <c r="E4527" s="31" t="s">
        <v>16697</v>
      </c>
      <c r="F4527" s="31">
        <v>1059</v>
      </c>
      <c r="G4527" s="31">
        <v>86</v>
      </c>
      <c r="H4527" s="31">
        <v>10</v>
      </c>
      <c r="I4527" s="31">
        <v>30</v>
      </c>
      <c r="J4527" s="31" t="s">
        <v>16698</v>
      </c>
      <c r="K4527" s="31" t="s">
        <v>123</v>
      </c>
      <c r="L4527" s="31" t="s">
        <v>56</v>
      </c>
      <c r="M4527" s="31">
        <v>159</v>
      </c>
      <c r="N4527" s="31">
        <v>2021</v>
      </c>
      <c r="O4527" s="31">
        <v>76</v>
      </c>
      <c r="P4527" s="31"/>
      <c r="Q4527" s="31"/>
      <c r="R4527" s="33"/>
      <c r="S4527" s="34" t="str">
        <f>HYPERLINK("http://www.cnpol.ru/covers/19889.jpg","фото на сайте")</f>
        <v>фото на сайте</v>
      </c>
    </row>
    <row r="4528" spans="1:19" ht="50.1" customHeight="1">
      <c r="A4528" s="31"/>
      <c r="B4528" s="32" t="s">
        <v>16699</v>
      </c>
      <c r="C4528" s="31" t="s">
        <v>385</v>
      </c>
      <c r="D4528" s="31" t="s">
        <v>386</v>
      </c>
      <c r="E4528" s="31" t="s">
        <v>16700</v>
      </c>
      <c r="F4528" s="31" t="s">
        <v>31</v>
      </c>
      <c r="G4528" s="31">
        <v>162</v>
      </c>
      <c r="H4528" s="31">
        <v>10</v>
      </c>
      <c r="I4528" s="31">
        <v>32</v>
      </c>
      <c r="J4528" s="31" t="s">
        <v>16701</v>
      </c>
      <c r="K4528" s="31" t="s">
        <v>55</v>
      </c>
      <c r="L4528" s="31" t="s">
        <v>56</v>
      </c>
      <c r="M4528" s="31">
        <v>254</v>
      </c>
      <c r="N4528" s="31">
        <v>2014</v>
      </c>
      <c r="O4528" s="31">
        <v>110</v>
      </c>
      <c r="P4528" s="31"/>
      <c r="Q4528" s="31"/>
      <c r="R4528" s="33"/>
      <c r="S4528" s="34" t="str">
        <f>HYPERLINK("http://www.cnpol.ru/covers/14946.jpg","фото на сайте")</f>
        <v>фото на сайте</v>
      </c>
    </row>
    <row r="4529" spans="1:19" ht="50.1" customHeight="1">
      <c r="A4529" s="31"/>
      <c r="B4529" s="32" t="s">
        <v>16702</v>
      </c>
      <c r="C4529" s="31" t="s">
        <v>385</v>
      </c>
      <c r="D4529" s="31" t="s">
        <v>386</v>
      </c>
      <c r="E4529" s="31" t="s">
        <v>16700</v>
      </c>
      <c r="F4529" s="31" t="s">
        <v>31</v>
      </c>
      <c r="G4529" s="31">
        <v>162</v>
      </c>
      <c r="H4529" s="31">
        <v>10</v>
      </c>
      <c r="I4529" s="31">
        <v>32</v>
      </c>
      <c r="J4529" s="31" t="s">
        <v>16703</v>
      </c>
      <c r="K4529" s="31" t="s">
        <v>55</v>
      </c>
      <c r="L4529" s="31" t="s">
        <v>56</v>
      </c>
      <c r="M4529" s="31">
        <v>250</v>
      </c>
      <c r="N4529" s="31">
        <v>2016</v>
      </c>
      <c r="O4529" s="31">
        <v>110</v>
      </c>
      <c r="P4529" s="31"/>
      <c r="Q4529" s="31"/>
      <c r="R4529" s="33"/>
      <c r="S4529" s="34" t="str">
        <f>HYPERLINK("http://www.cnpol.ru/covers/0108.jpg","фото на сайте")</f>
        <v>фото на сайте</v>
      </c>
    </row>
    <row r="4530" spans="1:19" ht="50.1" customHeight="1">
      <c r="A4530" s="31"/>
      <c r="B4530" s="32" t="s">
        <v>16704</v>
      </c>
      <c r="C4530" s="31" t="s">
        <v>589</v>
      </c>
      <c r="D4530" s="31" t="s">
        <v>590</v>
      </c>
      <c r="E4530" s="31" t="s">
        <v>16705</v>
      </c>
      <c r="F4530" s="31" t="s">
        <v>31</v>
      </c>
      <c r="G4530" s="31">
        <v>258</v>
      </c>
      <c r="H4530" s="31">
        <v>10</v>
      </c>
      <c r="I4530" s="31">
        <v>24</v>
      </c>
      <c r="J4530" s="31" t="s">
        <v>16706</v>
      </c>
      <c r="K4530" s="31" t="s">
        <v>130</v>
      </c>
      <c r="L4530" s="31" t="s">
        <v>56</v>
      </c>
      <c r="M4530" s="31">
        <v>223</v>
      </c>
      <c r="N4530" s="31">
        <v>2015</v>
      </c>
      <c r="O4530" s="31">
        <v>138</v>
      </c>
      <c r="P4530" s="31"/>
      <c r="Q4530" s="31"/>
      <c r="R4530" s="33"/>
      <c r="S4530" s="34" t="str">
        <f>HYPERLINK("http://www.cnpol.ru/covers/16151.jpg","фото на сайте")</f>
        <v>фото на сайте</v>
      </c>
    </row>
    <row r="4531" spans="1:19" ht="50.1" customHeight="1">
      <c r="A4531" s="31"/>
      <c r="B4531" s="32" t="s">
        <v>16707</v>
      </c>
      <c r="C4531" s="31" t="s">
        <v>9452</v>
      </c>
      <c r="D4531" s="31" t="s">
        <v>3712</v>
      </c>
      <c r="E4531" s="31" t="s">
        <v>16708</v>
      </c>
      <c r="F4531" s="31" t="s">
        <v>31</v>
      </c>
      <c r="G4531" s="31">
        <v>169</v>
      </c>
      <c r="H4531" s="31">
        <v>10</v>
      </c>
      <c r="I4531" s="31">
        <v>22</v>
      </c>
      <c r="J4531" s="31" t="s">
        <v>16709</v>
      </c>
      <c r="K4531" s="31" t="s">
        <v>123</v>
      </c>
      <c r="L4531" s="31" t="s">
        <v>56</v>
      </c>
      <c r="M4531" s="31">
        <v>382</v>
      </c>
      <c r="N4531" s="31">
        <v>2010</v>
      </c>
      <c r="O4531" s="31">
        <v>176</v>
      </c>
      <c r="P4531" s="31"/>
      <c r="Q4531" s="31"/>
      <c r="R4531" s="33"/>
      <c r="S4531" s="34" t="str">
        <f>HYPERLINK("http://www.cnpol.ru/covers/11418.jpg","фото на сайте")</f>
        <v>фото на сайте</v>
      </c>
    </row>
    <row r="4532" spans="1:19" ht="50.1" customHeight="1">
      <c r="A4532" s="31"/>
      <c r="B4532" s="32" t="s">
        <v>16710</v>
      </c>
      <c r="C4532" s="31" t="s">
        <v>9452</v>
      </c>
      <c r="D4532" s="31" t="s">
        <v>3712</v>
      </c>
      <c r="E4532" s="31" t="s">
        <v>16708</v>
      </c>
      <c r="F4532" s="31" t="s">
        <v>31</v>
      </c>
      <c r="G4532" s="31">
        <v>243</v>
      </c>
      <c r="H4532" s="31">
        <v>10</v>
      </c>
      <c r="I4532" s="31">
        <v>20</v>
      </c>
      <c r="J4532" s="31" t="s">
        <v>16711</v>
      </c>
      <c r="K4532" s="31" t="s">
        <v>123</v>
      </c>
      <c r="L4532" s="31" t="s">
        <v>56</v>
      </c>
      <c r="M4532" s="31">
        <v>382</v>
      </c>
      <c r="N4532" s="31">
        <v>2010</v>
      </c>
      <c r="O4532" s="31">
        <v>174</v>
      </c>
      <c r="P4532" s="31"/>
      <c r="Q4532" s="31"/>
      <c r="R4532" s="33"/>
      <c r="S4532" s="34" t="str">
        <f>HYPERLINK("http://www.cnpol.ru/covers/12056.jpg","фото на сайте")</f>
        <v>фото на сайте</v>
      </c>
    </row>
    <row r="4533" spans="1:19" ht="50.1" customHeight="1">
      <c r="A4533" s="31"/>
      <c r="B4533" s="32" t="s">
        <v>16712</v>
      </c>
      <c r="C4533" s="31" t="s">
        <v>3711</v>
      </c>
      <c r="D4533" s="31" t="s">
        <v>3712</v>
      </c>
      <c r="E4533" s="31" t="s">
        <v>16708</v>
      </c>
      <c r="F4533" s="31" t="s">
        <v>31</v>
      </c>
      <c r="G4533" s="31">
        <v>461</v>
      </c>
      <c r="H4533" s="31">
        <v>10</v>
      </c>
      <c r="I4533" s="31">
        <v>14</v>
      </c>
      <c r="J4533" s="31" t="s">
        <v>16713</v>
      </c>
      <c r="K4533" s="31" t="s">
        <v>33</v>
      </c>
      <c r="L4533" s="31" t="s">
        <v>34</v>
      </c>
      <c r="M4533" s="31">
        <v>382</v>
      </c>
      <c r="N4533" s="31">
        <v>2008</v>
      </c>
      <c r="O4533" s="31">
        <v>332</v>
      </c>
      <c r="P4533" s="31"/>
      <c r="Q4533" s="31"/>
      <c r="R4533" s="33"/>
      <c r="S4533" s="34" t="str">
        <f>HYPERLINK("http://www.cnpol.ru/covers/10519.jpg","фото на сайте")</f>
        <v>фото на сайте</v>
      </c>
    </row>
    <row r="4534" spans="1:19" ht="50.1" customHeight="1">
      <c r="A4534" s="31"/>
      <c r="B4534" s="32" t="s">
        <v>16714</v>
      </c>
      <c r="C4534" s="31" t="s">
        <v>385</v>
      </c>
      <c r="D4534" s="31" t="s">
        <v>386</v>
      </c>
      <c r="E4534" s="31" t="s">
        <v>16715</v>
      </c>
      <c r="F4534" s="31" t="s">
        <v>31</v>
      </c>
      <c r="G4534" s="31">
        <v>162</v>
      </c>
      <c r="H4534" s="31">
        <v>10</v>
      </c>
      <c r="I4534" s="31">
        <v>32</v>
      </c>
      <c r="J4534" s="31" t="s">
        <v>16716</v>
      </c>
      <c r="K4534" s="31" t="s">
        <v>55</v>
      </c>
      <c r="L4534" s="31" t="s">
        <v>56</v>
      </c>
      <c r="M4534" s="31">
        <v>256</v>
      </c>
      <c r="N4534" s="31">
        <v>2016</v>
      </c>
      <c r="O4534" s="31">
        <v>106</v>
      </c>
      <c r="P4534" s="31"/>
      <c r="Q4534" s="31"/>
      <c r="R4534" s="33"/>
      <c r="S4534" s="34" t="str">
        <f>HYPERLINK("http://www.cnpol.ru/covers/0128.jpg","фото на сайте")</f>
        <v>фото на сайте</v>
      </c>
    </row>
    <row r="4535" spans="1:19" ht="50.1" customHeight="1">
      <c r="A4535" s="31" t="s">
        <v>43</v>
      </c>
      <c r="B4535" s="32" t="s">
        <v>16717</v>
      </c>
      <c r="C4535" s="31" t="s">
        <v>390</v>
      </c>
      <c r="D4535" s="31" t="s">
        <v>16718</v>
      </c>
      <c r="E4535" s="31" t="s">
        <v>16719</v>
      </c>
      <c r="F4535" s="31">
        <v>1171</v>
      </c>
      <c r="G4535" s="31">
        <v>86</v>
      </c>
      <c r="H4535" s="31">
        <v>10</v>
      </c>
      <c r="I4535" s="31">
        <v>30</v>
      </c>
      <c r="J4535" s="31" t="s">
        <v>16720</v>
      </c>
      <c r="K4535" s="31" t="s">
        <v>123</v>
      </c>
      <c r="L4535" s="31" t="s">
        <v>56</v>
      </c>
      <c r="M4535" s="31">
        <v>159</v>
      </c>
      <c r="N4535" s="31">
        <v>2024</v>
      </c>
      <c r="O4535" s="31">
        <v>76</v>
      </c>
      <c r="P4535" s="31"/>
      <c r="Q4535" s="31"/>
      <c r="R4535" s="33" t="s">
        <v>16721</v>
      </c>
      <c r="S4535" s="34" t="str">
        <f>HYPERLINK("http://www.cnpol.ru/covers/21060.jpg","фото на сайте")</f>
        <v>фото на сайте</v>
      </c>
    </row>
    <row r="4536" spans="1:19" ht="50.1" customHeight="1">
      <c r="A4536" s="31"/>
      <c r="B4536" s="32" t="s">
        <v>16722</v>
      </c>
      <c r="C4536" s="31" t="s">
        <v>390</v>
      </c>
      <c r="D4536" s="31" t="s">
        <v>2511</v>
      </c>
      <c r="E4536" s="31" t="s">
        <v>16723</v>
      </c>
      <c r="F4536" s="31">
        <v>543</v>
      </c>
      <c r="G4536" s="31">
        <v>86</v>
      </c>
      <c r="H4536" s="31">
        <v>10</v>
      </c>
      <c r="I4536" s="31">
        <v>30</v>
      </c>
      <c r="J4536" s="31" t="s">
        <v>16724</v>
      </c>
      <c r="K4536" s="31" t="s">
        <v>123</v>
      </c>
      <c r="L4536" s="31" t="s">
        <v>56</v>
      </c>
      <c r="M4536" s="31">
        <v>158</v>
      </c>
      <c r="N4536" s="31">
        <v>2015</v>
      </c>
      <c r="O4536" s="31">
        <v>76</v>
      </c>
      <c r="P4536" s="31"/>
      <c r="Q4536" s="31"/>
      <c r="R4536" s="33"/>
      <c r="S4536" s="34" t="str">
        <f>HYPERLINK("http://www.cnpol.ru/covers/16167.jpg","фото на сайте")</f>
        <v>фото на сайте</v>
      </c>
    </row>
    <row r="4537" spans="1:19" ht="50.1" customHeight="1">
      <c r="A4537" s="31"/>
      <c r="B4537" s="32" t="s">
        <v>16725</v>
      </c>
      <c r="C4537" s="31" t="s">
        <v>385</v>
      </c>
      <c r="D4537" s="31" t="s">
        <v>386</v>
      </c>
      <c r="E4537" s="31" t="s">
        <v>16726</v>
      </c>
      <c r="F4537" s="31" t="s">
        <v>31</v>
      </c>
      <c r="G4537" s="31">
        <v>162</v>
      </c>
      <c r="H4537" s="31">
        <v>10</v>
      </c>
      <c r="I4537" s="31">
        <v>32</v>
      </c>
      <c r="J4537" s="31" t="s">
        <v>16727</v>
      </c>
      <c r="K4537" s="31" t="s">
        <v>55</v>
      </c>
      <c r="L4537" s="31" t="s">
        <v>56</v>
      </c>
      <c r="M4537" s="31">
        <v>250</v>
      </c>
      <c r="N4537" s="31">
        <v>2016</v>
      </c>
      <c r="O4537" s="31">
        <v>106</v>
      </c>
      <c r="P4537" s="31"/>
      <c r="Q4537" s="31"/>
      <c r="R4537" s="33"/>
      <c r="S4537" s="34" t="str">
        <f>HYPERLINK("http://www.cnpol.ru/covers/0129.jpg","фото на сайте")</f>
        <v>фото на сайте</v>
      </c>
    </row>
    <row r="4538" spans="1:19" ht="50.1" customHeight="1">
      <c r="A4538" s="31"/>
      <c r="B4538" s="32" t="s">
        <v>16728</v>
      </c>
      <c r="C4538" s="31" t="s">
        <v>390</v>
      </c>
      <c r="D4538" s="31" t="s">
        <v>1638</v>
      </c>
      <c r="E4538" s="31" t="s">
        <v>16729</v>
      </c>
      <c r="F4538" s="31">
        <v>273</v>
      </c>
      <c r="G4538" s="31">
        <v>86</v>
      </c>
      <c r="H4538" s="31">
        <v>10</v>
      </c>
      <c r="I4538" s="31">
        <v>30</v>
      </c>
      <c r="J4538" s="31" t="s">
        <v>16730</v>
      </c>
      <c r="K4538" s="31" t="s">
        <v>123</v>
      </c>
      <c r="L4538" s="31" t="s">
        <v>56</v>
      </c>
      <c r="M4538" s="31">
        <v>158</v>
      </c>
      <c r="N4538" s="31">
        <v>2012</v>
      </c>
      <c r="O4538" s="31">
        <v>80</v>
      </c>
      <c r="P4538" s="31"/>
      <c r="Q4538" s="31"/>
      <c r="R4538" s="33"/>
      <c r="S4538" s="34" t="str">
        <f>HYPERLINK("http://www.cnpol.ru/covers/13884.jpg","фото на сайте")</f>
        <v>фото на сайте</v>
      </c>
    </row>
    <row r="4539" spans="1:19" ht="50.1" customHeight="1">
      <c r="A4539" s="31"/>
      <c r="B4539" s="32" t="s">
        <v>16731</v>
      </c>
      <c r="C4539" s="31" t="s">
        <v>2420</v>
      </c>
      <c r="D4539" s="31" t="s">
        <v>16732</v>
      </c>
      <c r="E4539" s="31" t="s">
        <v>16733</v>
      </c>
      <c r="F4539" s="31" t="s">
        <v>31</v>
      </c>
      <c r="G4539" s="31">
        <v>88</v>
      </c>
      <c r="H4539" s="31">
        <v>10</v>
      </c>
      <c r="I4539" s="31">
        <v>30</v>
      </c>
      <c r="J4539" s="31" t="s">
        <v>16734</v>
      </c>
      <c r="K4539" s="31" t="s">
        <v>123</v>
      </c>
      <c r="L4539" s="31" t="s">
        <v>56</v>
      </c>
      <c r="M4539" s="31">
        <v>204</v>
      </c>
      <c r="N4539" s="31">
        <v>2005</v>
      </c>
      <c r="O4539" s="31">
        <v>98</v>
      </c>
      <c r="P4539" s="31"/>
      <c r="Q4539" s="31"/>
      <c r="R4539" s="33"/>
      <c r="S4539" s="34" t="str">
        <f>HYPERLINK("http://www.cnpol.ru/covers/5694.jpg","фото на сайте")</f>
        <v>фото на сайте</v>
      </c>
    </row>
    <row r="4540" spans="1:19" ht="50.1" customHeight="1">
      <c r="A4540" s="31"/>
      <c r="B4540" s="32" t="s">
        <v>16735</v>
      </c>
      <c r="C4540" s="31" t="s">
        <v>528</v>
      </c>
      <c r="D4540" s="31" t="s">
        <v>529</v>
      </c>
      <c r="E4540" s="31" t="s">
        <v>16736</v>
      </c>
      <c r="F4540" s="31" t="s">
        <v>31</v>
      </c>
      <c r="G4540" s="31">
        <v>137</v>
      </c>
      <c r="H4540" s="31">
        <v>10</v>
      </c>
      <c r="I4540" s="31">
        <v>40</v>
      </c>
      <c r="J4540" s="31" t="s">
        <v>16737</v>
      </c>
      <c r="K4540" s="31" t="s">
        <v>55</v>
      </c>
      <c r="L4540" s="31" t="s">
        <v>56</v>
      </c>
      <c r="M4540" s="31">
        <v>160</v>
      </c>
      <c r="N4540" s="31">
        <v>2014</v>
      </c>
      <c r="O4540" s="31">
        <v>70</v>
      </c>
      <c r="P4540" s="31"/>
      <c r="Q4540" s="31"/>
      <c r="R4540" s="33"/>
      <c r="S4540" s="34" t="str">
        <f>HYPERLINK("http://www.cnpol.ru/covers/15144.jpg","фото на сайте")</f>
        <v>фото на сайте</v>
      </c>
    </row>
    <row r="4541" spans="1:19" ht="50.1" customHeight="1">
      <c r="A4541" s="31"/>
      <c r="B4541" s="32" t="s">
        <v>16738</v>
      </c>
      <c r="C4541" s="31" t="s">
        <v>28</v>
      </c>
      <c r="D4541" s="31" t="s">
        <v>16739</v>
      </c>
      <c r="E4541" s="31" t="s">
        <v>16740</v>
      </c>
      <c r="F4541" s="31" t="s">
        <v>31</v>
      </c>
      <c r="G4541" s="31">
        <v>486</v>
      </c>
      <c r="H4541" s="31">
        <v>10</v>
      </c>
      <c r="I4541" s="31">
        <v>10</v>
      </c>
      <c r="J4541" s="31" t="s">
        <v>16741</v>
      </c>
      <c r="K4541" s="31" t="s">
        <v>33</v>
      </c>
      <c r="L4541" s="31" t="s">
        <v>34</v>
      </c>
      <c r="M4541" s="31">
        <v>352</v>
      </c>
      <c r="N4541" s="31">
        <v>2018</v>
      </c>
      <c r="O4541" s="31">
        <v>354</v>
      </c>
      <c r="P4541" s="31"/>
      <c r="Q4541" s="31"/>
      <c r="R4541" s="33"/>
      <c r="S4541" s="34" t="str">
        <f>HYPERLINK("http://www.cnpol.ru/covers/18056.jpg","фото на сайте")</f>
        <v>фото на сайте</v>
      </c>
    </row>
    <row r="4542" spans="1:19" ht="50.1" customHeight="1">
      <c r="A4542" s="31"/>
      <c r="B4542" s="32" t="s">
        <v>16742</v>
      </c>
      <c r="C4542" s="31" t="s">
        <v>2742</v>
      </c>
      <c r="D4542" s="31" t="s">
        <v>16743</v>
      </c>
      <c r="E4542" s="31" t="s">
        <v>16744</v>
      </c>
      <c r="F4542" s="31" t="s">
        <v>31</v>
      </c>
      <c r="G4542" s="31">
        <v>522</v>
      </c>
      <c r="H4542" s="31">
        <v>10</v>
      </c>
      <c r="I4542" s="31">
        <v>18</v>
      </c>
      <c r="J4542" s="31" t="s">
        <v>16745</v>
      </c>
      <c r="K4542" s="31" t="s">
        <v>33</v>
      </c>
      <c r="L4542" s="31" t="s">
        <v>34</v>
      </c>
      <c r="M4542" s="31">
        <v>288</v>
      </c>
      <c r="N4542" s="31">
        <v>2021</v>
      </c>
      <c r="O4542" s="31">
        <v>282</v>
      </c>
      <c r="P4542" s="31"/>
      <c r="Q4542" s="31"/>
      <c r="R4542" s="33"/>
      <c r="S4542" s="34" t="str">
        <f>HYPERLINK("http://www.cnpol.ru/covers/19999.jpg","фото на сайте")</f>
        <v>фото на сайте</v>
      </c>
    </row>
    <row r="4543" spans="1:19" ht="50.1" customHeight="1">
      <c r="A4543" s="31"/>
      <c r="B4543" s="32" t="s">
        <v>16746</v>
      </c>
      <c r="C4543" s="31" t="s">
        <v>454</v>
      </c>
      <c r="D4543" s="31" t="s">
        <v>16747</v>
      </c>
      <c r="E4543" s="31" t="s">
        <v>16748</v>
      </c>
      <c r="F4543" s="31" t="s">
        <v>31</v>
      </c>
      <c r="G4543" s="31">
        <v>881</v>
      </c>
      <c r="H4543" s="31">
        <v>10</v>
      </c>
      <c r="I4543" s="31">
        <v>12</v>
      </c>
      <c r="J4543" s="31" t="s">
        <v>16749</v>
      </c>
      <c r="K4543" s="31" t="s">
        <v>33</v>
      </c>
      <c r="L4543" s="31" t="s">
        <v>34</v>
      </c>
      <c r="M4543" s="31">
        <v>287</v>
      </c>
      <c r="N4543" s="31">
        <v>2023</v>
      </c>
      <c r="O4543" s="31">
        <v>280</v>
      </c>
      <c r="P4543" s="31"/>
      <c r="Q4543" s="31"/>
      <c r="R4543" s="33" t="s">
        <v>16750</v>
      </c>
      <c r="S4543" s="34" t="str">
        <f>HYPERLINK("http://www.cnpol.ru/covers/20583.jpg","фото на сайте")</f>
        <v>фото на сайте</v>
      </c>
    </row>
    <row r="4544" spans="1:19" ht="50.1" customHeight="1">
      <c r="A4544" s="31"/>
      <c r="B4544" s="32" t="s">
        <v>16751</v>
      </c>
      <c r="C4544" s="31" t="s">
        <v>395</v>
      </c>
      <c r="D4544" s="31" t="s">
        <v>1954</v>
      </c>
      <c r="E4544" s="31" t="s">
        <v>16752</v>
      </c>
      <c r="F4544" s="31" t="s">
        <v>31</v>
      </c>
      <c r="G4544" s="31">
        <v>290</v>
      </c>
      <c r="H4544" s="31">
        <v>10</v>
      </c>
      <c r="I4544" s="31">
        <v>12</v>
      </c>
      <c r="J4544" s="31" t="s">
        <v>16753</v>
      </c>
      <c r="K4544" s="31" t="s">
        <v>33</v>
      </c>
      <c r="L4544" s="31" t="s">
        <v>34</v>
      </c>
      <c r="M4544" s="31">
        <v>351</v>
      </c>
      <c r="N4544" s="31">
        <v>2005</v>
      </c>
      <c r="O4544" s="31">
        <v>306</v>
      </c>
      <c r="P4544" s="31"/>
      <c r="Q4544" s="31"/>
      <c r="R4544" s="33"/>
      <c r="S4544" s="34" t="str">
        <f>HYPERLINK("http://www.cnpol.ru/covers/5756.jpg","фото на сайте")</f>
        <v>фото на сайте</v>
      </c>
    </row>
    <row r="4545" spans="1:19" ht="50.1" customHeight="1">
      <c r="A4545" s="31"/>
      <c r="B4545" s="32" t="s">
        <v>16754</v>
      </c>
      <c r="C4545" s="31" t="s">
        <v>953</v>
      </c>
      <c r="D4545" s="31" t="s">
        <v>16755</v>
      </c>
      <c r="E4545" s="31" t="s">
        <v>16756</v>
      </c>
      <c r="F4545" s="31" t="s">
        <v>31</v>
      </c>
      <c r="G4545" s="31">
        <v>154</v>
      </c>
      <c r="H4545" s="31">
        <v>10</v>
      </c>
      <c r="I4545" s="31">
        <v>20</v>
      </c>
      <c r="J4545" s="31" t="s">
        <v>16757</v>
      </c>
      <c r="K4545" s="31" t="s">
        <v>55</v>
      </c>
      <c r="L4545" s="31" t="s">
        <v>56</v>
      </c>
      <c r="M4545" s="31">
        <v>348</v>
      </c>
      <c r="N4545" s="31">
        <v>2008</v>
      </c>
      <c r="O4545" s="31">
        <v>138</v>
      </c>
      <c r="P4545" s="31"/>
      <c r="Q4545" s="31"/>
      <c r="R4545" s="33"/>
      <c r="S4545" s="34" t="str">
        <f>HYPERLINK("http://www.cnpol.ru/covers/10304.jpg","фото на сайте")</f>
        <v>фото на сайте</v>
      </c>
    </row>
    <row r="4546" spans="1:19" ht="50.1" customHeight="1">
      <c r="A4546" s="31"/>
      <c r="B4546" s="32" t="s">
        <v>16758</v>
      </c>
      <c r="C4546" s="31" t="s">
        <v>546</v>
      </c>
      <c r="D4546" s="31" t="s">
        <v>12940</v>
      </c>
      <c r="E4546" s="31" t="s">
        <v>16759</v>
      </c>
      <c r="F4546" s="31">
        <v>117</v>
      </c>
      <c r="G4546" s="31">
        <v>93</v>
      </c>
      <c r="H4546" s="31">
        <v>10</v>
      </c>
      <c r="I4546" s="31">
        <v>30</v>
      </c>
      <c r="J4546" s="31" t="s">
        <v>16760</v>
      </c>
      <c r="K4546" s="31" t="s">
        <v>123</v>
      </c>
      <c r="L4546" s="31" t="s">
        <v>56</v>
      </c>
      <c r="M4546" s="31">
        <v>158</v>
      </c>
      <c r="N4546" s="31">
        <v>2015</v>
      </c>
      <c r="O4546" s="31">
        <v>76</v>
      </c>
      <c r="P4546" s="31"/>
      <c r="Q4546" s="31"/>
      <c r="R4546" s="33"/>
      <c r="S4546" s="34" t="str">
        <f>HYPERLINK("http://www.cnpol.ru/covers/15969.jpg","фото на сайте")</f>
        <v>фото на сайте</v>
      </c>
    </row>
    <row r="4547" spans="1:19" ht="50.1" customHeight="1">
      <c r="A4547" s="31"/>
      <c r="B4547" s="32" t="s">
        <v>16761</v>
      </c>
      <c r="C4547" s="31" t="s">
        <v>3229</v>
      </c>
      <c r="D4547" s="31" t="s">
        <v>16762</v>
      </c>
      <c r="E4547" s="31" t="s">
        <v>16763</v>
      </c>
      <c r="F4547" s="31" t="s">
        <v>31</v>
      </c>
      <c r="G4547" s="31">
        <v>693</v>
      </c>
      <c r="H4547" s="31">
        <v>10</v>
      </c>
      <c r="I4547" s="31">
        <v>16</v>
      </c>
      <c r="J4547" s="31" t="s">
        <v>16764</v>
      </c>
      <c r="K4547" s="31" t="s">
        <v>33</v>
      </c>
      <c r="L4547" s="31" t="s">
        <v>34</v>
      </c>
      <c r="M4547" s="31">
        <v>384</v>
      </c>
      <c r="N4547" s="31">
        <v>2017</v>
      </c>
      <c r="O4547" s="31">
        <v>370</v>
      </c>
      <c r="P4547" s="31"/>
      <c r="Q4547" s="31"/>
      <c r="R4547" s="33"/>
      <c r="S4547" s="34" t="str">
        <f>HYPERLINK("http://www.cnpol.ru/covers/17814.jpg","фото на сайте")</f>
        <v>фото на сайте</v>
      </c>
    </row>
    <row r="4548" spans="1:19" ht="50.1" customHeight="1">
      <c r="A4548" s="31"/>
      <c r="B4548" s="32" t="s">
        <v>16765</v>
      </c>
      <c r="C4548" s="31" t="s">
        <v>1594</v>
      </c>
      <c r="D4548" s="31" t="s">
        <v>10468</v>
      </c>
      <c r="E4548" s="31" t="s">
        <v>16766</v>
      </c>
      <c r="F4548" s="31" t="s">
        <v>31</v>
      </c>
      <c r="G4548" s="31">
        <v>169</v>
      </c>
      <c r="H4548" s="31">
        <v>10</v>
      </c>
      <c r="I4548" s="31">
        <v>11</v>
      </c>
      <c r="J4548" s="31" t="s">
        <v>16767</v>
      </c>
      <c r="K4548" s="31" t="s">
        <v>55</v>
      </c>
      <c r="L4548" s="31" t="s">
        <v>56</v>
      </c>
      <c r="M4548" s="31">
        <v>288</v>
      </c>
      <c r="N4548" s="31">
        <v>2021</v>
      </c>
      <c r="O4548" s="31">
        <v>122</v>
      </c>
      <c r="P4548" s="31"/>
      <c r="Q4548" s="31"/>
      <c r="R4548" s="33"/>
      <c r="S4548" s="34" t="str">
        <f>HYPERLINK("http://www.cnpol.ru/covers/19813.jpg","фото на сайте")</f>
        <v>фото на сайте</v>
      </c>
    </row>
    <row r="4549" spans="1:19" ht="50.1" customHeight="1">
      <c r="A4549" s="31"/>
      <c r="B4549" s="32" t="s">
        <v>16768</v>
      </c>
      <c r="C4549" s="31" t="s">
        <v>45</v>
      </c>
      <c r="D4549" s="31" t="s">
        <v>11189</v>
      </c>
      <c r="E4549" s="31" t="s">
        <v>16769</v>
      </c>
      <c r="F4549" s="31" t="s">
        <v>31</v>
      </c>
      <c r="G4549" s="35">
        <v>1015</v>
      </c>
      <c r="H4549" s="31">
        <v>10</v>
      </c>
      <c r="I4549" s="31">
        <v>8</v>
      </c>
      <c r="J4549" s="31" t="s">
        <v>16770</v>
      </c>
      <c r="K4549" s="31" t="s">
        <v>41</v>
      </c>
      <c r="L4549" s="31" t="s">
        <v>34</v>
      </c>
      <c r="M4549" s="31">
        <v>474</v>
      </c>
      <c r="N4549" s="31">
        <v>2011</v>
      </c>
      <c r="O4549" s="31">
        <v>686</v>
      </c>
      <c r="P4549" s="31"/>
      <c r="Q4549" s="31"/>
      <c r="R4549" s="33"/>
      <c r="S4549" s="34" t="str">
        <f>HYPERLINK("http://www.cnpol.ru/covers/12490.jpg","фото на сайте")</f>
        <v>фото на сайте</v>
      </c>
    </row>
    <row r="4550" spans="1:19" ht="50.1" customHeight="1">
      <c r="A4550" s="31"/>
      <c r="B4550" s="32" t="s">
        <v>16771</v>
      </c>
      <c r="C4550" s="31" t="s">
        <v>390</v>
      </c>
      <c r="D4550" s="31" t="s">
        <v>3087</v>
      </c>
      <c r="E4550" s="31" t="s">
        <v>16772</v>
      </c>
      <c r="F4550" s="31">
        <v>1123</v>
      </c>
      <c r="G4550" s="31">
        <v>86</v>
      </c>
      <c r="H4550" s="31">
        <v>10</v>
      </c>
      <c r="I4550" s="31">
        <v>30</v>
      </c>
      <c r="J4550" s="31" t="s">
        <v>16773</v>
      </c>
      <c r="K4550" s="31" t="s">
        <v>123</v>
      </c>
      <c r="L4550" s="31" t="s">
        <v>56</v>
      </c>
      <c r="M4550" s="31">
        <v>159</v>
      </c>
      <c r="N4550" s="31">
        <v>2023</v>
      </c>
      <c r="O4550" s="31">
        <v>78</v>
      </c>
      <c r="P4550" s="31"/>
      <c r="Q4550" s="31"/>
      <c r="R4550" s="33" t="s">
        <v>16774</v>
      </c>
      <c r="S4550" s="34" t="str">
        <f>HYPERLINK("http://www.cnpol.ru/covers/20500.jpg","фото на сайте")</f>
        <v>фото на сайте</v>
      </c>
    </row>
    <row r="4551" spans="1:19" ht="50.1" customHeight="1">
      <c r="A4551" s="31"/>
      <c r="B4551" s="32" t="s">
        <v>16775</v>
      </c>
      <c r="C4551" s="31" t="s">
        <v>546</v>
      </c>
      <c r="D4551" s="31" t="s">
        <v>1435</v>
      </c>
      <c r="E4551" s="31" t="s">
        <v>16776</v>
      </c>
      <c r="F4551" s="31">
        <v>282</v>
      </c>
      <c r="G4551" s="31">
        <v>93</v>
      </c>
      <c r="H4551" s="31">
        <v>10</v>
      </c>
      <c r="I4551" s="31">
        <v>30</v>
      </c>
      <c r="J4551" s="31" t="s">
        <v>16777</v>
      </c>
      <c r="K4551" s="31" t="s">
        <v>123</v>
      </c>
      <c r="L4551" s="31" t="s">
        <v>56</v>
      </c>
      <c r="M4551" s="31">
        <v>160</v>
      </c>
      <c r="N4551" s="31">
        <v>2018</v>
      </c>
      <c r="O4551" s="31">
        <v>76</v>
      </c>
      <c r="P4551" s="31"/>
      <c r="Q4551" s="31"/>
      <c r="R4551" s="33"/>
      <c r="S4551" s="34" t="str">
        <f>HYPERLINK("http://www.cnpol.ru/covers/18343.jpg","фото на сайте")</f>
        <v>фото на сайте</v>
      </c>
    </row>
    <row r="4552" spans="1:19" ht="50.1" customHeight="1">
      <c r="A4552" s="31"/>
      <c r="B4552" s="32" t="s">
        <v>16778</v>
      </c>
      <c r="C4552" s="31" t="s">
        <v>3877</v>
      </c>
      <c r="D4552" s="31" t="s">
        <v>539</v>
      </c>
      <c r="E4552" s="31" t="s">
        <v>16779</v>
      </c>
      <c r="F4552" s="31" t="s">
        <v>31</v>
      </c>
      <c r="G4552" s="31">
        <v>593</v>
      </c>
      <c r="H4552" s="31">
        <v>10</v>
      </c>
      <c r="I4552" s="31">
        <v>10</v>
      </c>
      <c r="J4552" s="31" t="s">
        <v>16780</v>
      </c>
      <c r="K4552" s="31" t="s">
        <v>41</v>
      </c>
      <c r="L4552" s="31" t="s">
        <v>34</v>
      </c>
      <c r="M4552" s="31">
        <v>479</v>
      </c>
      <c r="N4552" s="31">
        <v>2008</v>
      </c>
      <c r="O4552" s="31">
        <v>528</v>
      </c>
      <c r="P4552" s="31"/>
      <c r="Q4552" s="31"/>
      <c r="R4552" s="33"/>
      <c r="S4552" s="34" t="str">
        <f>HYPERLINK("http://www.cnpol.ru/covers/8861.jpg","фото на сайте")</f>
        <v>фото на сайте</v>
      </c>
    </row>
    <row r="4553" spans="1:19" ht="50.1" customHeight="1">
      <c r="A4553" s="31"/>
      <c r="B4553" s="32" t="s">
        <v>16781</v>
      </c>
      <c r="C4553" s="31" t="s">
        <v>543</v>
      </c>
      <c r="D4553" s="31" t="s">
        <v>539</v>
      </c>
      <c r="E4553" s="31" t="s">
        <v>16782</v>
      </c>
      <c r="F4553" s="31" t="s">
        <v>31</v>
      </c>
      <c r="G4553" s="31">
        <v>169</v>
      </c>
      <c r="H4553" s="31">
        <v>10</v>
      </c>
      <c r="I4553" s="31">
        <v>14</v>
      </c>
      <c r="J4553" s="31" t="s">
        <v>16783</v>
      </c>
      <c r="K4553" s="31" t="s">
        <v>123</v>
      </c>
      <c r="L4553" s="31" t="s">
        <v>56</v>
      </c>
      <c r="M4553" s="31">
        <v>447</v>
      </c>
      <c r="N4553" s="31">
        <v>2009</v>
      </c>
      <c r="O4553" s="31">
        <v>206</v>
      </c>
      <c r="P4553" s="31"/>
      <c r="Q4553" s="31"/>
      <c r="R4553" s="33"/>
      <c r="S4553" s="34" t="str">
        <f>HYPERLINK("http://www.cnpol.ru/covers/10978.jpg","фото на сайте")</f>
        <v>фото на сайте</v>
      </c>
    </row>
    <row r="4554" spans="1:19" ht="50.1" customHeight="1">
      <c r="A4554" s="31"/>
      <c r="B4554" s="32" t="s">
        <v>16784</v>
      </c>
      <c r="C4554" s="31" t="s">
        <v>543</v>
      </c>
      <c r="D4554" s="31" t="s">
        <v>539</v>
      </c>
      <c r="E4554" s="31" t="s">
        <v>16785</v>
      </c>
      <c r="F4554" s="31" t="s">
        <v>31</v>
      </c>
      <c r="G4554" s="31">
        <v>137</v>
      </c>
      <c r="H4554" s="31">
        <v>10</v>
      </c>
      <c r="I4554" s="31">
        <v>18</v>
      </c>
      <c r="J4554" s="31" t="s">
        <v>16786</v>
      </c>
      <c r="K4554" s="31" t="s">
        <v>123</v>
      </c>
      <c r="L4554" s="31" t="s">
        <v>56</v>
      </c>
      <c r="M4554" s="31">
        <v>415</v>
      </c>
      <c r="N4554" s="31">
        <v>2009</v>
      </c>
      <c r="O4554" s="31">
        <v>188</v>
      </c>
      <c r="P4554" s="31"/>
      <c r="Q4554" s="31"/>
      <c r="R4554" s="33"/>
      <c r="S4554" s="34" t="str">
        <f>HYPERLINK("http://www.cnpol.ru/covers/10975.jpg","фото на сайте")</f>
        <v>фото на сайте</v>
      </c>
    </row>
    <row r="4555" spans="1:19" ht="50.1" customHeight="1">
      <c r="A4555" s="31"/>
      <c r="B4555" s="32" t="s">
        <v>16787</v>
      </c>
      <c r="C4555" s="31" t="s">
        <v>4716</v>
      </c>
      <c r="D4555" s="31" t="s">
        <v>4717</v>
      </c>
      <c r="E4555" s="31" t="s">
        <v>16788</v>
      </c>
      <c r="F4555" s="31" t="s">
        <v>31</v>
      </c>
      <c r="G4555" s="31">
        <v>486</v>
      </c>
      <c r="H4555" s="31">
        <v>10</v>
      </c>
      <c r="I4555" s="31">
        <v>16</v>
      </c>
      <c r="J4555" s="31" t="s">
        <v>16789</v>
      </c>
      <c r="K4555" s="31" t="s">
        <v>359</v>
      </c>
      <c r="L4555" s="31" t="s">
        <v>34</v>
      </c>
      <c r="M4555" s="31">
        <v>270</v>
      </c>
      <c r="N4555" s="31">
        <v>2005</v>
      </c>
      <c r="O4555" s="31">
        <v>222</v>
      </c>
      <c r="P4555" s="31"/>
      <c r="Q4555" s="31"/>
      <c r="R4555" s="33"/>
      <c r="S4555" s="34" t="str">
        <f>HYPERLINK("http://www.cnpol.ru/covers/5869.jpg","фото на сайте")</f>
        <v>фото на сайте</v>
      </c>
    </row>
    <row r="4556" spans="1:19" ht="50.1" customHeight="1">
      <c r="A4556" s="31"/>
      <c r="B4556" s="32" t="s">
        <v>16790</v>
      </c>
      <c r="C4556" s="31" t="s">
        <v>1685</v>
      </c>
      <c r="D4556" s="31" t="s">
        <v>1686</v>
      </c>
      <c r="E4556" s="31" t="s">
        <v>16791</v>
      </c>
      <c r="F4556" s="31" t="s">
        <v>31</v>
      </c>
      <c r="G4556" s="31">
        <v>209</v>
      </c>
      <c r="H4556" s="31">
        <v>10</v>
      </c>
      <c r="I4556" s="31">
        <v>20</v>
      </c>
      <c r="J4556" s="31" t="s">
        <v>16792</v>
      </c>
      <c r="K4556" s="31" t="s">
        <v>123</v>
      </c>
      <c r="L4556" s="31" t="s">
        <v>56</v>
      </c>
      <c r="M4556" s="31">
        <v>352</v>
      </c>
      <c r="N4556" s="31">
        <v>2017</v>
      </c>
      <c r="O4556" s="31">
        <v>162</v>
      </c>
      <c r="P4556" s="31"/>
      <c r="Q4556" s="31"/>
      <c r="R4556" s="33"/>
      <c r="S4556" s="34" t="str">
        <f>HYPERLINK("http://www.cnpol.ru/covers/17660.jpg","фото на сайте")</f>
        <v>фото на сайте</v>
      </c>
    </row>
    <row r="4557" spans="1:19" ht="50.1" customHeight="1">
      <c r="A4557" s="31"/>
      <c r="B4557" s="32" t="s">
        <v>16793</v>
      </c>
      <c r="C4557" s="31" t="s">
        <v>37</v>
      </c>
      <c r="D4557" s="31" t="s">
        <v>16794</v>
      </c>
      <c r="E4557" s="31" t="s">
        <v>16795</v>
      </c>
      <c r="F4557" s="31" t="s">
        <v>31</v>
      </c>
      <c r="G4557" s="31">
        <v>710</v>
      </c>
      <c r="H4557" s="31">
        <v>10</v>
      </c>
      <c r="I4557" s="31">
        <v>14</v>
      </c>
      <c r="J4557" s="31" t="s">
        <v>16796</v>
      </c>
      <c r="K4557" s="31" t="s">
        <v>33</v>
      </c>
      <c r="L4557" s="31" t="s">
        <v>34</v>
      </c>
      <c r="M4557" s="31">
        <v>383</v>
      </c>
      <c r="N4557" s="31">
        <v>2014</v>
      </c>
      <c r="O4557" s="31">
        <v>452</v>
      </c>
      <c r="P4557" s="31"/>
      <c r="Q4557" s="31"/>
      <c r="R4557" s="33"/>
      <c r="S4557" s="34" t="str">
        <f>HYPERLINK("http://www.cnpol.ru/covers/15239.jpg","фото на сайте")</f>
        <v>фото на сайте</v>
      </c>
    </row>
    <row r="4558" spans="1:19" ht="50.1" customHeight="1">
      <c r="A4558" s="31"/>
      <c r="B4558" s="32" t="s">
        <v>16797</v>
      </c>
      <c r="C4558" s="31" t="s">
        <v>385</v>
      </c>
      <c r="D4558" s="31" t="s">
        <v>386</v>
      </c>
      <c r="E4558" s="31" t="s">
        <v>16798</v>
      </c>
      <c r="F4558" s="31" t="s">
        <v>31</v>
      </c>
      <c r="G4558" s="31">
        <v>162</v>
      </c>
      <c r="H4558" s="31">
        <v>10</v>
      </c>
      <c r="I4558" s="31">
        <v>32</v>
      </c>
      <c r="J4558" s="31" t="s">
        <v>16799</v>
      </c>
      <c r="K4558" s="31" t="s">
        <v>55</v>
      </c>
      <c r="L4558" s="31" t="s">
        <v>56</v>
      </c>
      <c r="M4558" s="31">
        <v>256</v>
      </c>
      <c r="N4558" s="31">
        <v>2016</v>
      </c>
      <c r="O4558" s="31">
        <v>110</v>
      </c>
      <c r="P4558" s="31"/>
      <c r="Q4558" s="31"/>
      <c r="R4558" s="33"/>
      <c r="S4558" s="34" t="str">
        <f>HYPERLINK("http://www.cnpol.ru/covers/0130.jpg","фото на сайте")</f>
        <v>фото на сайте</v>
      </c>
    </row>
    <row r="4559" spans="1:19" ht="50.1" customHeight="1">
      <c r="A4559" s="31"/>
      <c r="B4559" s="32" t="s">
        <v>16800</v>
      </c>
      <c r="C4559" s="31" t="s">
        <v>1623</v>
      </c>
      <c r="D4559" s="31" t="s">
        <v>5998</v>
      </c>
      <c r="E4559" s="31" t="s">
        <v>16801</v>
      </c>
      <c r="F4559" s="31" t="s">
        <v>31</v>
      </c>
      <c r="G4559" s="31">
        <v>169</v>
      </c>
      <c r="H4559" s="31">
        <v>10</v>
      </c>
      <c r="I4559" s="31">
        <v>10</v>
      </c>
      <c r="J4559" s="31" t="s">
        <v>16802</v>
      </c>
      <c r="K4559" s="31" t="s">
        <v>55</v>
      </c>
      <c r="L4559" s="31" t="s">
        <v>56</v>
      </c>
      <c r="M4559" s="31">
        <v>288</v>
      </c>
      <c r="N4559" s="31">
        <v>2021</v>
      </c>
      <c r="O4559" s="31">
        <v>122</v>
      </c>
      <c r="P4559" s="31"/>
      <c r="Q4559" s="31"/>
      <c r="R4559" s="33"/>
      <c r="S4559" s="34" t="str">
        <f>HYPERLINK("http://www.cnpol.ru/covers/19619.jpg","фото на сайте")</f>
        <v>фото на сайте</v>
      </c>
    </row>
    <row r="4560" spans="1:19" ht="50.1" customHeight="1">
      <c r="A4560" s="31" t="s">
        <v>35</v>
      </c>
      <c r="B4560" s="32" t="s">
        <v>16803</v>
      </c>
      <c r="C4560" s="31" t="s">
        <v>143</v>
      </c>
      <c r="D4560" s="31" t="s">
        <v>16804</v>
      </c>
      <c r="E4560" s="31" t="s">
        <v>16805</v>
      </c>
      <c r="F4560" s="31" t="s">
        <v>31</v>
      </c>
      <c r="G4560" s="35">
        <v>1547</v>
      </c>
      <c r="H4560" s="31">
        <v>10</v>
      </c>
      <c r="I4560" s="31">
        <v>5</v>
      </c>
      <c r="J4560" s="31" t="s">
        <v>16806</v>
      </c>
      <c r="K4560" s="31" t="s">
        <v>33</v>
      </c>
      <c r="L4560" s="31" t="s">
        <v>34</v>
      </c>
      <c r="M4560" s="31">
        <v>671</v>
      </c>
      <c r="N4560" s="31">
        <v>2025</v>
      </c>
      <c r="O4560" s="31" t="s">
        <v>220</v>
      </c>
      <c r="P4560" s="31"/>
      <c r="Q4560" s="31"/>
      <c r="R4560" s="33" t="s">
        <v>16807</v>
      </c>
      <c r="S4560" s="34" t="str">
        <f>HYPERLINK("http://www.cnpol.ru/covers/21809.jpg","фото на сайте")</f>
        <v>фото на сайте</v>
      </c>
    </row>
    <row r="4561" spans="1:19" ht="50.1" customHeight="1">
      <c r="A4561" s="31"/>
      <c r="B4561" s="32" t="s">
        <v>16808</v>
      </c>
      <c r="C4561" s="31" t="s">
        <v>297</v>
      </c>
      <c r="D4561" s="31" t="s">
        <v>3928</v>
      </c>
      <c r="E4561" s="31" t="s">
        <v>16809</v>
      </c>
      <c r="F4561" s="31" t="s">
        <v>31</v>
      </c>
      <c r="G4561" s="31">
        <v>300</v>
      </c>
      <c r="H4561" s="31">
        <v>10</v>
      </c>
      <c r="I4561" s="31">
        <v>20</v>
      </c>
      <c r="J4561" s="31" t="s">
        <v>16810</v>
      </c>
      <c r="K4561" s="31" t="s">
        <v>300</v>
      </c>
      <c r="L4561" s="31" t="s">
        <v>56</v>
      </c>
      <c r="M4561" s="31">
        <v>320</v>
      </c>
      <c r="N4561" s="31">
        <v>2020</v>
      </c>
      <c r="O4561" s="31">
        <v>164</v>
      </c>
      <c r="P4561" s="31"/>
      <c r="Q4561" s="31"/>
      <c r="R4561" s="33"/>
      <c r="S4561" s="34" t="str">
        <f>HYPERLINK("http://www.cnpol.ru/covers/19392.jpg","фото на сайте")</f>
        <v>фото на сайте</v>
      </c>
    </row>
    <row r="4562" spans="1:19" ht="50.1" customHeight="1">
      <c r="A4562" s="31" t="s">
        <v>43</v>
      </c>
      <c r="B4562" s="32" t="s">
        <v>16811</v>
      </c>
      <c r="C4562" s="31" t="s">
        <v>37</v>
      </c>
      <c r="D4562" s="31" t="s">
        <v>16812</v>
      </c>
      <c r="E4562" s="31" t="s">
        <v>16813</v>
      </c>
      <c r="F4562" s="31" t="s">
        <v>31</v>
      </c>
      <c r="G4562" s="35">
        <v>1283</v>
      </c>
      <c r="H4562" s="31">
        <v>10</v>
      </c>
      <c r="I4562" s="31">
        <v>6</v>
      </c>
      <c r="J4562" s="31" t="s">
        <v>16814</v>
      </c>
      <c r="K4562" s="31" t="s">
        <v>33</v>
      </c>
      <c r="L4562" s="31" t="s">
        <v>34</v>
      </c>
      <c r="M4562" s="31">
        <v>623</v>
      </c>
      <c r="N4562" s="31">
        <v>2024</v>
      </c>
      <c r="O4562" s="31">
        <v>632</v>
      </c>
      <c r="P4562" s="31"/>
      <c r="Q4562" s="31"/>
      <c r="R4562" s="33" t="s">
        <v>16815</v>
      </c>
      <c r="S4562" s="34" t="str">
        <f>HYPERLINK("http://www.cnpol.ru/covers/21003.jpg","фото на сайте")</f>
        <v>фото на сайте</v>
      </c>
    </row>
    <row r="4563" spans="1:19" ht="50.1" customHeight="1">
      <c r="A4563" s="31" t="s">
        <v>43</v>
      </c>
      <c r="B4563" s="32" t="s">
        <v>16816</v>
      </c>
      <c r="C4563" s="31" t="s">
        <v>28</v>
      </c>
      <c r="D4563" s="31" t="s">
        <v>16817</v>
      </c>
      <c r="E4563" s="31" t="s">
        <v>16818</v>
      </c>
      <c r="F4563" s="31" t="s">
        <v>31</v>
      </c>
      <c r="G4563" s="31">
        <v>611</v>
      </c>
      <c r="H4563" s="31">
        <v>10</v>
      </c>
      <c r="I4563" s="31">
        <v>16</v>
      </c>
      <c r="J4563" s="31" t="s">
        <v>16819</v>
      </c>
      <c r="K4563" s="31" t="s">
        <v>33</v>
      </c>
      <c r="L4563" s="31" t="s">
        <v>34</v>
      </c>
      <c r="M4563" s="31">
        <v>255</v>
      </c>
      <c r="N4563" s="31">
        <v>2024</v>
      </c>
      <c r="O4563" s="31">
        <v>294</v>
      </c>
      <c r="P4563" s="31"/>
      <c r="Q4563" s="31"/>
      <c r="R4563" s="33" t="s">
        <v>16820</v>
      </c>
      <c r="S4563" s="34" t="str">
        <f>HYPERLINK("http://www.cnpol.ru/covers/21052.jpg","фото на сайте")</f>
        <v>фото на сайте</v>
      </c>
    </row>
    <row r="4564" spans="1:19" ht="50.1" customHeight="1">
      <c r="A4564" s="31"/>
      <c r="B4564" s="32" t="s">
        <v>16821</v>
      </c>
      <c r="C4564" s="31" t="s">
        <v>14161</v>
      </c>
      <c r="D4564" s="31" t="s">
        <v>14523</v>
      </c>
      <c r="E4564" s="31" t="s">
        <v>16822</v>
      </c>
      <c r="F4564" s="31" t="s">
        <v>31</v>
      </c>
      <c r="G4564" s="31">
        <v>219</v>
      </c>
      <c r="H4564" s="31">
        <v>10</v>
      </c>
      <c r="I4564" s="31">
        <v>14</v>
      </c>
      <c r="J4564" s="31" t="s">
        <v>16823</v>
      </c>
      <c r="K4564" s="31" t="s">
        <v>2231</v>
      </c>
      <c r="L4564" s="31" t="s">
        <v>34</v>
      </c>
      <c r="M4564" s="31">
        <v>464</v>
      </c>
      <c r="N4564" s="31">
        <v>2002</v>
      </c>
      <c r="O4564" s="31">
        <v>364</v>
      </c>
      <c r="P4564" s="31"/>
      <c r="Q4564" s="31"/>
      <c r="R4564" s="33"/>
      <c r="S4564" s="34" t="str">
        <f>HYPERLINK("http://www.cnpol.ru/covers/3748.jpg","фото на сайте")</f>
        <v>фото на сайте</v>
      </c>
    </row>
    <row r="4565" spans="1:19" ht="50.1" customHeight="1">
      <c r="A4565" s="31"/>
      <c r="B4565" s="32" t="s">
        <v>16824</v>
      </c>
      <c r="C4565" s="31" t="s">
        <v>546</v>
      </c>
      <c r="D4565" s="31" t="s">
        <v>1435</v>
      </c>
      <c r="E4565" s="31" t="s">
        <v>16825</v>
      </c>
      <c r="F4565" s="31">
        <v>291</v>
      </c>
      <c r="G4565" s="31">
        <v>93</v>
      </c>
      <c r="H4565" s="31">
        <v>10</v>
      </c>
      <c r="I4565" s="31">
        <v>30</v>
      </c>
      <c r="J4565" s="31" t="s">
        <v>16826</v>
      </c>
      <c r="K4565" s="31" t="s">
        <v>123</v>
      </c>
      <c r="L4565" s="31" t="s">
        <v>56</v>
      </c>
      <c r="M4565" s="31">
        <v>160</v>
      </c>
      <c r="N4565" s="31">
        <v>2019</v>
      </c>
      <c r="O4565" s="31">
        <v>76</v>
      </c>
      <c r="P4565" s="31"/>
      <c r="Q4565" s="31"/>
      <c r="R4565" s="33"/>
      <c r="S4565" s="34" t="str">
        <f>HYPERLINK("http://www.cnpol.ru/covers/18453.jpg","фото на сайте")</f>
        <v>фото на сайте</v>
      </c>
    </row>
    <row r="4566" spans="1:19" ht="50.1" customHeight="1">
      <c r="A4566" s="31"/>
      <c r="B4566" s="32" t="s">
        <v>16827</v>
      </c>
      <c r="C4566" s="31" t="s">
        <v>4817</v>
      </c>
      <c r="D4566" s="31" t="s">
        <v>3210</v>
      </c>
      <c r="E4566" s="31" t="s">
        <v>16828</v>
      </c>
      <c r="F4566" s="31" t="s">
        <v>31</v>
      </c>
      <c r="G4566" s="31">
        <v>154</v>
      </c>
      <c r="H4566" s="31">
        <v>10</v>
      </c>
      <c r="I4566" s="31">
        <v>20</v>
      </c>
      <c r="J4566" s="31" t="s">
        <v>16829</v>
      </c>
      <c r="K4566" s="31" t="s">
        <v>55</v>
      </c>
      <c r="L4566" s="31" t="s">
        <v>56</v>
      </c>
      <c r="M4566" s="31">
        <v>397</v>
      </c>
      <c r="N4566" s="31">
        <v>2008</v>
      </c>
      <c r="O4566" s="31">
        <v>164</v>
      </c>
      <c r="P4566" s="31"/>
      <c r="Q4566" s="31"/>
      <c r="R4566" s="33"/>
      <c r="S4566" s="34" t="str">
        <f>HYPERLINK("http://www.cnpol.ru/covers/7863.jpg","фото на сайте")</f>
        <v>фото на сайте</v>
      </c>
    </row>
    <row r="4567" spans="1:19" ht="50.1" customHeight="1">
      <c r="A4567" s="31"/>
      <c r="B4567" s="32" t="s">
        <v>16830</v>
      </c>
      <c r="C4567" s="31" t="s">
        <v>385</v>
      </c>
      <c r="D4567" s="31" t="s">
        <v>386</v>
      </c>
      <c r="E4567" s="31" t="s">
        <v>16831</v>
      </c>
      <c r="F4567" s="31" t="s">
        <v>31</v>
      </c>
      <c r="G4567" s="31">
        <v>162</v>
      </c>
      <c r="H4567" s="31">
        <v>10</v>
      </c>
      <c r="I4567" s="31">
        <v>32</v>
      </c>
      <c r="J4567" s="31" t="s">
        <v>16832</v>
      </c>
      <c r="K4567" s="31" t="s">
        <v>55</v>
      </c>
      <c r="L4567" s="31" t="s">
        <v>56</v>
      </c>
      <c r="M4567" s="31">
        <v>256</v>
      </c>
      <c r="N4567" s="31">
        <v>2016</v>
      </c>
      <c r="O4567" s="31">
        <v>114</v>
      </c>
      <c r="P4567" s="31"/>
      <c r="Q4567" s="31"/>
      <c r="R4567" s="33"/>
      <c r="S4567" s="34" t="str">
        <f>HYPERLINK("http://www.cnpol.ru/covers/0116.jpg","фото на сайте")</f>
        <v>фото на сайте</v>
      </c>
    </row>
    <row r="4568" spans="1:19" ht="50.1" customHeight="1">
      <c r="A4568" s="31"/>
      <c r="B4568" s="32" t="s">
        <v>16833</v>
      </c>
      <c r="C4568" s="31" t="s">
        <v>390</v>
      </c>
      <c r="D4568" s="31" t="s">
        <v>989</v>
      </c>
      <c r="E4568" s="31" t="s">
        <v>16834</v>
      </c>
      <c r="F4568" s="31">
        <v>721</v>
      </c>
      <c r="G4568" s="31">
        <v>86</v>
      </c>
      <c r="H4568" s="31">
        <v>10</v>
      </c>
      <c r="I4568" s="31">
        <v>30</v>
      </c>
      <c r="J4568" s="31" t="s">
        <v>16835</v>
      </c>
      <c r="K4568" s="31" t="s">
        <v>123</v>
      </c>
      <c r="L4568" s="31" t="s">
        <v>56</v>
      </c>
      <c r="M4568" s="31">
        <v>160</v>
      </c>
      <c r="N4568" s="31">
        <v>2017</v>
      </c>
      <c r="O4568" s="31">
        <v>76</v>
      </c>
      <c r="P4568" s="31"/>
      <c r="Q4568" s="31"/>
      <c r="R4568" s="33"/>
      <c r="S4568" s="34" t="str">
        <f>HYPERLINK("http://www.cnpol.ru/covers/17493.jpg","фото на сайте")</f>
        <v>фото на сайте</v>
      </c>
    </row>
    <row r="4569" spans="1:19" ht="50.1" customHeight="1">
      <c r="A4569" s="31"/>
      <c r="B4569" s="32" t="s">
        <v>16836</v>
      </c>
      <c r="C4569" s="31" t="s">
        <v>581</v>
      </c>
      <c r="D4569" s="31" t="s">
        <v>577</v>
      </c>
      <c r="E4569" s="31" t="s">
        <v>16837</v>
      </c>
      <c r="F4569" s="31" t="s">
        <v>31</v>
      </c>
      <c r="G4569" s="31">
        <v>185</v>
      </c>
      <c r="H4569" s="31">
        <v>10</v>
      </c>
      <c r="I4569" s="31">
        <v>32</v>
      </c>
      <c r="J4569" s="31" t="s">
        <v>16838</v>
      </c>
      <c r="K4569" s="31" t="s">
        <v>123</v>
      </c>
      <c r="L4569" s="31" t="s">
        <v>56</v>
      </c>
      <c r="M4569" s="31">
        <v>282</v>
      </c>
      <c r="N4569" s="31">
        <v>2014</v>
      </c>
      <c r="O4569" s="31">
        <v>136</v>
      </c>
      <c r="P4569" s="31"/>
      <c r="Q4569" s="31"/>
      <c r="R4569" s="33"/>
      <c r="S4569" s="34" t="str">
        <f>HYPERLINK("http://www.cnpol.ru/covers/14834.jpg","фото на сайте")</f>
        <v>фото на сайте</v>
      </c>
    </row>
    <row r="4570" spans="1:19" ht="50.1" customHeight="1">
      <c r="A4570" s="31"/>
      <c r="B4570" s="32" t="s">
        <v>16839</v>
      </c>
      <c r="C4570" s="31" t="s">
        <v>413</v>
      </c>
      <c r="D4570" s="31" t="s">
        <v>10259</v>
      </c>
      <c r="E4570" s="31" t="s">
        <v>16840</v>
      </c>
      <c r="F4570" s="31">
        <v>93</v>
      </c>
      <c r="G4570" s="31">
        <v>117</v>
      </c>
      <c r="H4570" s="31">
        <v>10</v>
      </c>
      <c r="I4570" s="31">
        <v>36</v>
      </c>
      <c r="J4570" s="31" t="s">
        <v>16841</v>
      </c>
      <c r="K4570" s="31" t="s">
        <v>123</v>
      </c>
      <c r="L4570" s="31" t="s">
        <v>56</v>
      </c>
      <c r="M4570" s="31">
        <v>192</v>
      </c>
      <c r="N4570" s="31">
        <v>2016</v>
      </c>
      <c r="O4570" s="31">
        <v>90</v>
      </c>
      <c r="P4570" s="31"/>
      <c r="Q4570" s="31"/>
      <c r="R4570" s="33"/>
      <c r="S4570" s="34" t="str">
        <f>HYPERLINK("http://www.cnpol.ru/covers/16579.jpg","фото на сайте")</f>
        <v>фото на сайте</v>
      </c>
    </row>
    <row r="4571" spans="1:19" ht="50.1" customHeight="1">
      <c r="A4571" s="31"/>
      <c r="B4571" s="32" t="s">
        <v>16842</v>
      </c>
      <c r="C4571" s="31" t="s">
        <v>1003</v>
      </c>
      <c r="D4571" s="31" t="s">
        <v>1004</v>
      </c>
      <c r="E4571" s="31" t="s">
        <v>16843</v>
      </c>
      <c r="F4571" s="31" t="s">
        <v>31</v>
      </c>
      <c r="G4571" s="31">
        <v>112</v>
      </c>
      <c r="H4571" s="31">
        <v>10</v>
      </c>
      <c r="I4571" s="31">
        <v>20</v>
      </c>
      <c r="J4571" s="31" t="s">
        <v>16844</v>
      </c>
      <c r="K4571" s="31" t="s">
        <v>123</v>
      </c>
      <c r="L4571" s="31" t="s">
        <v>56</v>
      </c>
      <c r="M4571" s="31">
        <v>128</v>
      </c>
      <c r="N4571" s="31">
        <v>2016</v>
      </c>
      <c r="O4571" s="31">
        <v>60</v>
      </c>
      <c r="P4571" s="31"/>
      <c r="Q4571" s="31"/>
      <c r="R4571" s="33"/>
      <c r="S4571" s="34" t="str">
        <f>HYPERLINK("http://www.cnpol.ru/covers/16677.jpg","фото на сайте")</f>
        <v>фото на сайте</v>
      </c>
    </row>
    <row r="4572" spans="1:19" ht="50.1" customHeight="1">
      <c r="A4572" s="31"/>
      <c r="B4572" s="32" t="s">
        <v>16845</v>
      </c>
      <c r="C4572" s="31" t="s">
        <v>390</v>
      </c>
      <c r="D4572" s="31" t="s">
        <v>1461</v>
      </c>
      <c r="E4572" s="31" t="s">
        <v>16846</v>
      </c>
      <c r="F4572" s="31">
        <v>358</v>
      </c>
      <c r="G4572" s="31">
        <v>86</v>
      </c>
      <c r="H4572" s="31">
        <v>10</v>
      </c>
      <c r="I4572" s="31">
        <v>30</v>
      </c>
      <c r="J4572" s="31" t="s">
        <v>16847</v>
      </c>
      <c r="K4572" s="31" t="s">
        <v>123</v>
      </c>
      <c r="L4572" s="31" t="s">
        <v>56</v>
      </c>
      <c r="M4572" s="31">
        <v>158</v>
      </c>
      <c r="N4572" s="31">
        <v>2013</v>
      </c>
      <c r="O4572" s="31">
        <v>78</v>
      </c>
      <c r="P4572" s="31"/>
      <c r="Q4572" s="31"/>
      <c r="R4572" s="33"/>
      <c r="S4572" s="34" t="str">
        <f>HYPERLINK("http://www.cnpol.ru/covers/14641.jpg","фото на сайте")</f>
        <v>фото на сайте</v>
      </c>
    </row>
    <row r="4573" spans="1:19" ht="50.1" customHeight="1">
      <c r="A4573" s="31"/>
      <c r="B4573" s="32" t="s">
        <v>16848</v>
      </c>
      <c r="C4573" s="31" t="s">
        <v>16849</v>
      </c>
      <c r="D4573" s="31" t="s">
        <v>16850</v>
      </c>
      <c r="E4573" s="31" t="s">
        <v>16851</v>
      </c>
      <c r="F4573" s="31" t="s">
        <v>31</v>
      </c>
      <c r="G4573" s="31">
        <v>137</v>
      </c>
      <c r="H4573" s="31">
        <v>10</v>
      </c>
      <c r="I4573" s="31">
        <v>24</v>
      </c>
      <c r="J4573" s="31" t="s">
        <v>16852</v>
      </c>
      <c r="K4573" s="31" t="s">
        <v>123</v>
      </c>
      <c r="L4573" s="31" t="s">
        <v>56</v>
      </c>
      <c r="M4573" s="31">
        <v>160</v>
      </c>
      <c r="N4573" s="31">
        <v>2017</v>
      </c>
      <c r="O4573" s="31">
        <v>76</v>
      </c>
      <c r="P4573" s="31"/>
      <c r="Q4573" s="31"/>
      <c r="R4573" s="33"/>
      <c r="S4573" s="34" t="str">
        <f>HYPERLINK("http://www.cnpol.ru/covers/17737.jpg","фото на сайте")</f>
        <v>фото на сайте</v>
      </c>
    </row>
    <row r="4574" spans="1:19" ht="50.1" customHeight="1">
      <c r="A4574" s="31"/>
      <c r="B4574" s="32" t="s">
        <v>16853</v>
      </c>
      <c r="C4574" s="31" t="s">
        <v>546</v>
      </c>
      <c r="D4574" s="31" t="s">
        <v>653</v>
      </c>
      <c r="E4574" s="31" t="s">
        <v>16854</v>
      </c>
      <c r="F4574" s="31">
        <v>273</v>
      </c>
      <c r="G4574" s="31">
        <v>93</v>
      </c>
      <c r="H4574" s="31">
        <v>10</v>
      </c>
      <c r="I4574" s="31">
        <v>30</v>
      </c>
      <c r="J4574" s="31" t="s">
        <v>16855</v>
      </c>
      <c r="K4574" s="31" t="s">
        <v>123</v>
      </c>
      <c r="L4574" s="31" t="s">
        <v>56</v>
      </c>
      <c r="M4574" s="31">
        <v>160</v>
      </c>
      <c r="N4574" s="31">
        <v>2018</v>
      </c>
      <c r="O4574" s="31">
        <v>78</v>
      </c>
      <c r="P4574" s="31"/>
      <c r="Q4574" s="31"/>
      <c r="R4574" s="33"/>
      <c r="S4574" s="34" t="str">
        <f>HYPERLINK("http://www.cnpol.ru/covers/18239.jpg","фото на сайте")</f>
        <v>фото на сайте</v>
      </c>
    </row>
    <row r="4575" spans="1:19" ht="50.1" customHeight="1">
      <c r="A4575" s="31"/>
      <c r="B4575" s="32" t="s">
        <v>16856</v>
      </c>
      <c r="C4575" s="31" t="s">
        <v>390</v>
      </c>
      <c r="D4575" s="31" t="s">
        <v>4657</v>
      </c>
      <c r="E4575" s="31" t="s">
        <v>16857</v>
      </c>
      <c r="F4575" s="31">
        <v>495</v>
      </c>
      <c r="G4575" s="31">
        <v>86</v>
      </c>
      <c r="H4575" s="31">
        <v>10</v>
      </c>
      <c r="I4575" s="31">
        <v>30</v>
      </c>
      <c r="J4575" s="31" t="s">
        <v>16858</v>
      </c>
      <c r="K4575" s="31" t="s">
        <v>123</v>
      </c>
      <c r="L4575" s="31" t="s">
        <v>56</v>
      </c>
      <c r="M4575" s="31">
        <v>158</v>
      </c>
      <c r="N4575" s="31">
        <v>2015</v>
      </c>
      <c r="O4575" s="31">
        <v>76</v>
      </c>
      <c r="P4575" s="31"/>
      <c r="Q4575" s="31"/>
      <c r="R4575" s="33"/>
      <c r="S4575" s="34" t="str">
        <f>HYPERLINK("http://www.cnpol.ru/covers/15829.jpg","фото на сайте")</f>
        <v>фото на сайте</v>
      </c>
    </row>
    <row r="4576" spans="1:19" ht="50.1" customHeight="1">
      <c r="A4576" s="31"/>
      <c r="B4576" s="32" t="s">
        <v>16859</v>
      </c>
      <c r="C4576" s="31" t="s">
        <v>149</v>
      </c>
      <c r="D4576" s="31" t="s">
        <v>150</v>
      </c>
      <c r="E4576" s="31" t="s">
        <v>16860</v>
      </c>
      <c r="F4576" s="31" t="s">
        <v>31</v>
      </c>
      <c r="G4576" s="31">
        <v>244</v>
      </c>
      <c r="H4576" s="31">
        <v>10</v>
      </c>
      <c r="I4576" s="31">
        <v>20</v>
      </c>
      <c r="J4576" s="31" t="s">
        <v>16861</v>
      </c>
      <c r="K4576" s="31" t="s">
        <v>123</v>
      </c>
      <c r="L4576" s="31" t="s">
        <v>56</v>
      </c>
      <c r="M4576" s="31">
        <v>316</v>
      </c>
      <c r="N4576" s="31">
        <v>2015</v>
      </c>
      <c r="O4576" s="31">
        <v>152</v>
      </c>
      <c r="P4576" s="31"/>
      <c r="Q4576" s="31"/>
      <c r="R4576" s="33"/>
      <c r="S4576" s="34" t="str">
        <f>HYPERLINK("http://www.cnpol.ru/covers/16191.jpg","фото на сайте")</f>
        <v>фото на сайте</v>
      </c>
    </row>
    <row r="4577" spans="1:19" ht="50.1" customHeight="1">
      <c r="A4577" s="31"/>
      <c r="B4577" s="32" t="s">
        <v>16862</v>
      </c>
      <c r="C4577" s="31" t="s">
        <v>149</v>
      </c>
      <c r="D4577" s="31" t="s">
        <v>150</v>
      </c>
      <c r="E4577" s="31" t="s">
        <v>16860</v>
      </c>
      <c r="F4577" s="31" t="s">
        <v>31</v>
      </c>
      <c r="G4577" s="31">
        <v>244</v>
      </c>
      <c r="H4577" s="31">
        <v>10</v>
      </c>
      <c r="I4577" s="31">
        <v>8</v>
      </c>
      <c r="J4577" s="31" t="s">
        <v>16863</v>
      </c>
      <c r="K4577" s="31" t="s">
        <v>123</v>
      </c>
      <c r="L4577" s="31" t="s">
        <v>56</v>
      </c>
      <c r="M4577" s="31">
        <v>320</v>
      </c>
      <c r="N4577" s="31">
        <v>2023</v>
      </c>
      <c r="O4577" s="31">
        <v>152</v>
      </c>
      <c r="P4577" s="31"/>
      <c r="Q4577" s="31"/>
      <c r="R4577" s="33" t="s">
        <v>16864</v>
      </c>
      <c r="S4577" s="34" t="str">
        <f>HYPERLINK("http://www.cnpol.ru/covers/20757.jpg","фото на сайте")</f>
        <v>фото на сайте</v>
      </c>
    </row>
    <row r="4578" spans="1:19" ht="50.1" customHeight="1">
      <c r="A4578" s="31"/>
      <c r="B4578" s="32" t="s">
        <v>16865</v>
      </c>
      <c r="C4578" s="31" t="s">
        <v>413</v>
      </c>
      <c r="D4578" s="31" t="s">
        <v>15091</v>
      </c>
      <c r="E4578" s="31" t="s">
        <v>16866</v>
      </c>
      <c r="F4578" s="31">
        <v>50</v>
      </c>
      <c r="G4578" s="31">
        <v>117</v>
      </c>
      <c r="H4578" s="31">
        <v>10</v>
      </c>
      <c r="I4578" s="31">
        <v>36</v>
      </c>
      <c r="J4578" s="31" t="s">
        <v>16867</v>
      </c>
      <c r="K4578" s="31" t="s">
        <v>123</v>
      </c>
      <c r="L4578" s="31" t="s">
        <v>56</v>
      </c>
      <c r="M4578" s="31">
        <v>190</v>
      </c>
      <c r="N4578" s="31">
        <v>2015</v>
      </c>
      <c r="O4578" s="31">
        <v>90</v>
      </c>
      <c r="P4578" s="31"/>
      <c r="Q4578" s="31"/>
      <c r="R4578" s="33"/>
      <c r="S4578" s="34" t="str">
        <f>HYPERLINK("http://www.cnpol.ru/covers/15915.jpg","фото на сайте")</f>
        <v>фото на сайте</v>
      </c>
    </row>
    <row r="4579" spans="1:19" ht="50.1" customHeight="1">
      <c r="A4579" s="31"/>
      <c r="B4579" s="32" t="s">
        <v>16868</v>
      </c>
      <c r="C4579" s="31" t="s">
        <v>546</v>
      </c>
      <c r="D4579" s="31" t="s">
        <v>1656</v>
      </c>
      <c r="E4579" s="31" t="s">
        <v>16869</v>
      </c>
      <c r="F4579" s="31">
        <v>254</v>
      </c>
      <c r="G4579" s="31">
        <v>93</v>
      </c>
      <c r="H4579" s="31">
        <v>10</v>
      </c>
      <c r="I4579" s="31">
        <v>30</v>
      </c>
      <c r="J4579" s="31" t="s">
        <v>16870</v>
      </c>
      <c r="K4579" s="31" t="s">
        <v>123</v>
      </c>
      <c r="L4579" s="31" t="s">
        <v>56</v>
      </c>
      <c r="M4579" s="31">
        <v>160</v>
      </c>
      <c r="N4579" s="31">
        <v>2018</v>
      </c>
      <c r="O4579" s="31">
        <v>76</v>
      </c>
      <c r="P4579" s="31"/>
      <c r="Q4579" s="31"/>
      <c r="R4579" s="33"/>
      <c r="S4579" s="34" t="str">
        <f>HYPERLINK("http://www.cnpol.ru/covers/17944.jpg","фото на сайте")</f>
        <v>фото на сайте</v>
      </c>
    </row>
    <row r="4580" spans="1:19" ht="50.1" customHeight="1">
      <c r="A4580" s="31"/>
      <c r="B4580" s="32" t="s">
        <v>16871</v>
      </c>
      <c r="C4580" s="31" t="s">
        <v>37</v>
      </c>
      <c r="D4580" s="31" t="s">
        <v>16872</v>
      </c>
      <c r="E4580" s="31" t="s">
        <v>16873</v>
      </c>
      <c r="F4580" s="31" t="s">
        <v>31</v>
      </c>
      <c r="G4580" s="35">
        <v>2809</v>
      </c>
      <c r="H4580" s="31">
        <v>10</v>
      </c>
      <c r="I4580" s="31">
        <v>2</v>
      </c>
      <c r="J4580" s="31" t="s">
        <v>16874</v>
      </c>
      <c r="K4580" s="31" t="s">
        <v>41</v>
      </c>
      <c r="L4580" s="31" t="s">
        <v>34</v>
      </c>
      <c r="M4580" s="31">
        <v>1183</v>
      </c>
      <c r="N4580" s="31">
        <v>2023</v>
      </c>
      <c r="O4580" s="31">
        <v>1231</v>
      </c>
      <c r="P4580" s="31"/>
      <c r="Q4580" s="31"/>
      <c r="R4580" s="33" t="s">
        <v>16875</v>
      </c>
      <c r="S4580" s="34" t="str">
        <f>HYPERLINK("http://www.cnpol.ru/covers/20898.jpg","фото на сайте")</f>
        <v>фото на сайте</v>
      </c>
    </row>
    <row r="4581" spans="1:19" ht="50.1" customHeight="1">
      <c r="A4581" s="31"/>
      <c r="B4581" s="32" t="s">
        <v>16876</v>
      </c>
      <c r="C4581" s="31" t="s">
        <v>1338</v>
      </c>
      <c r="D4581" s="31" t="s">
        <v>1339</v>
      </c>
      <c r="E4581" s="31" t="s">
        <v>16877</v>
      </c>
      <c r="F4581" s="31" t="s">
        <v>31</v>
      </c>
      <c r="G4581" s="31">
        <v>154</v>
      </c>
      <c r="H4581" s="31">
        <v>10</v>
      </c>
      <c r="I4581" s="31">
        <v>20</v>
      </c>
      <c r="J4581" s="31" t="s">
        <v>16878</v>
      </c>
      <c r="K4581" s="31" t="s">
        <v>55</v>
      </c>
      <c r="L4581" s="31" t="s">
        <v>56</v>
      </c>
      <c r="M4581" s="31">
        <v>384</v>
      </c>
      <c r="N4581" s="31">
        <v>2008</v>
      </c>
      <c r="O4581" s="31">
        <v>154</v>
      </c>
      <c r="P4581" s="31"/>
      <c r="Q4581" s="31"/>
      <c r="R4581" s="33"/>
      <c r="S4581" s="34" t="str">
        <f>HYPERLINK("http://www.cnpol.ru/covers/10439.jpg","фото на сайте")</f>
        <v>фото на сайте</v>
      </c>
    </row>
    <row r="4582" spans="1:19" ht="50.1" customHeight="1">
      <c r="A4582" s="31"/>
      <c r="B4582" s="32" t="s">
        <v>16879</v>
      </c>
      <c r="C4582" s="31" t="s">
        <v>390</v>
      </c>
      <c r="D4582" s="31" t="s">
        <v>2253</v>
      </c>
      <c r="E4582" s="31" t="s">
        <v>16880</v>
      </c>
      <c r="F4582" s="31">
        <v>758</v>
      </c>
      <c r="G4582" s="31">
        <v>86</v>
      </c>
      <c r="H4582" s="31">
        <v>10</v>
      </c>
      <c r="I4582" s="31">
        <v>30</v>
      </c>
      <c r="J4582" s="31" t="s">
        <v>16881</v>
      </c>
      <c r="K4582" s="31" t="s">
        <v>123</v>
      </c>
      <c r="L4582" s="31" t="s">
        <v>56</v>
      </c>
      <c r="M4582" s="31">
        <v>160</v>
      </c>
      <c r="N4582" s="31">
        <v>2017</v>
      </c>
      <c r="O4582" s="31">
        <v>76</v>
      </c>
      <c r="P4582" s="31"/>
      <c r="Q4582" s="31"/>
      <c r="R4582" s="33"/>
      <c r="S4582" s="34" t="str">
        <f>HYPERLINK("http://www.cnpol.ru/covers/17731.jpg","фото на сайте")</f>
        <v>фото на сайте</v>
      </c>
    </row>
    <row r="4583" spans="1:19" ht="50.1" customHeight="1">
      <c r="A4583" s="31"/>
      <c r="B4583" s="32" t="s">
        <v>16882</v>
      </c>
      <c r="C4583" s="31" t="s">
        <v>5756</v>
      </c>
      <c r="D4583" s="31" t="s">
        <v>5757</v>
      </c>
      <c r="E4583" s="31" t="s">
        <v>16883</v>
      </c>
      <c r="F4583" s="31" t="s">
        <v>31</v>
      </c>
      <c r="G4583" s="31">
        <v>275</v>
      </c>
      <c r="H4583" s="31">
        <v>10</v>
      </c>
      <c r="I4583" s="31">
        <v>20</v>
      </c>
      <c r="J4583" s="31" t="s">
        <v>16884</v>
      </c>
      <c r="K4583" s="31" t="s">
        <v>123</v>
      </c>
      <c r="L4583" s="31" t="s">
        <v>56</v>
      </c>
      <c r="M4583" s="31">
        <v>352</v>
      </c>
      <c r="N4583" s="31">
        <v>2017</v>
      </c>
      <c r="O4583" s="31">
        <v>162</v>
      </c>
      <c r="P4583" s="31"/>
      <c r="Q4583" s="31"/>
      <c r="R4583" s="33"/>
      <c r="S4583" s="34" t="str">
        <f>HYPERLINK("http://www.cnpol.ru/covers/17613.jpg","фото на сайте")</f>
        <v>фото на сайте</v>
      </c>
    </row>
    <row r="4584" spans="1:19" ht="50.1" customHeight="1">
      <c r="A4584" s="31"/>
      <c r="B4584" s="32" t="s">
        <v>16885</v>
      </c>
      <c r="C4584" s="31" t="s">
        <v>546</v>
      </c>
      <c r="D4584" s="31" t="s">
        <v>1754</v>
      </c>
      <c r="E4584" s="31" t="s">
        <v>16886</v>
      </c>
      <c r="F4584" s="31">
        <v>439</v>
      </c>
      <c r="G4584" s="31">
        <v>93</v>
      </c>
      <c r="H4584" s="31">
        <v>10</v>
      </c>
      <c r="I4584" s="31">
        <v>30</v>
      </c>
      <c r="J4584" s="31" t="s">
        <v>16887</v>
      </c>
      <c r="K4584" s="31" t="s">
        <v>123</v>
      </c>
      <c r="L4584" s="31" t="s">
        <v>56</v>
      </c>
      <c r="M4584" s="31">
        <v>159</v>
      </c>
      <c r="N4584" s="31">
        <v>2024</v>
      </c>
      <c r="O4584" s="31">
        <v>76</v>
      </c>
      <c r="P4584" s="31"/>
      <c r="Q4584" s="31"/>
      <c r="R4584" s="33" t="s">
        <v>16888</v>
      </c>
      <c r="S4584" s="34" t="str">
        <f>HYPERLINK("http://www.cnpol.ru/covers/20956.jpg","фото на сайте")</f>
        <v>фото на сайте</v>
      </c>
    </row>
    <row r="4585" spans="1:19" ht="50.1" customHeight="1">
      <c r="A4585" s="31"/>
      <c r="B4585" s="32" t="s">
        <v>16889</v>
      </c>
      <c r="C4585" s="31" t="s">
        <v>390</v>
      </c>
      <c r="D4585" s="31" t="s">
        <v>8024</v>
      </c>
      <c r="E4585" s="31" t="s">
        <v>16890</v>
      </c>
      <c r="F4585" s="31">
        <v>553</v>
      </c>
      <c r="G4585" s="31">
        <v>86</v>
      </c>
      <c r="H4585" s="31">
        <v>10</v>
      </c>
      <c r="I4585" s="31">
        <v>30</v>
      </c>
      <c r="J4585" s="31" t="s">
        <v>16891</v>
      </c>
      <c r="K4585" s="31" t="s">
        <v>123</v>
      </c>
      <c r="L4585" s="31" t="s">
        <v>56</v>
      </c>
      <c r="M4585" s="31">
        <v>158</v>
      </c>
      <c r="N4585" s="31">
        <v>2015</v>
      </c>
      <c r="O4585" s="31">
        <v>76</v>
      </c>
      <c r="P4585" s="31"/>
      <c r="Q4585" s="31"/>
      <c r="R4585" s="33"/>
      <c r="S4585" s="34" t="str">
        <f>HYPERLINK("http://www.cnpol.ru/covers/16234.jpg","фото на сайте")</f>
        <v>фото на сайте</v>
      </c>
    </row>
    <row r="4586" spans="1:19" ht="50.1" customHeight="1">
      <c r="A4586" s="31"/>
      <c r="B4586" s="32" t="s">
        <v>16892</v>
      </c>
      <c r="C4586" s="31" t="s">
        <v>4205</v>
      </c>
      <c r="D4586" s="31" t="s">
        <v>16893</v>
      </c>
      <c r="E4586" s="31" t="s">
        <v>16894</v>
      </c>
      <c r="F4586" s="31" t="s">
        <v>31</v>
      </c>
      <c r="G4586" s="31">
        <v>486</v>
      </c>
      <c r="H4586" s="31">
        <v>10</v>
      </c>
      <c r="I4586" s="31">
        <v>10</v>
      </c>
      <c r="J4586" s="31" t="s">
        <v>16895</v>
      </c>
      <c r="K4586" s="31" t="s">
        <v>33</v>
      </c>
      <c r="L4586" s="31" t="s">
        <v>34</v>
      </c>
      <c r="M4586" s="31">
        <v>320</v>
      </c>
      <c r="N4586" s="31">
        <v>2016</v>
      </c>
      <c r="O4586" s="31">
        <v>260</v>
      </c>
      <c r="P4586" s="31"/>
      <c r="Q4586" s="31"/>
      <c r="R4586" s="33"/>
      <c r="S4586" s="34" t="str">
        <f>HYPERLINK("http://www.cnpol.ru/covers/17031.jpg","фото на сайте")</f>
        <v>фото на сайте</v>
      </c>
    </row>
    <row r="4587" spans="1:19" ht="50.1" customHeight="1">
      <c r="A4587" s="31"/>
      <c r="B4587" s="32" t="s">
        <v>16896</v>
      </c>
      <c r="C4587" s="31" t="s">
        <v>4205</v>
      </c>
      <c r="D4587" s="31" t="s">
        <v>16897</v>
      </c>
      <c r="E4587" s="31" t="s">
        <v>16898</v>
      </c>
      <c r="F4587" s="31" t="s">
        <v>31</v>
      </c>
      <c r="G4587" s="31">
        <v>985</v>
      </c>
      <c r="H4587" s="31">
        <v>10</v>
      </c>
      <c r="I4587" s="31">
        <v>12</v>
      </c>
      <c r="J4587" s="31" t="s">
        <v>16899</v>
      </c>
      <c r="K4587" s="31" t="s">
        <v>33</v>
      </c>
      <c r="L4587" s="31" t="s">
        <v>34</v>
      </c>
      <c r="M4587" s="31">
        <v>368</v>
      </c>
      <c r="N4587" s="31">
        <v>2022</v>
      </c>
      <c r="O4587" s="31">
        <v>298</v>
      </c>
      <c r="P4587" s="31"/>
      <c r="Q4587" s="31"/>
      <c r="R4587" s="33"/>
      <c r="S4587" s="34" t="str">
        <f>HYPERLINK("http://www.cnpol.ru/covers/20300.jpg","фото на сайте")</f>
        <v>фото на сайте</v>
      </c>
    </row>
    <row r="4588" spans="1:19" ht="50.1" customHeight="1">
      <c r="A4588" s="31"/>
      <c r="B4588" s="32" t="s">
        <v>16900</v>
      </c>
      <c r="C4588" s="31" t="s">
        <v>3218</v>
      </c>
      <c r="D4588" s="31" t="s">
        <v>16901</v>
      </c>
      <c r="E4588" s="31" t="s">
        <v>16902</v>
      </c>
      <c r="F4588" s="31" t="s">
        <v>31</v>
      </c>
      <c r="G4588" s="31">
        <v>386</v>
      </c>
      <c r="H4588" s="31">
        <v>10</v>
      </c>
      <c r="I4588" s="31">
        <v>22</v>
      </c>
      <c r="J4588" s="31" t="s">
        <v>16903</v>
      </c>
      <c r="K4588" s="31" t="s">
        <v>33</v>
      </c>
      <c r="L4588" s="31" t="s">
        <v>210</v>
      </c>
      <c r="M4588" s="31">
        <v>223</v>
      </c>
      <c r="N4588" s="31">
        <v>2023</v>
      </c>
      <c r="O4588" s="31">
        <v>162</v>
      </c>
      <c r="P4588" s="31"/>
      <c r="Q4588" s="31"/>
      <c r="R4588" s="33" t="s">
        <v>16904</v>
      </c>
      <c r="S4588" s="34" t="str">
        <f>HYPERLINK("http://www.cnpol.ru/covers/20688.jpg","фото на сайте")</f>
        <v>фото на сайте</v>
      </c>
    </row>
    <row r="4589" spans="1:19" ht="50.1" customHeight="1">
      <c r="A4589" s="31"/>
      <c r="B4589" s="32" t="s">
        <v>16905</v>
      </c>
      <c r="C4589" s="31" t="s">
        <v>4205</v>
      </c>
      <c r="D4589" s="31" t="s">
        <v>11220</v>
      </c>
      <c r="E4589" s="31" t="s">
        <v>16906</v>
      </c>
      <c r="F4589" s="31" t="s">
        <v>31</v>
      </c>
      <c r="G4589" s="31">
        <v>942</v>
      </c>
      <c r="H4589" s="31">
        <v>10</v>
      </c>
      <c r="I4589" s="31">
        <v>10</v>
      </c>
      <c r="J4589" s="31" t="s">
        <v>16907</v>
      </c>
      <c r="K4589" s="31" t="s">
        <v>41</v>
      </c>
      <c r="L4589" s="31" t="s">
        <v>34</v>
      </c>
      <c r="M4589" s="31">
        <v>593</v>
      </c>
      <c r="N4589" s="31">
        <v>2015</v>
      </c>
      <c r="O4589" s="31">
        <v>674</v>
      </c>
      <c r="P4589" s="31"/>
      <c r="Q4589" s="31"/>
      <c r="R4589" s="33"/>
      <c r="S4589" s="34" t="str">
        <f>HYPERLINK("http://www.cnpol.ru/covers/15867.jpg","фото на сайте")</f>
        <v>фото на сайте</v>
      </c>
    </row>
    <row r="4590" spans="1:19" ht="50.1" customHeight="1">
      <c r="A4590" s="31" t="s">
        <v>43</v>
      </c>
      <c r="B4590" s="32" t="s">
        <v>16908</v>
      </c>
      <c r="C4590" s="31" t="s">
        <v>1516</v>
      </c>
      <c r="D4590" s="31" t="s">
        <v>14933</v>
      </c>
      <c r="E4590" s="31" t="s">
        <v>16909</v>
      </c>
      <c r="F4590" s="31">
        <v>45</v>
      </c>
      <c r="G4590" s="31">
        <v>106</v>
      </c>
      <c r="H4590" s="31">
        <v>10</v>
      </c>
      <c r="I4590" s="31">
        <v>30</v>
      </c>
      <c r="J4590" s="31" t="s">
        <v>16910</v>
      </c>
      <c r="K4590" s="31" t="s">
        <v>123</v>
      </c>
      <c r="L4590" s="31" t="s">
        <v>56</v>
      </c>
      <c r="M4590" s="31">
        <v>159</v>
      </c>
      <c r="N4590" s="31">
        <v>2024</v>
      </c>
      <c r="O4590" s="31">
        <v>76</v>
      </c>
      <c r="P4590" s="31"/>
      <c r="Q4590" s="31"/>
      <c r="R4590" s="33" t="s">
        <v>16911</v>
      </c>
      <c r="S4590" s="34" t="str">
        <f>HYPERLINK("http://www.cnpol.ru/covers/21034.jpg","фото на сайте")</f>
        <v>фото на сайте</v>
      </c>
    </row>
    <row r="4591" spans="1:19" ht="50.1" customHeight="1">
      <c r="A4591" s="31"/>
      <c r="B4591" s="32" t="s">
        <v>16912</v>
      </c>
      <c r="C4591" s="31" t="s">
        <v>390</v>
      </c>
      <c r="D4591" s="31" t="s">
        <v>2285</v>
      </c>
      <c r="E4591" s="31" t="s">
        <v>16913</v>
      </c>
      <c r="F4591" s="31">
        <v>558</v>
      </c>
      <c r="G4591" s="31">
        <v>86</v>
      </c>
      <c r="H4591" s="31">
        <v>10</v>
      </c>
      <c r="I4591" s="31">
        <v>30</v>
      </c>
      <c r="J4591" s="31" t="s">
        <v>16914</v>
      </c>
      <c r="K4591" s="31" t="s">
        <v>123</v>
      </c>
      <c r="L4591" s="31" t="s">
        <v>56</v>
      </c>
      <c r="M4591" s="31">
        <v>158</v>
      </c>
      <c r="N4591" s="31">
        <v>2015</v>
      </c>
      <c r="O4591" s="31">
        <v>76</v>
      </c>
      <c r="P4591" s="31"/>
      <c r="Q4591" s="31"/>
      <c r="R4591" s="33"/>
      <c r="S4591" s="34" t="str">
        <f>HYPERLINK("http://www.cnpol.ru/covers/16291.jpg","фото на сайте")</f>
        <v>фото на сайте</v>
      </c>
    </row>
    <row r="4592" spans="1:19" ht="50.1" customHeight="1">
      <c r="A4592" s="31"/>
      <c r="B4592" s="32" t="s">
        <v>16915</v>
      </c>
      <c r="C4592" s="31" t="s">
        <v>418</v>
      </c>
      <c r="D4592" s="31" t="s">
        <v>10724</v>
      </c>
      <c r="E4592" s="31" t="s">
        <v>16916</v>
      </c>
      <c r="F4592" s="31">
        <v>20</v>
      </c>
      <c r="G4592" s="31">
        <v>153</v>
      </c>
      <c r="H4592" s="31">
        <v>10</v>
      </c>
      <c r="I4592" s="31">
        <v>32</v>
      </c>
      <c r="J4592" s="31" t="s">
        <v>16917</v>
      </c>
      <c r="K4592" s="31" t="s">
        <v>123</v>
      </c>
      <c r="L4592" s="31" t="s">
        <v>56</v>
      </c>
      <c r="M4592" s="31">
        <v>286</v>
      </c>
      <c r="N4592" s="31">
        <v>2013</v>
      </c>
      <c r="O4592" s="31">
        <v>128</v>
      </c>
      <c r="P4592" s="31"/>
      <c r="Q4592" s="31"/>
      <c r="R4592" s="33"/>
      <c r="S4592" s="34" t="str">
        <f>HYPERLINK("http://www.cnpol.ru/covers/14212.jpg","фото на сайте")</f>
        <v>фото на сайте</v>
      </c>
    </row>
    <row r="4593" spans="1:19" ht="50.1" customHeight="1">
      <c r="A4593" s="31"/>
      <c r="B4593" s="32" t="s">
        <v>16918</v>
      </c>
      <c r="C4593" s="31" t="s">
        <v>520</v>
      </c>
      <c r="D4593" s="31" t="s">
        <v>3606</v>
      </c>
      <c r="E4593" s="31" t="s">
        <v>16919</v>
      </c>
      <c r="F4593" s="31">
        <v>31</v>
      </c>
      <c r="G4593" s="31">
        <v>117</v>
      </c>
      <c r="H4593" s="31">
        <v>10</v>
      </c>
      <c r="I4593" s="31">
        <v>30</v>
      </c>
      <c r="J4593" s="31" t="s">
        <v>16920</v>
      </c>
      <c r="K4593" s="31" t="s">
        <v>123</v>
      </c>
      <c r="L4593" s="31" t="s">
        <v>56</v>
      </c>
      <c r="M4593" s="31">
        <v>192</v>
      </c>
      <c r="N4593" s="31">
        <v>2016</v>
      </c>
      <c r="O4593" s="31">
        <v>90</v>
      </c>
      <c r="P4593" s="31"/>
      <c r="Q4593" s="31"/>
      <c r="R4593" s="33"/>
      <c r="S4593" s="34" t="str">
        <f>HYPERLINK("http://www.cnpol.ru/covers/16880.jpg","фото на сайте")</f>
        <v>фото на сайте</v>
      </c>
    </row>
    <row r="4594" spans="1:19" ht="50.1" customHeight="1">
      <c r="A4594" s="31" t="s">
        <v>35</v>
      </c>
      <c r="B4594" s="32" t="s">
        <v>16921</v>
      </c>
      <c r="C4594" s="31" t="s">
        <v>2434</v>
      </c>
      <c r="D4594" s="31" t="s">
        <v>2435</v>
      </c>
      <c r="E4594" s="31" t="s">
        <v>16922</v>
      </c>
      <c r="F4594" s="31" t="s">
        <v>31</v>
      </c>
      <c r="G4594" s="31">
        <v>903</v>
      </c>
      <c r="H4594" s="31">
        <v>10</v>
      </c>
      <c r="I4594" s="31">
        <v>10</v>
      </c>
      <c r="J4594" s="31" t="s">
        <v>16923</v>
      </c>
      <c r="K4594" s="31" t="s">
        <v>33</v>
      </c>
      <c r="L4594" s="31" t="s">
        <v>34</v>
      </c>
      <c r="M4594" s="31">
        <v>347</v>
      </c>
      <c r="N4594" s="31">
        <v>2024</v>
      </c>
      <c r="O4594" s="31">
        <v>398</v>
      </c>
      <c r="P4594" s="31"/>
      <c r="Q4594" s="31"/>
      <c r="R4594" s="33" t="s">
        <v>16924</v>
      </c>
      <c r="S4594" s="34" t="str">
        <f>HYPERLINK("http://www.cnpol.ru/covers/21762.jpg","фото на сайте")</f>
        <v>фото на сайте</v>
      </c>
    </row>
    <row r="4595" spans="1:19" ht="50.1" customHeight="1">
      <c r="A4595" s="31"/>
      <c r="B4595" s="32" t="s">
        <v>16925</v>
      </c>
      <c r="C4595" s="31" t="s">
        <v>45</v>
      </c>
      <c r="D4595" s="31" t="s">
        <v>7530</v>
      </c>
      <c r="E4595" s="31" t="s">
        <v>16926</v>
      </c>
      <c r="F4595" s="31" t="s">
        <v>31</v>
      </c>
      <c r="G4595" s="35">
        <v>1217</v>
      </c>
      <c r="H4595" s="31">
        <v>10</v>
      </c>
      <c r="I4595" s="31">
        <v>8</v>
      </c>
      <c r="J4595" s="31" t="s">
        <v>16927</v>
      </c>
      <c r="K4595" s="31" t="s">
        <v>33</v>
      </c>
      <c r="L4595" s="31" t="s">
        <v>34</v>
      </c>
      <c r="M4595" s="31">
        <v>543</v>
      </c>
      <c r="N4595" s="31">
        <v>2023</v>
      </c>
      <c r="O4595" s="31">
        <v>558</v>
      </c>
      <c r="P4595" s="31"/>
      <c r="Q4595" s="31"/>
      <c r="R4595" s="33" t="s">
        <v>16928</v>
      </c>
      <c r="S4595" s="34" t="str">
        <f>HYPERLINK("http://www.cnpol.ru/covers/20872.jpg","фото на сайте")</f>
        <v>фото на сайте</v>
      </c>
    </row>
    <row r="4596" spans="1:19" ht="50.1" customHeight="1">
      <c r="A4596" s="31"/>
      <c r="B4596" s="32" t="s">
        <v>16929</v>
      </c>
      <c r="C4596" s="31" t="s">
        <v>828</v>
      </c>
      <c r="D4596" s="31" t="s">
        <v>16930</v>
      </c>
      <c r="E4596" s="31" t="s">
        <v>16931</v>
      </c>
      <c r="F4596" s="31" t="s">
        <v>31</v>
      </c>
      <c r="G4596" s="31">
        <v>746</v>
      </c>
      <c r="H4596" s="31">
        <v>10</v>
      </c>
      <c r="I4596" s="31">
        <v>14</v>
      </c>
      <c r="J4596" s="31" t="s">
        <v>16932</v>
      </c>
      <c r="K4596" s="31" t="s">
        <v>33</v>
      </c>
      <c r="L4596" s="31" t="s">
        <v>34</v>
      </c>
      <c r="M4596" s="31">
        <v>302</v>
      </c>
      <c r="N4596" s="31">
        <v>2008</v>
      </c>
      <c r="O4596" s="31">
        <v>376</v>
      </c>
      <c r="P4596" s="31"/>
      <c r="Q4596" s="31"/>
      <c r="R4596" s="33"/>
      <c r="S4596" s="34" t="str">
        <f>HYPERLINK("http://www.cnpol.ru/covers/10359.jpg","фото на сайте")</f>
        <v>фото на сайте</v>
      </c>
    </row>
    <row r="4597" spans="1:19" ht="50.1" customHeight="1">
      <c r="A4597" s="31"/>
      <c r="B4597" s="32" t="s">
        <v>16933</v>
      </c>
      <c r="C4597" s="31" t="s">
        <v>1328</v>
      </c>
      <c r="D4597" s="31" t="s">
        <v>1786</v>
      </c>
      <c r="E4597" s="31" t="s">
        <v>16934</v>
      </c>
      <c r="F4597" s="31" t="s">
        <v>31</v>
      </c>
      <c r="G4597" s="31">
        <v>672</v>
      </c>
      <c r="H4597" s="31">
        <v>10</v>
      </c>
      <c r="I4597" s="31">
        <v>6</v>
      </c>
      <c r="J4597" s="31" t="s">
        <v>16935</v>
      </c>
      <c r="K4597" s="31" t="s">
        <v>33</v>
      </c>
      <c r="L4597" s="31" t="s">
        <v>210</v>
      </c>
      <c r="M4597" s="31">
        <v>448</v>
      </c>
      <c r="N4597" s="31">
        <v>2024</v>
      </c>
      <c r="O4597" s="31">
        <v>382</v>
      </c>
      <c r="P4597" s="31"/>
      <c r="Q4597" s="31"/>
      <c r="R4597" s="33" t="s">
        <v>16936</v>
      </c>
      <c r="S4597" s="34" t="str">
        <f>HYPERLINK("http://www.cnpol.ru/covers/20953.jpg","фото на сайте")</f>
        <v>фото на сайте</v>
      </c>
    </row>
    <row r="4598" spans="1:19" ht="50.1" customHeight="1">
      <c r="A4598" s="31"/>
      <c r="B4598" s="32" t="s">
        <v>16937</v>
      </c>
      <c r="C4598" s="31" t="s">
        <v>45</v>
      </c>
      <c r="D4598" s="31" t="s">
        <v>16938</v>
      </c>
      <c r="E4598" s="31" t="s">
        <v>16939</v>
      </c>
      <c r="F4598" s="31" t="s">
        <v>31</v>
      </c>
      <c r="G4598" s="31">
        <v>832</v>
      </c>
      <c r="H4598" s="31">
        <v>10</v>
      </c>
      <c r="I4598" s="31">
        <v>14</v>
      </c>
      <c r="J4598" s="31" t="s">
        <v>16940</v>
      </c>
      <c r="K4598" s="31" t="s">
        <v>33</v>
      </c>
      <c r="L4598" s="31" t="s">
        <v>34</v>
      </c>
      <c r="M4598" s="31">
        <v>267</v>
      </c>
      <c r="N4598" s="31">
        <v>2021</v>
      </c>
      <c r="O4598" s="31">
        <v>364</v>
      </c>
      <c r="P4598" s="31"/>
      <c r="Q4598" s="31"/>
      <c r="R4598" s="33"/>
      <c r="S4598" s="34" t="str">
        <f>HYPERLINK("http://www.cnpol.ru/covers/19763.jpg","фото на сайте")</f>
        <v>фото на сайте</v>
      </c>
    </row>
    <row r="4599" spans="1:19" ht="50.1" customHeight="1">
      <c r="A4599" s="31"/>
      <c r="B4599" s="32" t="s">
        <v>16941</v>
      </c>
      <c r="C4599" s="31" t="s">
        <v>390</v>
      </c>
      <c r="D4599" s="31" t="s">
        <v>1454</v>
      </c>
      <c r="E4599" s="31" t="s">
        <v>16942</v>
      </c>
      <c r="F4599" s="31">
        <v>872</v>
      </c>
      <c r="G4599" s="31">
        <v>86</v>
      </c>
      <c r="H4599" s="31">
        <v>10</v>
      </c>
      <c r="I4599" s="31">
        <v>30</v>
      </c>
      <c r="J4599" s="31" t="s">
        <v>16943</v>
      </c>
      <c r="K4599" s="31" t="s">
        <v>123</v>
      </c>
      <c r="L4599" s="31" t="s">
        <v>56</v>
      </c>
      <c r="M4599" s="31">
        <v>160</v>
      </c>
      <c r="N4599" s="31">
        <v>2019</v>
      </c>
      <c r="O4599" s="31">
        <v>76</v>
      </c>
      <c r="P4599" s="31"/>
      <c r="Q4599" s="31"/>
      <c r="R4599" s="33"/>
      <c r="S4599" s="34" t="str">
        <f>HYPERLINK("http://www.cnpol.ru/covers/18529.jpg","фото на сайте")</f>
        <v>фото на сайте</v>
      </c>
    </row>
    <row r="4600" spans="1:19" ht="50.1" customHeight="1">
      <c r="A4600" s="31"/>
      <c r="B4600" s="32" t="s">
        <v>16944</v>
      </c>
      <c r="C4600" s="31" t="s">
        <v>1623</v>
      </c>
      <c r="D4600" s="31" t="s">
        <v>1624</v>
      </c>
      <c r="E4600" s="31" t="s">
        <v>16945</v>
      </c>
      <c r="F4600" s="31" t="s">
        <v>31</v>
      </c>
      <c r="G4600" s="31">
        <v>169</v>
      </c>
      <c r="H4600" s="31">
        <v>10</v>
      </c>
      <c r="I4600" s="31">
        <v>11</v>
      </c>
      <c r="J4600" s="31" t="s">
        <v>16946</v>
      </c>
      <c r="K4600" s="31" t="s">
        <v>55</v>
      </c>
      <c r="L4600" s="31" t="s">
        <v>56</v>
      </c>
      <c r="M4600" s="31">
        <v>287</v>
      </c>
      <c r="N4600" s="31">
        <v>2022</v>
      </c>
      <c r="O4600" s="31">
        <v>125</v>
      </c>
      <c r="P4600" s="31"/>
      <c r="Q4600" s="31"/>
      <c r="R4600" s="33"/>
      <c r="S4600" s="34" t="str">
        <f>HYPERLINK("http://www.cnpol.ru/covers/20249.jpg","фото на сайте")</f>
        <v>фото на сайте</v>
      </c>
    </row>
    <row r="4601" spans="1:19" ht="50.1" customHeight="1">
      <c r="A4601" s="31"/>
      <c r="B4601" s="32" t="s">
        <v>16947</v>
      </c>
      <c r="C4601" s="31" t="s">
        <v>400</v>
      </c>
      <c r="D4601" s="31" t="s">
        <v>16948</v>
      </c>
      <c r="E4601" s="31" t="s">
        <v>16949</v>
      </c>
      <c r="F4601" s="31" t="s">
        <v>31</v>
      </c>
      <c r="G4601" s="31">
        <v>503</v>
      </c>
      <c r="H4601" s="31">
        <v>10</v>
      </c>
      <c r="I4601" s="31">
        <v>14</v>
      </c>
      <c r="J4601" s="31" t="s">
        <v>16950</v>
      </c>
      <c r="K4601" s="31" t="s">
        <v>33</v>
      </c>
      <c r="L4601" s="31" t="s">
        <v>34</v>
      </c>
      <c r="M4601" s="31">
        <v>320</v>
      </c>
      <c r="N4601" s="31">
        <v>2019</v>
      </c>
      <c r="O4601" s="31">
        <v>274</v>
      </c>
      <c r="P4601" s="31"/>
      <c r="Q4601" s="31"/>
      <c r="R4601" s="33"/>
      <c r="S4601" s="34" t="str">
        <f>HYPERLINK("http://www.cnpol.ru/covers/18663.jpg","фото на сайте")</f>
        <v>фото на сайте</v>
      </c>
    </row>
    <row r="4602" spans="1:19" ht="50.1" customHeight="1">
      <c r="A4602" s="31" t="s">
        <v>43</v>
      </c>
      <c r="B4602" s="32" t="s">
        <v>16951</v>
      </c>
      <c r="C4602" s="31" t="s">
        <v>1390</v>
      </c>
      <c r="D4602" s="31" t="s">
        <v>236</v>
      </c>
      <c r="E4602" s="31" t="s">
        <v>16952</v>
      </c>
      <c r="F4602" s="31" t="s">
        <v>31</v>
      </c>
      <c r="G4602" s="31">
        <v>514</v>
      </c>
      <c r="H4602" s="31">
        <v>10</v>
      </c>
      <c r="I4602" s="31">
        <v>20</v>
      </c>
      <c r="J4602" s="31" t="s">
        <v>16953</v>
      </c>
      <c r="K4602" s="31" t="s">
        <v>33</v>
      </c>
      <c r="L4602" s="31" t="s">
        <v>34</v>
      </c>
      <c r="M4602" s="31">
        <v>255</v>
      </c>
      <c r="N4602" s="31">
        <v>2024</v>
      </c>
      <c r="O4602" s="31">
        <v>282</v>
      </c>
      <c r="P4602" s="31"/>
      <c r="Q4602" s="31"/>
      <c r="R4602" s="33" t="s">
        <v>16954</v>
      </c>
      <c r="S4602" s="34" t="str">
        <f>HYPERLINK("http://www.cnpol.ru/covers/21134.jpg","фото на сайте")</f>
        <v>фото на сайте</v>
      </c>
    </row>
    <row r="4603" spans="1:19" ht="50.1" customHeight="1">
      <c r="A4603" s="31"/>
      <c r="B4603" s="32" t="s">
        <v>16955</v>
      </c>
      <c r="C4603" s="31" t="s">
        <v>28</v>
      </c>
      <c r="D4603" s="31" t="s">
        <v>16956</v>
      </c>
      <c r="E4603" s="31" t="s">
        <v>16957</v>
      </c>
      <c r="F4603" s="31">
        <v>1</v>
      </c>
      <c r="G4603" s="31">
        <v>647</v>
      </c>
      <c r="H4603" s="31">
        <v>10</v>
      </c>
      <c r="I4603" s="31">
        <v>10</v>
      </c>
      <c r="J4603" s="31" t="s">
        <v>16958</v>
      </c>
      <c r="K4603" s="31" t="s">
        <v>33</v>
      </c>
      <c r="L4603" s="31" t="s">
        <v>34</v>
      </c>
      <c r="M4603" s="31">
        <v>606</v>
      </c>
      <c r="N4603" s="31">
        <v>2021</v>
      </c>
      <c r="O4603" s="31">
        <v>552</v>
      </c>
      <c r="P4603" s="31"/>
      <c r="Q4603" s="31"/>
      <c r="R4603" s="33"/>
      <c r="S4603" s="34" t="str">
        <f>HYPERLINK("http://www.cnpol.ru/covers/19937.jpg","фото на сайте")</f>
        <v>фото на сайте</v>
      </c>
    </row>
    <row r="4604" spans="1:19" ht="50.1" customHeight="1">
      <c r="A4604" s="31"/>
      <c r="B4604" s="32" t="s">
        <v>16959</v>
      </c>
      <c r="C4604" s="31" t="s">
        <v>28</v>
      </c>
      <c r="D4604" s="31" t="s">
        <v>16956</v>
      </c>
      <c r="E4604" s="31" t="s">
        <v>16960</v>
      </c>
      <c r="F4604" s="31">
        <v>2</v>
      </c>
      <c r="G4604" s="31">
        <v>647</v>
      </c>
      <c r="H4604" s="31">
        <v>10</v>
      </c>
      <c r="I4604" s="31">
        <v>10</v>
      </c>
      <c r="J4604" s="31" t="s">
        <v>16961</v>
      </c>
      <c r="K4604" s="31" t="s">
        <v>33</v>
      </c>
      <c r="L4604" s="31" t="s">
        <v>34</v>
      </c>
      <c r="M4604" s="31">
        <v>605</v>
      </c>
      <c r="N4604" s="31">
        <v>2021</v>
      </c>
      <c r="O4604" s="31">
        <v>552</v>
      </c>
      <c r="P4604" s="31"/>
      <c r="Q4604" s="31"/>
      <c r="R4604" s="33"/>
      <c r="S4604" s="34" t="str">
        <f>HYPERLINK("http://www.cnpol.ru/covers/19938.jpg","фото на сайте")</f>
        <v>фото на сайте</v>
      </c>
    </row>
    <row r="4605" spans="1:19" ht="50.1" customHeight="1">
      <c r="A4605" s="31"/>
      <c r="B4605" s="32" t="s">
        <v>16962</v>
      </c>
      <c r="C4605" s="31" t="s">
        <v>400</v>
      </c>
      <c r="D4605" s="31" t="s">
        <v>8078</v>
      </c>
      <c r="E4605" s="31" t="s">
        <v>16963</v>
      </c>
      <c r="F4605" s="31" t="s">
        <v>31</v>
      </c>
      <c r="G4605" s="31">
        <v>503</v>
      </c>
      <c r="H4605" s="31">
        <v>10</v>
      </c>
      <c r="I4605" s="31">
        <v>14</v>
      </c>
      <c r="J4605" s="31" t="s">
        <v>16964</v>
      </c>
      <c r="K4605" s="31" t="s">
        <v>1938</v>
      </c>
      <c r="L4605" s="31" t="s">
        <v>34</v>
      </c>
      <c r="M4605" s="31">
        <v>317</v>
      </c>
      <c r="N4605" s="31">
        <v>2014</v>
      </c>
      <c r="O4605" s="31">
        <v>266</v>
      </c>
      <c r="P4605" s="31"/>
      <c r="Q4605" s="31"/>
      <c r="R4605" s="33"/>
      <c r="S4605" s="34" t="str">
        <f>HYPERLINK("http://www.cnpol.ru/covers/15290.jpg","фото на сайте")</f>
        <v>фото на сайте</v>
      </c>
    </row>
    <row r="4606" spans="1:19" ht="50.1" customHeight="1">
      <c r="A4606" s="31"/>
      <c r="B4606" s="32" t="s">
        <v>16965</v>
      </c>
      <c r="C4606" s="31" t="s">
        <v>390</v>
      </c>
      <c r="D4606" s="31" t="s">
        <v>1805</v>
      </c>
      <c r="E4606" s="31" t="s">
        <v>16966</v>
      </c>
      <c r="F4606" s="31">
        <v>516</v>
      </c>
      <c r="G4606" s="31">
        <v>86</v>
      </c>
      <c r="H4606" s="31">
        <v>10</v>
      </c>
      <c r="I4606" s="31">
        <v>30</v>
      </c>
      <c r="J4606" s="31" t="s">
        <v>16967</v>
      </c>
      <c r="K4606" s="31" t="s">
        <v>123</v>
      </c>
      <c r="L4606" s="31" t="s">
        <v>56</v>
      </c>
      <c r="M4606" s="31">
        <v>158</v>
      </c>
      <c r="N4606" s="31">
        <v>2015</v>
      </c>
      <c r="O4606" s="31">
        <v>76</v>
      </c>
      <c r="P4606" s="31"/>
      <c r="Q4606" s="31"/>
      <c r="R4606" s="33"/>
      <c r="S4606" s="34" t="str">
        <f>HYPERLINK("http://www.cnpol.ru/covers/15993.jpg","фото на сайте")</f>
        <v>фото на сайте</v>
      </c>
    </row>
    <row r="4607" spans="1:19" ht="50.1" customHeight="1">
      <c r="A4607" s="31"/>
      <c r="B4607" s="32" t="s">
        <v>16968</v>
      </c>
      <c r="C4607" s="31" t="s">
        <v>528</v>
      </c>
      <c r="D4607" s="31" t="s">
        <v>529</v>
      </c>
      <c r="E4607" s="31" t="s">
        <v>16969</v>
      </c>
      <c r="F4607" s="31" t="s">
        <v>31</v>
      </c>
      <c r="G4607" s="31">
        <v>137</v>
      </c>
      <c r="H4607" s="31">
        <v>10</v>
      </c>
      <c r="I4607" s="31">
        <v>20</v>
      </c>
      <c r="J4607" s="31" t="s">
        <v>16970</v>
      </c>
      <c r="K4607" s="31" t="s">
        <v>55</v>
      </c>
      <c r="L4607" s="31" t="s">
        <v>56</v>
      </c>
      <c r="M4607" s="31">
        <v>160</v>
      </c>
      <c r="N4607" s="31">
        <v>2018</v>
      </c>
      <c r="O4607" s="31">
        <v>68</v>
      </c>
      <c r="P4607" s="31"/>
      <c r="Q4607" s="31"/>
      <c r="R4607" s="33"/>
      <c r="S4607" s="34" t="str">
        <f>HYPERLINK("http://www.cnpol.ru/covers/18171.jpg","фото на сайте")</f>
        <v>фото на сайте</v>
      </c>
    </row>
    <row r="4608" spans="1:19" ht="50.1" customHeight="1">
      <c r="A4608" s="31"/>
      <c r="B4608" s="32" t="s">
        <v>16971</v>
      </c>
      <c r="C4608" s="31" t="s">
        <v>37</v>
      </c>
      <c r="D4608" s="31" t="s">
        <v>1491</v>
      </c>
      <c r="E4608" s="31" t="s">
        <v>16972</v>
      </c>
      <c r="F4608" s="31" t="s">
        <v>31</v>
      </c>
      <c r="G4608" s="31">
        <v>693</v>
      </c>
      <c r="H4608" s="31">
        <v>10</v>
      </c>
      <c r="I4608" s="31">
        <v>14</v>
      </c>
      <c r="J4608" s="31" t="s">
        <v>16973</v>
      </c>
      <c r="K4608" s="31" t="s">
        <v>33</v>
      </c>
      <c r="L4608" s="31" t="s">
        <v>34</v>
      </c>
      <c r="M4608" s="31">
        <v>448</v>
      </c>
      <c r="N4608" s="31">
        <v>2018</v>
      </c>
      <c r="O4608" s="31">
        <v>424</v>
      </c>
      <c r="P4608" s="31"/>
      <c r="Q4608" s="31"/>
      <c r="R4608" s="33"/>
      <c r="S4608" s="34" t="str">
        <f>HYPERLINK("http://www.cnpol.ru/covers/18169.jpg","фото на сайте")</f>
        <v>фото на сайте</v>
      </c>
    </row>
    <row r="4609" spans="1:19" ht="50.1" customHeight="1">
      <c r="A4609" s="31"/>
      <c r="B4609" s="32" t="s">
        <v>16974</v>
      </c>
      <c r="C4609" s="31" t="s">
        <v>528</v>
      </c>
      <c r="D4609" s="31" t="s">
        <v>529</v>
      </c>
      <c r="E4609" s="31" t="s">
        <v>16975</v>
      </c>
      <c r="F4609" s="31" t="s">
        <v>31</v>
      </c>
      <c r="G4609" s="31">
        <v>137</v>
      </c>
      <c r="H4609" s="31">
        <v>10</v>
      </c>
      <c r="I4609" s="31">
        <v>20</v>
      </c>
      <c r="J4609" s="31" t="s">
        <v>16976</v>
      </c>
      <c r="K4609" s="31" t="s">
        <v>55</v>
      </c>
      <c r="L4609" s="31" t="s">
        <v>56</v>
      </c>
      <c r="M4609" s="31">
        <v>160</v>
      </c>
      <c r="N4609" s="31">
        <v>2017</v>
      </c>
      <c r="O4609" s="31">
        <v>68</v>
      </c>
      <c r="P4609" s="31"/>
      <c r="Q4609" s="31"/>
      <c r="R4609" s="33"/>
      <c r="S4609" s="34" t="str">
        <f>HYPERLINK("http://www.cnpol.ru/covers/17687.jpg","фото на сайте")</f>
        <v>фото на сайте</v>
      </c>
    </row>
    <row r="4610" spans="1:19" ht="50.1" customHeight="1">
      <c r="A4610" s="31"/>
      <c r="B4610" s="32" t="s">
        <v>16977</v>
      </c>
      <c r="C4610" s="31" t="s">
        <v>16978</v>
      </c>
      <c r="D4610" s="31" t="s">
        <v>16979</v>
      </c>
      <c r="E4610" s="31" t="s">
        <v>16980</v>
      </c>
      <c r="F4610" s="31" t="s">
        <v>31</v>
      </c>
      <c r="G4610" s="31">
        <v>112</v>
      </c>
      <c r="H4610" s="31">
        <v>10</v>
      </c>
      <c r="I4610" s="31">
        <v>40</v>
      </c>
      <c r="J4610" s="31" t="s">
        <v>16981</v>
      </c>
      <c r="K4610" s="31" t="s">
        <v>130</v>
      </c>
      <c r="L4610" s="31" t="s">
        <v>56</v>
      </c>
      <c r="M4610" s="31">
        <v>160</v>
      </c>
      <c r="N4610" s="31">
        <v>2009</v>
      </c>
      <c r="O4610" s="31">
        <v>98</v>
      </c>
      <c r="P4610" s="31"/>
      <c r="Q4610" s="31"/>
      <c r="R4610" s="33"/>
      <c r="S4610" s="34" t="str">
        <f>HYPERLINK("http://www.cnpol.ru/covers/11018.jpg","фото на сайте")</f>
        <v>фото на сайте</v>
      </c>
    </row>
    <row r="4611" spans="1:19" ht="50.1" customHeight="1">
      <c r="A4611" s="31"/>
      <c r="B4611" s="32" t="s">
        <v>16982</v>
      </c>
      <c r="C4611" s="31" t="s">
        <v>528</v>
      </c>
      <c r="D4611" s="31" t="s">
        <v>529</v>
      </c>
      <c r="E4611" s="31" t="s">
        <v>16983</v>
      </c>
      <c r="F4611" s="31" t="s">
        <v>31</v>
      </c>
      <c r="G4611" s="31">
        <v>137</v>
      </c>
      <c r="H4611" s="31">
        <v>10</v>
      </c>
      <c r="I4611" s="31">
        <v>20</v>
      </c>
      <c r="J4611" s="31" t="s">
        <v>16984</v>
      </c>
      <c r="K4611" s="31" t="s">
        <v>55</v>
      </c>
      <c r="L4611" s="31" t="s">
        <v>56</v>
      </c>
      <c r="M4611" s="31">
        <v>160</v>
      </c>
      <c r="N4611" s="31">
        <v>2017</v>
      </c>
      <c r="O4611" s="31">
        <v>68</v>
      </c>
      <c r="P4611" s="31"/>
      <c r="Q4611" s="31"/>
      <c r="R4611" s="33"/>
      <c r="S4611" s="34" t="str">
        <f>HYPERLINK("http://www.cnpol.ru/covers/17830.jpg","фото на сайте")</f>
        <v>фото на сайте</v>
      </c>
    </row>
    <row r="4612" spans="1:19" ht="50.1" customHeight="1">
      <c r="A4612" s="31"/>
      <c r="B4612" s="32" t="s">
        <v>16985</v>
      </c>
      <c r="C4612" s="31" t="s">
        <v>528</v>
      </c>
      <c r="D4612" s="31" t="s">
        <v>529</v>
      </c>
      <c r="E4612" s="31" t="s">
        <v>16986</v>
      </c>
      <c r="F4612" s="31" t="s">
        <v>31</v>
      </c>
      <c r="G4612" s="31">
        <v>137</v>
      </c>
      <c r="H4612" s="31">
        <v>10</v>
      </c>
      <c r="I4612" s="31">
        <v>20</v>
      </c>
      <c r="J4612" s="31" t="s">
        <v>16987</v>
      </c>
      <c r="K4612" s="31" t="s">
        <v>55</v>
      </c>
      <c r="L4612" s="31" t="s">
        <v>56</v>
      </c>
      <c r="M4612" s="31">
        <v>160</v>
      </c>
      <c r="N4612" s="31">
        <v>2017</v>
      </c>
      <c r="O4612" s="31">
        <v>68</v>
      </c>
      <c r="P4612" s="31"/>
      <c r="Q4612" s="31"/>
      <c r="R4612" s="33"/>
      <c r="S4612" s="34" t="str">
        <f>HYPERLINK("http://www.cnpol.ru/covers/17583.jpg","фото на сайте")</f>
        <v>фото на сайте</v>
      </c>
    </row>
    <row r="4613" spans="1:19" ht="50.1" customHeight="1">
      <c r="A4613" s="31"/>
      <c r="B4613" s="32" t="s">
        <v>16988</v>
      </c>
      <c r="C4613" s="31" t="s">
        <v>589</v>
      </c>
      <c r="D4613" s="31" t="s">
        <v>590</v>
      </c>
      <c r="E4613" s="31" t="s">
        <v>16989</v>
      </c>
      <c r="F4613" s="31" t="s">
        <v>31</v>
      </c>
      <c r="G4613" s="31">
        <v>258</v>
      </c>
      <c r="H4613" s="31">
        <v>10</v>
      </c>
      <c r="I4613" s="31">
        <v>32</v>
      </c>
      <c r="J4613" s="31" t="s">
        <v>16990</v>
      </c>
      <c r="K4613" s="31" t="s">
        <v>130</v>
      </c>
      <c r="L4613" s="31" t="s">
        <v>56</v>
      </c>
      <c r="M4613" s="31">
        <v>160</v>
      </c>
      <c r="N4613" s="31">
        <v>2016</v>
      </c>
      <c r="O4613" s="31">
        <v>102</v>
      </c>
      <c r="P4613" s="31"/>
      <c r="Q4613" s="31"/>
      <c r="R4613" s="33"/>
      <c r="S4613" s="34" t="str">
        <f>HYPERLINK("http://www.cnpol.ru/covers/17127.jpg","фото на сайте")</f>
        <v>фото на сайте</v>
      </c>
    </row>
    <row r="4614" spans="1:19" ht="50.1" customHeight="1">
      <c r="A4614" s="31"/>
      <c r="B4614" s="32" t="s">
        <v>16991</v>
      </c>
      <c r="C4614" s="31" t="s">
        <v>16992</v>
      </c>
      <c r="D4614" s="31" t="s">
        <v>590</v>
      </c>
      <c r="E4614" s="31" t="s">
        <v>16989</v>
      </c>
      <c r="F4614" s="31" t="s">
        <v>31</v>
      </c>
      <c r="G4614" s="31">
        <v>137</v>
      </c>
      <c r="H4614" s="31">
        <v>10</v>
      </c>
      <c r="I4614" s="31">
        <v>30</v>
      </c>
      <c r="J4614" s="31" t="s">
        <v>16993</v>
      </c>
      <c r="K4614" s="31" t="s">
        <v>130</v>
      </c>
      <c r="L4614" s="31" t="s">
        <v>56</v>
      </c>
      <c r="M4614" s="31">
        <v>160</v>
      </c>
      <c r="N4614" s="31">
        <v>2009</v>
      </c>
      <c r="O4614" s="31">
        <v>98</v>
      </c>
      <c r="P4614" s="31"/>
      <c r="Q4614" s="31"/>
      <c r="R4614" s="33"/>
      <c r="S4614" s="34" t="str">
        <f>HYPERLINK("http://www.cnpol.ru/covers/11146.jpg","фото на сайте")</f>
        <v>фото на сайте</v>
      </c>
    </row>
    <row r="4615" spans="1:19" ht="50.1" customHeight="1">
      <c r="A4615" s="31"/>
      <c r="B4615" s="32" t="s">
        <v>16994</v>
      </c>
      <c r="C4615" s="31" t="s">
        <v>400</v>
      </c>
      <c r="D4615" s="31" t="s">
        <v>16995</v>
      </c>
      <c r="E4615" s="31" t="s">
        <v>16996</v>
      </c>
      <c r="F4615" s="31" t="s">
        <v>31</v>
      </c>
      <c r="G4615" s="31">
        <v>503</v>
      </c>
      <c r="H4615" s="31">
        <v>10</v>
      </c>
      <c r="I4615" s="31">
        <v>14</v>
      </c>
      <c r="J4615" s="31" t="s">
        <v>16997</v>
      </c>
      <c r="K4615" s="31" t="s">
        <v>33</v>
      </c>
      <c r="L4615" s="31" t="s">
        <v>34</v>
      </c>
      <c r="M4615" s="31">
        <v>320</v>
      </c>
      <c r="N4615" s="31">
        <v>2021</v>
      </c>
      <c r="O4615" s="31">
        <v>270</v>
      </c>
      <c r="P4615" s="31"/>
      <c r="Q4615" s="31"/>
      <c r="R4615" s="33"/>
      <c r="S4615" s="34" t="str">
        <f>HYPERLINK("http://www.cnpol.ru/covers/19649.jpg","фото на сайте")</f>
        <v>фото на сайте</v>
      </c>
    </row>
    <row r="4616" spans="1:19" ht="50.1" customHeight="1">
      <c r="A4616" s="31"/>
      <c r="B4616" s="32" t="s">
        <v>16998</v>
      </c>
      <c r="C4616" s="31" t="s">
        <v>400</v>
      </c>
      <c r="D4616" s="31" t="s">
        <v>785</v>
      </c>
      <c r="E4616" s="31" t="s">
        <v>16999</v>
      </c>
      <c r="F4616" s="31" t="s">
        <v>31</v>
      </c>
      <c r="G4616" s="31">
        <v>503</v>
      </c>
      <c r="H4616" s="31">
        <v>10</v>
      </c>
      <c r="I4616" s="31">
        <v>14</v>
      </c>
      <c r="J4616" s="31" t="s">
        <v>17000</v>
      </c>
      <c r="K4616" s="31" t="s">
        <v>33</v>
      </c>
      <c r="L4616" s="31" t="s">
        <v>34</v>
      </c>
      <c r="M4616" s="31">
        <v>288</v>
      </c>
      <c r="N4616" s="31">
        <v>2016</v>
      </c>
      <c r="O4616" s="31">
        <v>254</v>
      </c>
      <c r="P4616" s="31"/>
      <c r="Q4616" s="31"/>
      <c r="R4616" s="33"/>
      <c r="S4616" s="34" t="str">
        <f>HYPERLINK("http://www.cnpol.ru/covers/16447.jpg","фото на сайте")</f>
        <v>фото на сайте</v>
      </c>
    </row>
    <row r="4617" spans="1:19" ht="50.1" customHeight="1">
      <c r="A4617" s="31" t="s">
        <v>35</v>
      </c>
      <c r="B4617" s="32" t="s">
        <v>17001</v>
      </c>
      <c r="C4617" s="31" t="s">
        <v>6074</v>
      </c>
      <c r="D4617" s="31" t="s">
        <v>5169</v>
      </c>
      <c r="E4617" s="31" t="s">
        <v>17002</v>
      </c>
      <c r="F4617" s="31" t="s">
        <v>31</v>
      </c>
      <c r="G4617" s="31">
        <v>258</v>
      </c>
      <c r="H4617" s="31">
        <v>10</v>
      </c>
      <c r="I4617" s="31">
        <v>12</v>
      </c>
      <c r="J4617" s="31" t="s">
        <v>17003</v>
      </c>
      <c r="K4617" s="31" t="s">
        <v>130</v>
      </c>
      <c r="L4617" s="31" t="s">
        <v>56</v>
      </c>
      <c r="M4617" s="31">
        <v>223</v>
      </c>
      <c r="N4617" s="31">
        <v>2025</v>
      </c>
      <c r="O4617" s="31" t="s">
        <v>220</v>
      </c>
      <c r="P4617" s="31"/>
      <c r="Q4617" s="31"/>
      <c r="R4617" s="33" t="s">
        <v>17004</v>
      </c>
      <c r="S4617" s="34" t="str">
        <f>HYPERLINK("http://www.cnpol.ru/covers/21709.jpg","фото на сайте")</f>
        <v>фото на сайте</v>
      </c>
    </row>
    <row r="4618" spans="1:19" ht="50.1" customHeight="1">
      <c r="A4618" s="31"/>
      <c r="B4618" s="32" t="s">
        <v>17005</v>
      </c>
      <c r="C4618" s="31" t="s">
        <v>5430</v>
      </c>
      <c r="D4618" s="31" t="s">
        <v>17006</v>
      </c>
      <c r="E4618" s="31" t="s">
        <v>17007</v>
      </c>
      <c r="F4618" s="31" t="s">
        <v>31</v>
      </c>
      <c r="G4618" s="31">
        <v>315</v>
      </c>
      <c r="H4618" s="31">
        <v>10</v>
      </c>
      <c r="I4618" s="31">
        <v>18</v>
      </c>
      <c r="J4618" s="31" t="s">
        <v>17008</v>
      </c>
      <c r="K4618" s="31" t="s">
        <v>33</v>
      </c>
      <c r="L4618" s="31" t="s">
        <v>210</v>
      </c>
      <c r="M4618" s="31">
        <v>284</v>
      </c>
      <c r="N4618" s="31">
        <v>2008</v>
      </c>
      <c r="O4618" s="31">
        <v>212</v>
      </c>
      <c r="P4618" s="31"/>
      <c r="Q4618" s="31"/>
      <c r="R4618" s="33"/>
      <c r="S4618" s="34" t="str">
        <f>HYPERLINK("http://www.cnpol.ru/covers/10948.jpg","фото на сайте")</f>
        <v>фото на сайте</v>
      </c>
    </row>
    <row r="4619" spans="1:19" ht="50.1" customHeight="1">
      <c r="A4619" s="31"/>
      <c r="B4619" s="32" t="s">
        <v>17009</v>
      </c>
      <c r="C4619" s="31" t="s">
        <v>390</v>
      </c>
      <c r="D4619" s="31" t="s">
        <v>4570</v>
      </c>
      <c r="E4619" s="31" t="s">
        <v>17010</v>
      </c>
      <c r="F4619" s="31">
        <v>529</v>
      </c>
      <c r="G4619" s="31">
        <v>86</v>
      </c>
      <c r="H4619" s="31">
        <v>10</v>
      </c>
      <c r="I4619" s="31">
        <v>30</v>
      </c>
      <c r="J4619" s="31" t="s">
        <v>17011</v>
      </c>
      <c r="K4619" s="31" t="s">
        <v>123</v>
      </c>
      <c r="L4619" s="31" t="s">
        <v>56</v>
      </c>
      <c r="M4619" s="31">
        <v>158</v>
      </c>
      <c r="N4619" s="31">
        <v>2015</v>
      </c>
      <c r="O4619" s="31">
        <v>76</v>
      </c>
      <c r="P4619" s="31"/>
      <c r="Q4619" s="31"/>
      <c r="R4619" s="33"/>
      <c r="S4619" s="34" t="str">
        <f>HYPERLINK("http://www.cnpol.ru/covers/16075.jpg","фото на сайте")</f>
        <v>фото на сайте</v>
      </c>
    </row>
    <row r="4620" spans="1:19" ht="50.1" customHeight="1">
      <c r="A4620" s="31"/>
      <c r="B4620" s="32" t="s">
        <v>17012</v>
      </c>
      <c r="C4620" s="31" t="s">
        <v>546</v>
      </c>
      <c r="D4620" s="31" t="s">
        <v>8716</v>
      </c>
      <c r="E4620" s="31" t="s">
        <v>17013</v>
      </c>
      <c r="F4620" s="31">
        <v>266</v>
      </c>
      <c r="G4620" s="31">
        <v>93</v>
      </c>
      <c r="H4620" s="31">
        <v>10</v>
      </c>
      <c r="I4620" s="31">
        <v>30</v>
      </c>
      <c r="J4620" s="31" t="s">
        <v>17014</v>
      </c>
      <c r="K4620" s="31" t="s">
        <v>123</v>
      </c>
      <c r="L4620" s="31" t="s">
        <v>56</v>
      </c>
      <c r="M4620" s="31">
        <v>160</v>
      </c>
      <c r="N4620" s="31">
        <v>2018</v>
      </c>
      <c r="O4620" s="31">
        <v>76</v>
      </c>
      <c r="P4620" s="31"/>
      <c r="Q4620" s="31"/>
      <c r="R4620" s="33"/>
      <c r="S4620" s="34" t="str">
        <f>HYPERLINK("http://www.cnpol.ru/covers/18156.jpg","фото на сайте")</f>
        <v>фото на сайте</v>
      </c>
    </row>
    <row r="4621" spans="1:19" ht="50.1" customHeight="1">
      <c r="A4621" s="31"/>
      <c r="B4621" s="32" t="s">
        <v>17015</v>
      </c>
      <c r="C4621" s="31" t="s">
        <v>1594</v>
      </c>
      <c r="D4621" s="31" t="s">
        <v>1908</v>
      </c>
      <c r="E4621" s="31" t="s">
        <v>17016</v>
      </c>
      <c r="F4621" s="31" t="s">
        <v>31</v>
      </c>
      <c r="G4621" s="31">
        <v>169</v>
      </c>
      <c r="H4621" s="31">
        <v>10</v>
      </c>
      <c r="I4621" s="31">
        <v>10</v>
      </c>
      <c r="J4621" s="31" t="s">
        <v>17017</v>
      </c>
      <c r="K4621" s="31" t="s">
        <v>55</v>
      </c>
      <c r="L4621" s="31" t="s">
        <v>56</v>
      </c>
      <c r="M4621" s="31">
        <v>317</v>
      </c>
      <c r="N4621" s="31">
        <v>2023</v>
      </c>
      <c r="O4621" s="31">
        <v>162</v>
      </c>
      <c r="P4621" s="31"/>
      <c r="Q4621" s="31"/>
      <c r="R4621" s="33" t="s">
        <v>17018</v>
      </c>
      <c r="S4621" s="34" t="str">
        <f>HYPERLINK("http://www.cnpol.ru/covers/20755.jpg","фото на сайте")</f>
        <v>фото на сайте</v>
      </c>
    </row>
    <row r="4622" spans="1:19" ht="50.1" customHeight="1">
      <c r="A4622" s="31"/>
      <c r="B4622" s="32" t="s">
        <v>17019</v>
      </c>
      <c r="C4622" s="31" t="s">
        <v>390</v>
      </c>
      <c r="D4622" s="31" t="s">
        <v>2294</v>
      </c>
      <c r="E4622" s="31" t="s">
        <v>17020</v>
      </c>
      <c r="F4622" s="31">
        <v>654</v>
      </c>
      <c r="G4622" s="31">
        <v>86</v>
      </c>
      <c r="H4622" s="31">
        <v>10</v>
      </c>
      <c r="I4622" s="31">
        <v>30</v>
      </c>
      <c r="J4622" s="31" t="s">
        <v>17021</v>
      </c>
      <c r="K4622" s="31" t="s">
        <v>123</v>
      </c>
      <c r="L4622" s="31" t="s">
        <v>56</v>
      </c>
      <c r="M4622" s="31">
        <v>158</v>
      </c>
      <c r="N4622" s="31">
        <v>2016</v>
      </c>
      <c r="O4622" s="31">
        <v>76</v>
      </c>
      <c r="P4622" s="31"/>
      <c r="Q4622" s="31"/>
      <c r="R4622" s="33"/>
      <c r="S4622" s="34" t="str">
        <f>HYPERLINK("http://www.cnpol.ru/covers/17020.jpg","фото на сайте")</f>
        <v>фото на сайте</v>
      </c>
    </row>
    <row r="4623" spans="1:19" ht="50.1" customHeight="1">
      <c r="A4623" s="31"/>
      <c r="B4623" s="32" t="s">
        <v>17022</v>
      </c>
      <c r="C4623" s="31" t="s">
        <v>418</v>
      </c>
      <c r="D4623" s="31" t="s">
        <v>4074</v>
      </c>
      <c r="E4623" s="31" t="s">
        <v>17023</v>
      </c>
      <c r="F4623" s="31">
        <v>88</v>
      </c>
      <c r="G4623" s="31">
        <v>153</v>
      </c>
      <c r="H4623" s="31">
        <v>10</v>
      </c>
      <c r="I4623" s="31">
        <v>30</v>
      </c>
      <c r="J4623" s="31" t="s">
        <v>17024</v>
      </c>
      <c r="K4623" s="31" t="s">
        <v>123</v>
      </c>
      <c r="L4623" s="31" t="s">
        <v>56</v>
      </c>
      <c r="M4623" s="31">
        <v>256</v>
      </c>
      <c r="N4623" s="31">
        <v>2018</v>
      </c>
      <c r="O4623" s="31">
        <v>117</v>
      </c>
      <c r="P4623" s="31"/>
      <c r="Q4623" s="31"/>
      <c r="R4623" s="33"/>
      <c r="S4623" s="34" t="str">
        <f>HYPERLINK("http://www.cnpol.ru/covers/18127.jpg","фото на сайте")</f>
        <v>фото на сайте</v>
      </c>
    </row>
    <row r="4624" spans="1:19" ht="50.1" customHeight="1">
      <c r="A4624" s="31"/>
      <c r="B4624" s="32" t="s">
        <v>17025</v>
      </c>
      <c r="C4624" s="31" t="s">
        <v>390</v>
      </c>
      <c r="D4624" s="31" t="s">
        <v>961</v>
      </c>
      <c r="E4624" s="31" t="s">
        <v>17026</v>
      </c>
      <c r="F4624" s="31">
        <v>549</v>
      </c>
      <c r="G4624" s="31">
        <v>86</v>
      </c>
      <c r="H4624" s="31">
        <v>10</v>
      </c>
      <c r="I4624" s="31">
        <v>30</v>
      </c>
      <c r="J4624" s="31" t="s">
        <v>17027</v>
      </c>
      <c r="K4624" s="31" t="s">
        <v>123</v>
      </c>
      <c r="L4624" s="31" t="s">
        <v>56</v>
      </c>
      <c r="M4624" s="31">
        <v>158</v>
      </c>
      <c r="N4624" s="31">
        <v>2015</v>
      </c>
      <c r="O4624" s="31">
        <v>76</v>
      </c>
      <c r="P4624" s="31"/>
      <c r="Q4624" s="31"/>
      <c r="R4624" s="33"/>
      <c r="S4624" s="34" t="str">
        <f>HYPERLINK("http://www.cnpol.ru/covers/16223.jpg","фото на сайте")</f>
        <v>фото на сайте</v>
      </c>
    </row>
    <row r="4625" spans="1:19" ht="50.1" customHeight="1">
      <c r="A4625" s="31" t="s">
        <v>35</v>
      </c>
      <c r="B4625" s="32" t="s">
        <v>17028</v>
      </c>
      <c r="C4625" s="31" t="s">
        <v>3048</v>
      </c>
      <c r="D4625" s="31" t="s">
        <v>17029</v>
      </c>
      <c r="E4625" s="31" t="s">
        <v>17030</v>
      </c>
      <c r="F4625" s="31" t="s">
        <v>31</v>
      </c>
      <c r="G4625" s="31">
        <v>486</v>
      </c>
      <c r="H4625" s="31">
        <v>10</v>
      </c>
      <c r="I4625" s="31">
        <v>18</v>
      </c>
      <c r="J4625" s="31" t="s">
        <v>17031</v>
      </c>
      <c r="K4625" s="31" t="s">
        <v>123</v>
      </c>
      <c r="L4625" s="31" t="s">
        <v>34</v>
      </c>
      <c r="M4625" s="31">
        <v>319</v>
      </c>
      <c r="N4625" s="31">
        <v>2025</v>
      </c>
      <c r="O4625" s="31" t="s">
        <v>220</v>
      </c>
      <c r="P4625" s="31"/>
      <c r="Q4625" s="31"/>
      <c r="R4625" s="33" t="s">
        <v>17032</v>
      </c>
      <c r="S4625" s="34" t="str">
        <f>HYPERLINK("http://www.cnpol.ru/covers/21816.jpg","фото на сайте")</f>
        <v>фото на сайте</v>
      </c>
    </row>
    <row r="4626" spans="1:19" ht="50.1" customHeight="1">
      <c r="A4626" s="31"/>
      <c r="B4626" s="32" t="s">
        <v>17033</v>
      </c>
      <c r="C4626" s="31" t="s">
        <v>390</v>
      </c>
      <c r="D4626" s="31" t="s">
        <v>1628</v>
      </c>
      <c r="E4626" s="31" t="s">
        <v>17034</v>
      </c>
      <c r="F4626" s="31">
        <v>937</v>
      </c>
      <c r="G4626" s="31">
        <v>86</v>
      </c>
      <c r="H4626" s="31">
        <v>10</v>
      </c>
      <c r="I4626" s="31">
        <v>30</v>
      </c>
      <c r="J4626" s="31" t="s">
        <v>17035</v>
      </c>
      <c r="K4626" s="31" t="s">
        <v>123</v>
      </c>
      <c r="L4626" s="31" t="s">
        <v>56</v>
      </c>
      <c r="M4626" s="31">
        <v>160</v>
      </c>
      <c r="N4626" s="31">
        <v>2019</v>
      </c>
      <c r="O4626" s="31">
        <v>76</v>
      </c>
      <c r="P4626" s="31"/>
      <c r="Q4626" s="31"/>
      <c r="R4626" s="33"/>
      <c r="S4626" s="34" t="str">
        <f>HYPERLINK("http://www.cnpol.ru/covers/18924.jpg","фото на сайте")</f>
        <v>фото на сайте</v>
      </c>
    </row>
    <row r="4627" spans="1:19" ht="50.1" customHeight="1">
      <c r="A4627" s="31"/>
      <c r="B4627" s="32" t="s">
        <v>17036</v>
      </c>
      <c r="C4627" s="31" t="s">
        <v>6870</v>
      </c>
      <c r="D4627" s="31" t="s">
        <v>10731</v>
      </c>
      <c r="E4627" s="31" t="s">
        <v>17037</v>
      </c>
      <c r="F4627" s="31" t="s">
        <v>31</v>
      </c>
      <c r="G4627" s="31">
        <v>112</v>
      </c>
      <c r="H4627" s="31">
        <v>10</v>
      </c>
      <c r="I4627" s="31">
        <v>30</v>
      </c>
      <c r="J4627" s="31" t="s">
        <v>17038</v>
      </c>
      <c r="K4627" s="31" t="s">
        <v>130</v>
      </c>
      <c r="L4627" s="31" t="s">
        <v>56</v>
      </c>
      <c r="M4627" s="31">
        <v>188</v>
      </c>
      <c r="N4627" s="31">
        <v>2008</v>
      </c>
      <c r="O4627" s="31">
        <v>120</v>
      </c>
      <c r="P4627" s="31"/>
      <c r="Q4627" s="31"/>
      <c r="R4627" s="33"/>
      <c r="S4627" s="34" t="str">
        <f>HYPERLINK("http://www.cnpol.ru/covers/10746.jpg","фото на сайте")</f>
        <v>фото на сайте</v>
      </c>
    </row>
    <row r="4628" spans="1:19" ht="50.1" customHeight="1">
      <c r="A4628" s="31"/>
      <c r="B4628" s="32" t="s">
        <v>17039</v>
      </c>
      <c r="C4628" s="31" t="s">
        <v>390</v>
      </c>
      <c r="D4628" s="31" t="s">
        <v>17040</v>
      </c>
      <c r="E4628" s="31" t="s">
        <v>17041</v>
      </c>
      <c r="F4628" s="31">
        <v>1153</v>
      </c>
      <c r="G4628" s="31">
        <v>86</v>
      </c>
      <c r="H4628" s="31">
        <v>10</v>
      </c>
      <c r="I4628" s="31">
        <v>30</v>
      </c>
      <c r="J4628" s="31" t="s">
        <v>17042</v>
      </c>
      <c r="K4628" s="31" t="s">
        <v>123</v>
      </c>
      <c r="L4628" s="31" t="s">
        <v>56</v>
      </c>
      <c r="M4628" s="31">
        <v>159</v>
      </c>
      <c r="N4628" s="31">
        <v>2023</v>
      </c>
      <c r="O4628" s="31">
        <v>76</v>
      </c>
      <c r="P4628" s="31"/>
      <c r="Q4628" s="31"/>
      <c r="R4628" s="33" t="s">
        <v>17043</v>
      </c>
      <c r="S4628" s="34" t="str">
        <f>HYPERLINK("http://www.cnpol.ru/covers/20822.jpg","фото на сайте")</f>
        <v>фото на сайте</v>
      </c>
    </row>
    <row r="4629" spans="1:19" ht="50.1" customHeight="1">
      <c r="A4629" s="31"/>
      <c r="B4629" s="32" t="s">
        <v>17044</v>
      </c>
      <c r="C4629" s="31" t="s">
        <v>37</v>
      </c>
      <c r="D4629" s="31" t="s">
        <v>17045</v>
      </c>
      <c r="E4629" s="31" t="s">
        <v>17046</v>
      </c>
      <c r="F4629" s="31" t="s">
        <v>31</v>
      </c>
      <c r="G4629" s="31">
        <v>826</v>
      </c>
      <c r="H4629" s="31">
        <v>10</v>
      </c>
      <c r="I4629" s="31">
        <v>10</v>
      </c>
      <c r="J4629" s="31" t="s">
        <v>17047</v>
      </c>
      <c r="K4629" s="31" t="s">
        <v>33</v>
      </c>
      <c r="L4629" s="31" t="s">
        <v>34</v>
      </c>
      <c r="M4629" s="31">
        <v>512</v>
      </c>
      <c r="N4629" s="31">
        <v>2015</v>
      </c>
      <c r="O4629" s="31">
        <v>500</v>
      </c>
      <c r="P4629" s="31"/>
      <c r="Q4629" s="31"/>
      <c r="R4629" s="33"/>
      <c r="S4629" s="34" t="str">
        <f>HYPERLINK("http://www.cnpol.ru/covers/16326.jpg","фото на сайте")</f>
        <v>фото на сайте</v>
      </c>
    </row>
    <row r="4630" spans="1:19" ht="50.1" customHeight="1">
      <c r="A4630" s="31"/>
      <c r="B4630" s="32" t="s">
        <v>17048</v>
      </c>
      <c r="C4630" s="31" t="s">
        <v>1390</v>
      </c>
      <c r="D4630" s="31" t="s">
        <v>17049</v>
      </c>
      <c r="E4630" s="31" t="s">
        <v>17050</v>
      </c>
      <c r="F4630" s="31" t="s">
        <v>31</v>
      </c>
      <c r="G4630" s="31">
        <v>441</v>
      </c>
      <c r="H4630" s="31">
        <v>10</v>
      </c>
      <c r="I4630" s="31">
        <v>20</v>
      </c>
      <c r="J4630" s="31" t="s">
        <v>17051</v>
      </c>
      <c r="K4630" s="31" t="s">
        <v>1377</v>
      </c>
      <c r="L4630" s="31" t="s">
        <v>34</v>
      </c>
      <c r="M4630" s="31">
        <v>223</v>
      </c>
      <c r="N4630" s="31">
        <v>2015</v>
      </c>
      <c r="O4630" s="31">
        <v>208</v>
      </c>
      <c r="P4630" s="31"/>
      <c r="Q4630" s="31"/>
      <c r="R4630" s="33"/>
      <c r="S4630" s="34" t="str">
        <f>HYPERLINK("http://www.cnpol.ru/covers/15794.jpg","фото на сайте")</f>
        <v>фото на сайте</v>
      </c>
    </row>
    <row r="4631" spans="1:19" ht="50.1" customHeight="1">
      <c r="A4631" s="31"/>
      <c r="B4631" s="32" t="s">
        <v>17052</v>
      </c>
      <c r="C4631" s="31" t="s">
        <v>390</v>
      </c>
      <c r="D4631" s="31" t="s">
        <v>2137</v>
      </c>
      <c r="E4631" s="31" t="s">
        <v>17053</v>
      </c>
      <c r="F4631" s="31">
        <v>1093</v>
      </c>
      <c r="G4631" s="31">
        <v>86</v>
      </c>
      <c r="H4631" s="31">
        <v>10</v>
      </c>
      <c r="I4631" s="31">
        <v>30</v>
      </c>
      <c r="J4631" s="31" t="s">
        <v>17054</v>
      </c>
      <c r="K4631" s="31" t="s">
        <v>123</v>
      </c>
      <c r="L4631" s="31" t="s">
        <v>56</v>
      </c>
      <c r="M4631" s="31">
        <v>159</v>
      </c>
      <c r="N4631" s="31">
        <v>2022</v>
      </c>
      <c r="O4631" s="31">
        <v>76</v>
      </c>
      <c r="P4631" s="31"/>
      <c r="Q4631" s="31"/>
      <c r="R4631" s="33"/>
      <c r="S4631" s="34" t="str">
        <f>HYPERLINK("http://www.cnpol.ru/covers/20220.jpg","фото на сайте")</f>
        <v>фото на сайте</v>
      </c>
    </row>
    <row r="4632" spans="1:19" ht="50.1" customHeight="1">
      <c r="A4632" s="31"/>
      <c r="B4632" s="32" t="s">
        <v>17055</v>
      </c>
      <c r="C4632" s="31" t="s">
        <v>470</v>
      </c>
      <c r="D4632" s="31" t="s">
        <v>17056</v>
      </c>
      <c r="E4632" s="31" t="s">
        <v>17057</v>
      </c>
      <c r="F4632" s="31" t="s">
        <v>31</v>
      </c>
      <c r="G4632" s="31">
        <v>122</v>
      </c>
      <c r="H4632" s="31">
        <v>10</v>
      </c>
      <c r="I4632" s="31">
        <v>30</v>
      </c>
      <c r="J4632" s="31" t="s">
        <v>17058</v>
      </c>
      <c r="K4632" s="31" t="s">
        <v>130</v>
      </c>
      <c r="L4632" s="31" t="s">
        <v>56</v>
      </c>
      <c r="M4632" s="31">
        <v>159</v>
      </c>
      <c r="N4632" s="31">
        <v>2009</v>
      </c>
      <c r="O4632" s="31">
        <v>96</v>
      </c>
      <c r="P4632" s="31"/>
      <c r="Q4632" s="31"/>
      <c r="R4632" s="33"/>
      <c r="S4632" s="34" t="str">
        <f>HYPERLINK("http://www.cnpol.ru/covers/11534.jpg","фото на сайте")</f>
        <v>фото на сайте</v>
      </c>
    </row>
    <row r="4633" spans="1:19" ht="50.1" customHeight="1">
      <c r="A4633" s="31"/>
      <c r="B4633" s="32" t="s">
        <v>17059</v>
      </c>
      <c r="C4633" s="31" t="s">
        <v>138</v>
      </c>
      <c r="D4633" s="31" t="s">
        <v>1528</v>
      </c>
      <c r="E4633" s="31" t="s">
        <v>17060</v>
      </c>
      <c r="F4633" s="31" t="s">
        <v>31</v>
      </c>
      <c r="G4633" s="31">
        <v>235</v>
      </c>
      <c r="H4633" s="31">
        <v>10</v>
      </c>
      <c r="I4633" s="31">
        <v>16</v>
      </c>
      <c r="J4633" s="31" t="s">
        <v>17061</v>
      </c>
      <c r="K4633" s="31" t="s">
        <v>123</v>
      </c>
      <c r="L4633" s="31" t="s">
        <v>56</v>
      </c>
      <c r="M4633" s="31">
        <v>192</v>
      </c>
      <c r="N4633" s="31">
        <v>2018</v>
      </c>
      <c r="O4633" s="31">
        <v>114</v>
      </c>
      <c r="P4633" s="31"/>
      <c r="Q4633" s="31"/>
      <c r="R4633" s="33"/>
      <c r="S4633" s="34" t="str">
        <f>HYPERLINK("http://www.cnpol.ru/covers/17989.jpg","фото на сайте")</f>
        <v>фото на сайте</v>
      </c>
    </row>
    <row r="4634" spans="1:19" ht="50.1" customHeight="1">
      <c r="A4634" s="31"/>
      <c r="B4634" s="32" t="s">
        <v>17062</v>
      </c>
      <c r="C4634" s="31" t="s">
        <v>143</v>
      </c>
      <c r="D4634" s="31" t="s">
        <v>1212</v>
      </c>
      <c r="E4634" s="31" t="s">
        <v>17063</v>
      </c>
      <c r="F4634" s="31" t="s">
        <v>31</v>
      </c>
      <c r="G4634" s="31">
        <v>896</v>
      </c>
      <c r="H4634" s="31">
        <v>10</v>
      </c>
      <c r="I4634" s="31">
        <v>12</v>
      </c>
      <c r="J4634" s="31" t="s">
        <v>17064</v>
      </c>
      <c r="K4634" s="31" t="s">
        <v>1159</v>
      </c>
      <c r="L4634" s="31" t="s">
        <v>34</v>
      </c>
      <c r="M4634" s="31">
        <v>480</v>
      </c>
      <c r="N4634" s="31">
        <v>2021</v>
      </c>
      <c r="O4634" s="31">
        <v>540</v>
      </c>
      <c r="P4634" s="31"/>
      <c r="Q4634" s="31"/>
      <c r="R4634" s="33"/>
      <c r="S4634" s="34" t="str">
        <f>HYPERLINK("http://www.cnpol.ru/covers/19933.jpg","фото на сайте")</f>
        <v>фото на сайте</v>
      </c>
    </row>
    <row r="4635" spans="1:19" ht="50.1" customHeight="1">
      <c r="A4635" s="31"/>
      <c r="B4635" s="32" t="s">
        <v>17065</v>
      </c>
      <c r="C4635" s="31" t="s">
        <v>1102</v>
      </c>
      <c r="D4635" s="31" t="s">
        <v>5873</v>
      </c>
      <c r="E4635" s="31" t="s">
        <v>17066</v>
      </c>
      <c r="F4635" s="31" t="s">
        <v>31</v>
      </c>
      <c r="G4635" s="31">
        <v>593</v>
      </c>
      <c r="H4635" s="31">
        <v>10</v>
      </c>
      <c r="I4635" s="31">
        <v>14</v>
      </c>
      <c r="J4635" s="31" t="s">
        <v>17067</v>
      </c>
      <c r="K4635" s="31" t="s">
        <v>33</v>
      </c>
      <c r="L4635" s="31" t="s">
        <v>34</v>
      </c>
      <c r="M4635" s="31">
        <v>320</v>
      </c>
      <c r="N4635" s="31">
        <v>2018</v>
      </c>
      <c r="O4635" s="31">
        <v>276</v>
      </c>
      <c r="P4635" s="31"/>
      <c r="Q4635" s="31"/>
      <c r="R4635" s="33"/>
      <c r="S4635" s="34" t="str">
        <f>HYPERLINK("http://www.cnpol.ru/covers/18353.jpg","фото на сайте")</f>
        <v>фото на сайте</v>
      </c>
    </row>
    <row r="4636" spans="1:19" ht="50.1" customHeight="1">
      <c r="A4636" s="31"/>
      <c r="B4636" s="32" t="s">
        <v>17068</v>
      </c>
      <c r="C4636" s="31" t="s">
        <v>390</v>
      </c>
      <c r="D4636" s="31" t="s">
        <v>10036</v>
      </c>
      <c r="E4636" s="31" t="s">
        <v>17069</v>
      </c>
      <c r="F4636" s="31">
        <v>353</v>
      </c>
      <c r="G4636" s="31">
        <v>86</v>
      </c>
      <c r="H4636" s="31">
        <v>10</v>
      </c>
      <c r="I4636" s="31">
        <v>40</v>
      </c>
      <c r="J4636" s="31" t="s">
        <v>17070</v>
      </c>
      <c r="K4636" s="31" t="s">
        <v>123</v>
      </c>
      <c r="L4636" s="31" t="s">
        <v>56</v>
      </c>
      <c r="M4636" s="31">
        <v>158</v>
      </c>
      <c r="N4636" s="31">
        <v>2013</v>
      </c>
      <c r="O4636" s="31">
        <v>76</v>
      </c>
      <c r="P4636" s="31"/>
      <c r="Q4636" s="31"/>
      <c r="R4636" s="33"/>
      <c r="S4636" s="34" t="str">
        <f>HYPERLINK("http://www.cnpol.ru/covers/14575.jpg","фото на сайте")</f>
        <v>фото на сайте</v>
      </c>
    </row>
    <row r="4637" spans="1:19" ht="50.1" customHeight="1">
      <c r="A4637" s="31"/>
      <c r="B4637" s="32" t="s">
        <v>17071</v>
      </c>
      <c r="C4637" s="31" t="s">
        <v>3108</v>
      </c>
      <c r="D4637" s="31" t="s">
        <v>1364</v>
      </c>
      <c r="E4637" s="31" t="s">
        <v>17072</v>
      </c>
      <c r="F4637" s="31">
        <v>6</v>
      </c>
      <c r="G4637" s="31">
        <v>771</v>
      </c>
      <c r="H4637" s="31">
        <v>10</v>
      </c>
      <c r="I4637" s="31">
        <v>12</v>
      </c>
      <c r="J4637" s="31" t="s">
        <v>17073</v>
      </c>
      <c r="K4637" s="31" t="s">
        <v>33</v>
      </c>
      <c r="L4637" s="31" t="s">
        <v>304</v>
      </c>
      <c r="M4637" s="31">
        <v>287</v>
      </c>
      <c r="N4637" s="31">
        <v>2023</v>
      </c>
      <c r="O4637" s="31">
        <v>349</v>
      </c>
      <c r="P4637" s="31"/>
      <c r="Q4637" s="31"/>
      <c r="R4637" s="33" t="s">
        <v>17074</v>
      </c>
      <c r="S4637" s="34" t="str">
        <f>HYPERLINK("http://www.cnpol.ru/covers/20749.jpg","фото на сайте")</f>
        <v>фото на сайте</v>
      </c>
    </row>
    <row r="4638" spans="1:19" ht="50.1" customHeight="1">
      <c r="A4638" s="31"/>
      <c r="B4638" s="32" t="s">
        <v>17075</v>
      </c>
      <c r="C4638" s="31" t="s">
        <v>546</v>
      </c>
      <c r="D4638" s="31" t="s">
        <v>1698</v>
      </c>
      <c r="E4638" s="31" t="s">
        <v>17076</v>
      </c>
      <c r="F4638" s="31">
        <v>377</v>
      </c>
      <c r="G4638" s="31">
        <v>93</v>
      </c>
      <c r="H4638" s="31">
        <v>10</v>
      </c>
      <c r="I4638" s="31">
        <v>30</v>
      </c>
      <c r="J4638" s="31" t="s">
        <v>17077</v>
      </c>
      <c r="K4638" s="31" t="s">
        <v>123</v>
      </c>
      <c r="L4638" s="31" t="s">
        <v>56</v>
      </c>
      <c r="M4638" s="31">
        <v>160</v>
      </c>
      <c r="N4638" s="31">
        <v>2021</v>
      </c>
      <c r="O4638" s="31">
        <v>76</v>
      </c>
      <c r="P4638" s="31"/>
      <c r="Q4638" s="31"/>
      <c r="R4638" s="33"/>
      <c r="S4638" s="34" t="str">
        <f>HYPERLINK("http://www.cnpol.ru/covers/19696.jpg","фото на сайте")</f>
        <v>фото на сайте</v>
      </c>
    </row>
    <row r="4639" spans="1:19" ht="50.1" customHeight="1">
      <c r="A4639" s="31"/>
      <c r="B4639" s="32" t="s">
        <v>17078</v>
      </c>
      <c r="C4639" s="31" t="s">
        <v>390</v>
      </c>
      <c r="D4639" s="31" t="s">
        <v>4374</v>
      </c>
      <c r="E4639" s="31" t="s">
        <v>17079</v>
      </c>
      <c r="F4639" s="31">
        <v>343</v>
      </c>
      <c r="G4639" s="31">
        <v>86</v>
      </c>
      <c r="H4639" s="31">
        <v>10</v>
      </c>
      <c r="I4639" s="31">
        <v>30</v>
      </c>
      <c r="J4639" s="31" t="s">
        <v>17080</v>
      </c>
      <c r="K4639" s="31" t="s">
        <v>123</v>
      </c>
      <c r="L4639" s="31" t="s">
        <v>56</v>
      </c>
      <c r="M4639" s="31">
        <v>158</v>
      </c>
      <c r="N4639" s="31">
        <v>2013</v>
      </c>
      <c r="O4639" s="31">
        <v>78</v>
      </c>
      <c r="P4639" s="31"/>
      <c r="Q4639" s="31"/>
      <c r="R4639" s="33"/>
      <c r="S4639" s="34" t="str">
        <f>HYPERLINK("http://www.cnpol.ru/covers/14519.jpg","фото на сайте")</f>
        <v>фото на сайте</v>
      </c>
    </row>
    <row r="4640" spans="1:19" ht="50.1" customHeight="1">
      <c r="A4640" s="31"/>
      <c r="B4640" s="32" t="s">
        <v>17081</v>
      </c>
      <c r="C4640" s="31" t="s">
        <v>413</v>
      </c>
      <c r="D4640" s="31" t="s">
        <v>2137</v>
      </c>
      <c r="E4640" s="31" t="s">
        <v>17082</v>
      </c>
      <c r="F4640" s="31">
        <v>96</v>
      </c>
      <c r="G4640" s="31">
        <v>117</v>
      </c>
      <c r="H4640" s="31">
        <v>10</v>
      </c>
      <c r="I4640" s="31">
        <v>36</v>
      </c>
      <c r="J4640" s="31" t="s">
        <v>17083</v>
      </c>
      <c r="K4640" s="31" t="s">
        <v>123</v>
      </c>
      <c r="L4640" s="31" t="s">
        <v>56</v>
      </c>
      <c r="M4640" s="31">
        <v>192</v>
      </c>
      <c r="N4640" s="31">
        <v>2016</v>
      </c>
      <c r="O4640" s="31">
        <v>90</v>
      </c>
      <c r="P4640" s="31"/>
      <c r="Q4640" s="31"/>
      <c r="R4640" s="33"/>
      <c r="S4640" s="34" t="str">
        <f>HYPERLINK("http://www.cnpol.ru/covers/16631.jpg","фото на сайте")</f>
        <v>фото на сайте</v>
      </c>
    </row>
    <row r="4641" spans="1:19" ht="50.1" customHeight="1">
      <c r="A4641" s="31"/>
      <c r="B4641" s="32" t="s">
        <v>17084</v>
      </c>
      <c r="C4641" s="31" t="s">
        <v>3209</v>
      </c>
      <c r="D4641" s="31" t="s">
        <v>17085</v>
      </c>
      <c r="E4641" s="31" t="s">
        <v>17086</v>
      </c>
      <c r="F4641" s="31" t="s">
        <v>31</v>
      </c>
      <c r="G4641" s="31">
        <v>522</v>
      </c>
      <c r="H4641" s="31">
        <v>10</v>
      </c>
      <c r="I4641" s="31">
        <v>10</v>
      </c>
      <c r="J4641" s="31" t="s">
        <v>17087</v>
      </c>
      <c r="K4641" s="31" t="s">
        <v>33</v>
      </c>
      <c r="L4641" s="31" t="s">
        <v>34</v>
      </c>
      <c r="M4641" s="31">
        <v>445</v>
      </c>
      <c r="N4641" s="31">
        <v>2013</v>
      </c>
      <c r="O4641" s="31">
        <v>350</v>
      </c>
      <c r="P4641" s="31"/>
      <c r="Q4641" s="31"/>
      <c r="R4641" s="33"/>
      <c r="S4641" s="34" t="str">
        <f>HYPERLINK("http://www.cnpol.ru/covers/14172.jpg","фото на сайте")</f>
        <v>фото на сайте</v>
      </c>
    </row>
    <row r="4642" spans="1:19" ht="50.1" customHeight="1">
      <c r="A4642" s="31"/>
      <c r="B4642" s="32" t="s">
        <v>17088</v>
      </c>
      <c r="C4642" s="31" t="s">
        <v>1830</v>
      </c>
      <c r="D4642" s="31" t="s">
        <v>7142</v>
      </c>
      <c r="E4642" s="31" t="s">
        <v>17089</v>
      </c>
      <c r="F4642" s="31" t="s">
        <v>31</v>
      </c>
      <c r="G4642" s="31">
        <v>370</v>
      </c>
      <c r="H4642" s="31">
        <v>10</v>
      </c>
      <c r="I4642" s="31">
        <v>14</v>
      </c>
      <c r="J4642" s="31" t="s">
        <v>17090</v>
      </c>
      <c r="K4642" s="31" t="s">
        <v>33</v>
      </c>
      <c r="L4642" s="31" t="s">
        <v>34</v>
      </c>
      <c r="M4642" s="31">
        <v>336</v>
      </c>
      <c r="N4642" s="31">
        <v>2004</v>
      </c>
      <c r="O4642" s="31">
        <v>296</v>
      </c>
      <c r="P4642" s="31"/>
      <c r="Q4642" s="31"/>
      <c r="R4642" s="33"/>
      <c r="S4642" s="34" t="str">
        <f>HYPERLINK("http://www.cnpol.ru/covers/4988.jpg","фото на сайте")</f>
        <v>фото на сайте</v>
      </c>
    </row>
    <row r="4643" spans="1:19" ht="50.1" customHeight="1">
      <c r="A4643" s="31"/>
      <c r="B4643" s="32" t="s">
        <v>17091</v>
      </c>
      <c r="C4643" s="31" t="s">
        <v>1395</v>
      </c>
      <c r="D4643" s="31" t="s">
        <v>17092</v>
      </c>
      <c r="E4643" s="31" t="s">
        <v>17093</v>
      </c>
      <c r="F4643" s="31" t="s">
        <v>31</v>
      </c>
      <c r="G4643" s="31">
        <v>559</v>
      </c>
      <c r="H4643" s="31">
        <v>10</v>
      </c>
      <c r="I4643" s="31">
        <v>12</v>
      </c>
      <c r="J4643" s="31" t="s">
        <v>17094</v>
      </c>
      <c r="K4643" s="31" t="s">
        <v>33</v>
      </c>
      <c r="L4643" s="31" t="s">
        <v>34</v>
      </c>
      <c r="M4643" s="31">
        <v>381</v>
      </c>
      <c r="N4643" s="31">
        <v>2015</v>
      </c>
      <c r="O4643" s="31">
        <v>292</v>
      </c>
      <c r="P4643" s="31"/>
      <c r="Q4643" s="31"/>
      <c r="R4643" s="33"/>
      <c r="S4643" s="34" t="str">
        <f>HYPERLINK("http://www.cnpol.ru/covers/15792.jpg","фото на сайте")</f>
        <v>фото на сайте</v>
      </c>
    </row>
    <row r="4644" spans="1:19" ht="50.1" customHeight="1">
      <c r="A4644" s="31"/>
      <c r="B4644" s="32" t="s">
        <v>17095</v>
      </c>
      <c r="C4644" s="31" t="s">
        <v>37</v>
      </c>
      <c r="D4644" s="31" t="s">
        <v>17096</v>
      </c>
      <c r="E4644" s="31" t="s">
        <v>17097</v>
      </c>
      <c r="F4644" s="31" t="s">
        <v>31</v>
      </c>
      <c r="G4644" s="35">
        <v>1503</v>
      </c>
      <c r="H4644" s="31">
        <v>10</v>
      </c>
      <c r="I4644" s="31">
        <v>8</v>
      </c>
      <c r="J4644" s="31" t="s">
        <v>17098</v>
      </c>
      <c r="K4644" s="31" t="s">
        <v>41</v>
      </c>
      <c r="L4644" s="31" t="s">
        <v>34</v>
      </c>
      <c r="M4644" s="31">
        <v>558</v>
      </c>
      <c r="N4644" s="31">
        <v>2024</v>
      </c>
      <c r="O4644" s="31">
        <v>641</v>
      </c>
      <c r="P4644" s="31"/>
      <c r="Q4644" s="31"/>
      <c r="R4644" s="33" t="s">
        <v>17099</v>
      </c>
      <c r="S4644" s="34" t="str">
        <f>HYPERLINK("http://www.cnpol.ru/covers/20969.jpg","фото на сайте")</f>
        <v>фото на сайте</v>
      </c>
    </row>
    <row r="4645" spans="1:19" ht="50.1" customHeight="1">
      <c r="A4645" s="31" t="s">
        <v>43</v>
      </c>
      <c r="B4645" s="32" t="s">
        <v>17100</v>
      </c>
      <c r="C4645" s="31" t="s">
        <v>479</v>
      </c>
      <c r="D4645" s="31" t="s">
        <v>480</v>
      </c>
      <c r="E4645" s="31" t="s">
        <v>17101</v>
      </c>
      <c r="F4645" s="31" t="s">
        <v>31</v>
      </c>
      <c r="G4645" s="35">
        <v>1405</v>
      </c>
      <c r="H4645" s="31">
        <v>10</v>
      </c>
      <c r="I4645" s="31">
        <v>6</v>
      </c>
      <c r="J4645" s="31" t="s">
        <v>17102</v>
      </c>
      <c r="K4645" s="31" t="s">
        <v>33</v>
      </c>
      <c r="L4645" s="31" t="s">
        <v>34</v>
      </c>
      <c r="M4645" s="31">
        <v>671</v>
      </c>
      <c r="N4645" s="31">
        <v>2024</v>
      </c>
      <c r="O4645" s="31">
        <v>669</v>
      </c>
      <c r="P4645" s="31"/>
      <c r="Q4645" s="31"/>
      <c r="R4645" s="33" t="s">
        <v>17103</v>
      </c>
      <c r="S4645" s="34" t="str">
        <f>HYPERLINK("http://www.cnpol.ru/covers/21220.jpg","фото на сайте")</f>
        <v>фото на сайте</v>
      </c>
    </row>
    <row r="4646" spans="1:19" ht="50.1" customHeight="1">
      <c r="A4646" s="31"/>
      <c r="B4646" s="32" t="s">
        <v>17104</v>
      </c>
      <c r="C4646" s="31" t="s">
        <v>390</v>
      </c>
      <c r="D4646" s="31" t="s">
        <v>3641</v>
      </c>
      <c r="E4646" s="31" t="s">
        <v>17105</v>
      </c>
      <c r="F4646" s="31">
        <v>827</v>
      </c>
      <c r="G4646" s="31">
        <v>86</v>
      </c>
      <c r="H4646" s="31">
        <v>10</v>
      </c>
      <c r="I4646" s="31">
        <v>30</v>
      </c>
      <c r="J4646" s="31" t="s">
        <v>17106</v>
      </c>
      <c r="K4646" s="31" t="s">
        <v>123</v>
      </c>
      <c r="L4646" s="31" t="s">
        <v>56</v>
      </c>
      <c r="M4646" s="31">
        <v>160</v>
      </c>
      <c r="N4646" s="31">
        <v>2018</v>
      </c>
      <c r="O4646" s="31">
        <v>76</v>
      </c>
      <c r="P4646" s="31"/>
      <c r="Q4646" s="31"/>
      <c r="R4646" s="33"/>
      <c r="S4646" s="34" t="str">
        <f>HYPERLINK("http://www.cnpol.ru/covers/18255.jpg","фото на сайте")</f>
        <v>фото на сайте</v>
      </c>
    </row>
    <row r="4647" spans="1:19" ht="50.1" customHeight="1">
      <c r="A4647" s="31"/>
      <c r="B4647" s="32" t="s">
        <v>17107</v>
      </c>
      <c r="C4647" s="31" t="s">
        <v>390</v>
      </c>
      <c r="D4647" s="31" t="s">
        <v>1520</v>
      </c>
      <c r="E4647" s="31" t="s">
        <v>17108</v>
      </c>
      <c r="F4647" s="31">
        <v>1019</v>
      </c>
      <c r="G4647" s="31">
        <v>86</v>
      </c>
      <c r="H4647" s="31">
        <v>10</v>
      </c>
      <c r="I4647" s="31">
        <v>30</v>
      </c>
      <c r="J4647" s="31" t="s">
        <v>17109</v>
      </c>
      <c r="K4647" s="31" t="s">
        <v>123</v>
      </c>
      <c r="L4647" s="31" t="s">
        <v>56</v>
      </c>
      <c r="M4647" s="31">
        <v>160</v>
      </c>
      <c r="N4647" s="31">
        <v>2021</v>
      </c>
      <c r="O4647" s="31">
        <v>76</v>
      </c>
      <c r="P4647" s="31"/>
      <c r="Q4647" s="31"/>
      <c r="R4647" s="33"/>
      <c r="S4647" s="34" t="str">
        <f>HYPERLINK("http://www.cnpol.ru/covers/19526.jpg","фото на сайте")</f>
        <v>фото на сайте</v>
      </c>
    </row>
    <row r="4648" spans="1:19" ht="50.1" customHeight="1">
      <c r="A4648" s="31"/>
      <c r="B4648" s="32" t="s">
        <v>17110</v>
      </c>
      <c r="C4648" s="31" t="s">
        <v>546</v>
      </c>
      <c r="D4648" s="31" t="s">
        <v>1581</v>
      </c>
      <c r="E4648" s="31" t="s">
        <v>17111</v>
      </c>
      <c r="F4648" s="31">
        <v>149</v>
      </c>
      <c r="G4648" s="31">
        <v>93</v>
      </c>
      <c r="H4648" s="31">
        <v>10</v>
      </c>
      <c r="I4648" s="31">
        <v>30</v>
      </c>
      <c r="J4648" s="31" t="s">
        <v>17112</v>
      </c>
      <c r="K4648" s="31" t="s">
        <v>123</v>
      </c>
      <c r="L4648" s="31" t="s">
        <v>56</v>
      </c>
      <c r="M4648" s="31">
        <v>158</v>
      </c>
      <c r="N4648" s="31">
        <v>2016</v>
      </c>
      <c r="O4648" s="31">
        <v>76</v>
      </c>
      <c r="P4648" s="31"/>
      <c r="Q4648" s="31"/>
      <c r="R4648" s="33"/>
      <c r="S4648" s="34" t="str">
        <f>HYPERLINK("http://www.cnpol.ru/covers/16432.jpg","фото на сайте")</f>
        <v>фото на сайте</v>
      </c>
    </row>
    <row r="4649" spans="1:19" ht="50.1" customHeight="1">
      <c r="A4649" s="31"/>
      <c r="B4649" s="32" t="s">
        <v>17113</v>
      </c>
      <c r="C4649" s="31" t="s">
        <v>1016</v>
      </c>
      <c r="D4649" s="31" t="s">
        <v>17114</v>
      </c>
      <c r="E4649" s="31" t="s">
        <v>17115</v>
      </c>
      <c r="F4649" s="31" t="s">
        <v>31</v>
      </c>
      <c r="G4649" s="31">
        <v>777</v>
      </c>
      <c r="H4649" s="31">
        <v>10</v>
      </c>
      <c r="I4649" s="31">
        <v>16</v>
      </c>
      <c r="J4649" s="31" t="s">
        <v>17116</v>
      </c>
      <c r="K4649" s="31" t="s">
        <v>33</v>
      </c>
      <c r="L4649" s="31" t="s">
        <v>34</v>
      </c>
      <c r="M4649" s="31">
        <v>222</v>
      </c>
      <c r="N4649" s="31">
        <v>2023</v>
      </c>
      <c r="O4649" s="31">
        <v>301</v>
      </c>
      <c r="P4649" s="31"/>
      <c r="Q4649" s="31"/>
      <c r="R4649" s="33" t="s">
        <v>17117</v>
      </c>
      <c r="S4649" s="34" t="str">
        <f>HYPERLINK("http://www.cnpol.ru/covers/20799.jpg","фото на сайте")</f>
        <v>фото на сайте</v>
      </c>
    </row>
    <row r="4650" spans="1:19" ht="50.1" customHeight="1">
      <c r="A4650" s="31" t="s">
        <v>43</v>
      </c>
      <c r="B4650" s="32" t="s">
        <v>17118</v>
      </c>
      <c r="C4650" s="31" t="s">
        <v>434</v>
      </c>
      <c r="D4650" s="31" t="s">
        <v>913</v>
      </c>
      <c r="E4650" s="31" t="s">
        <v>17119</v>
      </c>
      <c r="F4650" s="31" t="s">
        <v>31</v>
      </c>
      <c r="G4650" s="35">
        <v>1076</v>
      </c>
      <c r="H4650" s="31">
        <v>10</v>
      </c>
      <c r="I4650" s="31">
        <v>5</v>
      </c>
      <c r="J4650" s="31" t="s">
        <v>17120</v>
      </c>
      <c r="K4650" s="31" t="s">
        <v>33</v>
      </c>
      <c r="L4650" s="31" t="s">
        <v>34</v>
      </c>
      <c r="M4650" s="31">
        <v>413</v>
      </c>
      <c r="N4650" s="31">
        <v>2025</v>
      </c>
      <c r="O4650" s="31">
        <v>280</v>
      </c>
      <c r="P4650" s="31"/>
      <c r="Q4650" s="31"/>
      <c r="R4650" s="33" t="s">
        <v>17121</v>
      </c>
      <c r="S4650" s="34" t="str">
        <f>HYPERLINK("http://www.cnpol.ru/covers/21689.jpg","фото на сайте")</f>
        <v>фото на сайте</v>
      </c>
    </row>
    <row r="4651" spans="1:19" ht="50.1" customHeight="1">
      <c r="A4651" s="31"/>
      <c r="B4651" s="32" t="s">
        <v>17122</v>
      </c>
      <c r="C4651" s="31" t="s">
        <v>37</v>
      </c>
      <c r="D4651" s="31" t="s">
        <v>17123</v>
      </c>
      <c r="E4651" s="31" t="s">
        <v>17124</v>
      </c>
      <c r="F4651" s="31" t="s">
        <v>31</v>
      </c>
      <c r="G4651" s="31">
        <v>539</v>
      </c>
      <c r="H4651" s="31">
        <v>10</v>
      </c>
      <c r="I4651" s="31">
        <v>14</v>
      </c>
      <c r="J4651" s="31" t="s">
        <v>17125</v>
      </c>
      <c r="K4651" s="31" t="s">
        <v>33</v>
      </c>
      <c r="L4651" s="31" t="s">
        <v>34</v>
      </c>
      <c r="M4651" s="31">
        <v>320</v>
      </c>
      <c r="N4651" s="31">
        <v>2017</v>
      </c>
      <c r="O4651" s="31">
        <v>270</v>
      </c>
      <c r="P4651" s="31"/>
      <c r="Q4651" s="31"/>
      <c r="R4651" s="33"/>
      <c r="S4651" s="34" t="str">
        <f>HYPERLINK("http://www.cnpol.ru/covers/17798.jpg","фото на сайте")</f>
        <v>фото на сайте</v>
      </c>
    </row>
    <row r="4652" spans="1:19" ht="50.1" customHeight="1">
      <c r="A4652" s="31" t="s">
        <v>43</v>
      </c>
      <c r="B4652" s="32" t="s">
        <v>17126</v>
      </c>
      <c r="C4652" s="31" t="s">
        <v>143</v>
      </c>
      <c r="D4652" s="31" t="s">
        <v>17127</v>
      </c>
      <c r="E4652" s="31" t="s">
        <v>17128</v>
      </c>
      <c r="F4652" s="31" t="s">
        <v>31</v>
      </c>
      <c r="G4652" s="35">
        <v>1613</v>
      </c>
      <c r="H4652" s="31">
        <v>10</v>
      </c>
      <c r="I4652" s="31">
        <v>4</v>
      </c>
      <c r="J4652" s="31" t="s">
        <v>17129</v>
      </c>
      <c r="K4652" s="31" t="s">
        <v>41</v>
      </c>
      <c r="L4652" s="31" t="s">
        <v>34</v>
      </c>
      <c r="M4652" s="31">
        <v>671</v>
      </c>
      <c r="N4652" s="31">
        <v>2025</v>
      </c>
      <c r="O4652" s="31" t="s">
        <v>220</v>
      </c>
      <c r="P4652" s="31"/>
      <c r="Q4652" s="31"/>
      <c r="R4652" s="33" t="s">
        <v>17130</v>
      </c>
      <c r="S4652" s="34" t="str">
        <f>HYPERLINK("http://www.cnpol.ru/covers/21853.jpg","фото на сайте")</f>
        <v>фото на сайте</v>
      </c>
    </row>
    <row r="4653" spans="1:19" ht="50.1" customHeight="1">
      <c r="A4653" s="31"/>
      <c r="B4653" s="32" t="s">
        <v>17131</v>
      </c>
      <c r="C4653" s="31" t="s">
        <v>390</v>
      </c>
      <c r="D4653" s="31" t="s">
        <v>2674</v>
      </c>
      <c r="E4653" s="31" t="s">
        <v>17132</v>
      </c>
      <c r="F4653" s="31">
        <v>947</v>
      </c>
      <c r="G4653" s="31">
        <v>86</v>
      </c>
      <c r="H4653" s="31">
        <v>10</v>
      </c>
      <c r="I4653" s="31">
        <v>30</v>
      </c>
      <c r="J4653" s="31" t="s">
        <v>17133</v>
      </c>
      <c r="K4653" s="31" t="s">
        <v>123</v>
      </c>
      <c r="L4653" s="31" t="s">
        <v>56</v>
      </c>
      <c r="M4653" s="31">
        <v>160</v>
      </c>
      <c r="N4653" s="31">
        <v>2019</v>
      </c>
      <c r="O4653" s="31">
        <v>76</v>
      </c>
      <c r="P4653" s="31"/>
      <c r="Q4653" s="31"/>
      <c r="R4653" s="33"/>
      <c r="S4653" s="34" t="str">
        <f>HYPERLINK("http://www.cnpol.ru/covers/18972.jpg","фото на сайте")</f>
        <v>фото на сайте</v>
      </c>
    </row>
    <row r="4654" spans="1:19" ht="50.1" customHeight="1">
      <c r="A4654" s="31"/>
      <c r="B4654" s="32" t="s">
        <v>17134</v>
      </c>
      <c r="C4654" s="31" t="s">
        <v>408</v>
      </c>
      <c r="D4654" s="31" t="s">
        <v>17135</v>
      </c>
      <c r="E4654" s="31" t="s">
        <v>17136</v>
      </c>
      <c r="F4654" s="31" t="s">
        <v>31</v>
      </c>
      <c r="G4654" s="31">
        <v>673</v>
      </c>
      <c r="H4654" s="31">
        <v>10</v>
      </c>
      <c r="I4654" s="31">
        <v>16</v>
      </c>
      <c r="J4654" s="31" t="s">
        <v>17137</v>
      </c>
      <c r="K4654" s="31" t="s">
        <v>33</v>
      </c>
      <c r="L4654" s="31" t="s">
        <v>34</v>
      </c>
      <c r="M4654" s="31">
        <v>263</v>
      </c>
      <c r="N4654" s="31">
        <v>2022</v>
      </c>
      <c r="O4654" s="31">
        <v>170</v>
      </c>
      <c r="P4654" s="31"/>
      <c r="Q4654" s="31"/>
      <c r="R4654" s="33" t="s">
        <v>17138</v>
      </c>
      <c r="S4654" s="34" t="str">
        <f>HYPERLINK("http://www.cnpol.ru/covers/20424.jpg","фото на сайте")</f>
        <v>фото на сайте</v>
      </c>
    </row>
    <row r="4655" spans="1:19" ht="50.1" customHeight="1">
      <c r="A4655" s="31" t="s">
        <v>43</v>
      </c>
      <c r="B4655" s="32" t="s">
        <v>17139</v>
      </c>
      <c r="C4655" s="31" t="s">
        <v>37</v>
      </c>
      <c r="D4655" s="31" t="s">
        <v>17140</v>
      </c>
      <c r="E4655" s="31" t="s">
        <v>17141</v>
      </c>
      <c r="F4655" s="31" t="s">
        <v>31</v>
      </c>
      <c r="G4655" s="31">
        <v>464</v>
      </c>
      <c r="H4655" s="31">
        <v>10</v>
      </c>
      <c r="I4655" s="31">
        <v>18</v>
      </c>
      <c r="J4655" s="31" t="s">
        <v>17142</v>
      </c>
      <c r="K4655" s="31" t="s">
        <v>33</v>
      </c>
      <c r="L4655" s="31" t="s">
        <v>34</v>
      </c>
      <c r="M4655" s="31">
        <v>223</v>
      </c>
      <c r="N4655" s="31">
        <v>2024</v>
      </c>
      <c r="O4655" s="31">
        <v>226</v>
      </c>
      <c r="P4655" s="31"/>
      <c r="Q4655" s="31"/>
      <c r="R4655" s="33" t="s">
        <v>17143</v>
      </c>
      <c r="S4655" s="34" t="str">
        <f>HYPERLINK("http://www.cnpol.ru/covers/21208.jpg","фото на сайте")</f>
        <v>фото на сайте</v>
      </c>
    </row>
    <row r="4656" spans="1:19" ht="50.1" customHeight="1">
      <c r="A4656" s="31"/>
      <c r="B4656" s="32" t="s">
        <v>17144</v>
      </c>
      <c r="C4656" s="31" t="s">
        <v>1102</v>
      </c>
      <c r="D4656" s="31" t="s">
        <v>7338</v>
      </c>
      <c r="E4656" s="31" t="s">
        <v>17145</v>
      </c>
      <c r="F4656" s="31" t="s">
        <v>31</v>
      </c>
      <c r="G4656" s="31">
        <v>593</v>
      </c>
      <c r="H4656" s="31">
        <v>10</v>
      </c>
      <c r="I4656" s="31">
        <v>14</v>
      </c>
      <c r="J4656" s="31" t="s">
        <v>17146</v>
      </c>
      <c r="K4656" s="31" t="s">
        <v>33</v>
      </c>
      <c r="L4656" s="31" t="s">
        <v>34</v>
      </c>
      <c r="M4656" s="31">
        <v>288</v>
      </c>
      <c r="N4656" s="31">
        <v>2016</v>
      </c>
      <c r="O4656" s="31">
        <v>260</v>
      </c>
      <c r="P4656" s="31"/>
      <c r="Q4656" s="31"/>
      <c r="R4656" s="33"/>
      <c r="S4656" s="34" t="str">
        <f>HYPERLINK("http://www.cnpol.ru/covers/16916.jpg","фото на сайте")</f>
        <v>фото на сайте</v>
      </c>
    </row>
    <row r="4657" spans="1:19" ht="50.1" customHeight="1">
      <c r="A4657" s="31"/>
      <c r="B4657" s="32" t="s">
        <v>17147</v>
      </c>
      <c r="C4657" s="31" t="s">
        <v>1390</v>
      </c>
      <c r="D4657" s="31" t="s">
        <v>13283</v>
      </c>
      <c r="E4657" s="31" t="s">
        <v>17148</v>
      </c>
      <c r="F4657" s="31" t="s">
        <v>31</v>
      </c>
      <c r="G4657" s="31">
        <v>258</v>
      </c>
      <c r="H4657" s="31">
        <v>10</v>
      </c>
      <c r="I4657" s="31">
        <v>12</v>
      </c>
      <c r="J4657" s="31" t="s">
        <v>17149</v>
      </c>
      <c r="K4657" s="31" t="s">
        <v>130</v>
      </c>
      <c r="L4657" s="31" t="s">
        <v>56</v>
      </c>
      <c r="M4657" s="31">
        <v>384</v>
      </c>
      <c r="N4657" s="31">
        <v>2019</v>
      </c>
      <c r="O4657" s="31">
        <v>230</v>
      </c>
      <c r="P4657" s="31"/>
      <c r="Q4657" s="31"/>
      <c r="R4657" s="33"/>
      <c r="S4657" s="34" t="str">
        <f>HYPERLINK("http://www.cnpol.ru/covers/18980.jpg","фото на сайте")</f>
        <v>фото на сайте</v>
      </c>
    </row>
    <row r="4658" spans="1:19" ht="50.1" customHeight="1">
      <c r="A4658" s="31"/>
      <c r="B4658" s="32" t="s">
        <v>17150</v>
      </c>
      <c r="C4658" s="31" t="s">
        <v>1390</v>
      </c>
      <c r="D4658" s="31" t="s">
        <v>13283</v>
      </c>
      <c r="E4658" s="31" t="s">
        <v>17151</v>
      </c>
      <c r="F4658" s="31" t="s">
        <v>31</v>
      </c>
      <c r="G4658" s="31">
        <v>258</v>
      </c>
      <c r="H4658" s="31">
        <v>10</v>
      </c>
      <c r="I4658" s="31">
        <v>12</v>
      </c>
      <c r="J4658" s="31" t="s">
        <v>17152</v>
      </c>
      <c r="K4658" s="31" t="s">
        <v>130</v>
      </c>
      <c r="L4658" s="31" t="s">
        <v>56</v>
      </c>
      <c r="M4658" s="31">
        <v>384</v>
      </c>
      <c r="N4658" s="31">
        <v>2020</v>
      </c>
      <c r="O4658" s="31">
        <v>226</v>
      </c>
      <c r="P4658" s="31"/>
      <c r="Q4658" s="31"/>
      <c r="R4658" s="33"/>
      <c r="S4658" s="34" t="str">
        <f>HYPERLINK("http://www.cnpol.ru/covers/19283.jpg","фото на сайте")</f>
        <v>фото на сайте</v>
      </c>
    </row>
    <row r="4659" spans="1:19" ht="50.1" customHeight="1">
      <c r="A4659" s="31"/>
      <c r="B4659" s="32" t="s">
        <v>17153</v>
      </c>
      <c r="C4659" s="31" t="s">
        <v>1623</v>
      </c>
      <c r="D4659" s="31" t="s">
        <v>7007</v>
      </c>
      <c r="E4659" s="31" t="s">
        <v>17154</v>
      </c>
      <c r="F4659" s="31" t="s">
        <v>31</v>
      </c>
      <c r="G4659" s="31">
        <v>169</v>
      </c>
      <c r="H4659" s="31">
        <v>10</v>
      </c>
      <c r="I4659" s="31">
        <v>24</v>
      </c>
      <c r="J4659" s="31" t="s">
        <v>17155</v>
      </c>
      <c r="K4659" s="31" t="s">
        <v>55</v>
      </c>
      <c r="L4659" s="31" t="s">
        <v>56</v>
      </c>
      <c r="M4659" s="31">
        <v>288</v>
      </c>
      <c r="N4659" s="31">
        <v>2019</v>
      </c>
      <c r="O4659" s="31">
        <v>122</v>
      </c>
      <c r="P4659" s="31"/>
      <c r="Q4659" s="31"/>
      <c r="R4659" s="33"/>
      <c r="S4659" s="34" t="str">
        <f>HYPERLINK("http://www.cnpol.ru/covers/18992.jpg","фото на сайте")</f>
        <v>фото на сайте</v>
      </c>
    </row>
    <row r="4660" spans="1:19" ht="50.1" customHeight="1">
      <c r="A4660" s="31"/>
      <c r="B4660" s="32" t="s">
        <v>17156</v>
      </c>
      <c r="C4660" s="31" t="s">
        <v>746</v>
      </c>
      <c r="D4660" s="31" t="s">
        <v>17157</v>
      </c>
      <c r="E4660" s="31" t="s">
        <v>17158</v>
      </c>
      <c r="F4660" s="31" t="s">
        <v>31</v>
      </c>
      <c r="G4660" s="31">
        <v>593</v>
      </c>
      <c r="H4660" s="31">
        <v>10</v>
      </c>
      <c r="I4660" s="31">
        <v>10</v>
      </c>
      <c r="J4660" s="31" t="s">
        <v>17159</v>
      </c>
      <c r="K4660" s="31" t="s">
        <v>33</v>
      </c>
      <c r="L4660" s="31" t="s">
        <v>34</v>
      </c>
      <c r="M4660" s="31">
        <v>575</v>
      </c>
      <c r="N4660" s="31">
        <v>2012</v>
      </c>
      <c r="O4660" s="31">
        <v>442</v>
      </c>
      <c r="P4660" s="31"/>
      <c r="Q4660" s="31"/>
      <c r="R4660" s="33"/>
      <c r="S4660" s="34" t="str">
        <f>HYPERLINK("http://www.cnpol.ru/covers/13733.jpg","фото на сайте")</f>
        <v>фото на сайте</v>
      </c>
    </row>
    <row r="4661" spans="1:19" ht="50.1" customHeight="1">
      <c r="A4661" s="31"/>
      <c r="B4661" s="32" t="s">
        <v>17160</v>
      </c>
      <c r="C4661" s="31" t="s">
        <v>2420</v>
      </c>
      <c r="D4661" s="31" t="s">
        <v>17161</v>
      </c>
      <c r="E4661" s="31" t="s">
        <v>17162</v>
      </c>
      <c r="F4661" s="31" t="s">
        <v>31</v>
      </c>
      <c r="G4661" s="31">
        <v>56</v>
      </c>
      <c r="H4661" s="31">
        <v>10</v>
      </c>
      <c r="I4661" s="31">
        <v>30</v>
      </c>
      <c r="J4661" s="31" t="s">
        <v>17163</v>
      </c>
      <c r="K4661" s="31" t="s">
        <v>123</v>
      </c>
      <c r="L4661" s="31" t="s">
        <v>56</v>
      </c>
      <c r="M4661" s="31">
        <v>175</v>
      </c>
      <c r="N4661" s="31">
        <v>2007</v>
      </c>
      <c r="O4661" s="31">
        <v>82</v>
      </c>
      <c r="P4661" s="31"/>
      <c r="Q4661" s="31"/>
      <c r="R4661" s="33"/>
      <c r="S4661" s="34" t="str">
        <f>HYPERLINK("http://www.cnpol.ru/covers/6486.jpg","фото на сайте")</f>
        <v>фото на сайте</v>
      </c>
    </row>
    <row r="4662" spans="1:19" ht="50.1" customHeight="1">
      <c r="A4662" s="31"/>
      <c r="B4662" s="32" t="s">
        <v>17164</v>
      </c>
      <c r="C4662" s="31" t="s">
        <v>4817</v>
      </c>
      <c r="D4662" s="31" t="s">
        <v>3210</v>
      </c>
      <c r="E4662" s="31" t="s">
        <v>17165</v>
      </c>
      <c r="F4662" s="31" t="s">
        <v>31</v>
      </c>
      <c r="G4662" s="31">
        <v>154</v>
      </c>
      <c r="H4662" s="31">
        <v>10</v>
      </c>
      <c r="I4662" s="31">
        <v>24</v>
      </c>
      <c r="J4662" s="31" t="s">
        <v>17166</v>
      </c>
      <c r="K4662" s="31" t="s">
        <v>55</v>
      </c>
      <c r="L4662" s="31" t="s">
        <v>56</v>
      </c>
      <c r="M4662" s="31">
        <v>271</v>
      </c>
      <c r="N4662" s="31">
        <v>2008</v>
      </c>
      <c r="O4662" s="31">
        <v>110</v>
      </c>
      <c r="P4662" s="31"/>
      <c r="Q4662" s="31"/>
      <c r="R4662" s="33"/>
      <c r="S4662" s="34" t="str">
        <f>HYPERLINK("http://www.cnpol.ru/covers/9032.jpg","фото на сайте")</f>
        <v>фото на сайте</v>
      </c>
    </row>
    <row r="4663" spans="1:19" ht="50.1" customHeight="1">
      <c r="A4663" s="31"/>
      <c r="B4663" s="32" t="s">
        <v>17167</v>
      </c>
      <c r="C4663" s="31" t="s">
        <v>171</v>
      </c>
      <c r="D4663" s="31" t="s">
        <v>172</v>
      </c>
      <c r="E4663" s="31" t="s">
        <v>17168</v>
      </c>
      <c r="F4663" s="31" t="s">
        <v>31</v>
      </c>
      <c r="G4663" s="35">
        <v>1588</v>
      </c>
      <c r="H4663" s="31">
        <v>10</v>
      </c>
      <c r="I4663" s="31">
        <v>5</v>
      </c>
      <c r="J4663" s="31" t="s">
        <v>17169</v>
      </c>
      <c r="K4663" s="31" t="s">
        <v>41</v>
      </c>
      <c r="L4663" s="31" t="s">
        <v>34</v>
      </c>
      <c r="M4663" s="31">
        <v>607</v>
      </c>
      <c r="N4663" s="31">
        <v>2023</v>
      </c>
      <c r="O4663" s="31">
        <v>722</v>
      </c>
      <c r="P4663" s="31"/>
      <c r="Q4663" s="31"/>
      <c r="R4663" s="33" t="s">
        <v>17170</v>
      </c>
      <c r="S4663" s="34" t="str">
        <f>HYPERLINK("http://www.cnpol.ru/covers/20807.jpg","фото на сайте")</f>
        <v>фото на сайте</v>
      </c>
    </row>
    <row r="4664" spans="1:19" ht="50.1" customHeight="1">
      <c r="A4664" s="31" t="s">
        <v>43</v>
      </c>
      <c r="B4664" s="32" t="s">
        <v>17171</v>
      </c>
      <c r="C4664" s="31" t="s">
        <v>197</v>
      </c>
      <c r="D4664" s="31" t="s">
        <v>17172</v>
      </c>
      <c r="E4664" s="31" t="s">
        <v>17173</v>
      </c>
      <c r="F4664" s="31" t="s">
        <v>31</v>
      </c>
      <c r="G4664" s="35">
        <v>1244</v>
      </c>
      <c r="H4664" s="31">
        <v>10</v>
      </c>
      <c r="I4664" s="31">
        <v>5</v>
      </c>
      <c r="J4664" s="31" t="s">
        <v>17174</v>
      </c>
      <c r="K4664" s="31" t="s">
        <v>33</v>
      </c>
      <c r="L4664" s="31" t="s">
        <v>34</v>
      </c>
      <c r="M4664" s="31">
        <v>591</v>
      </c>
      <c r="N4664" s="31">
        <v>2025</v>
      </c>
      <c r="O4664" s="31">
        <v>441</v>
      </c>
      <c r="P4664" s="31"/>
      <c r="Q4664" s="31"/>
      <c r="R4664" s="33" t="s">
        <v>17175</v>
      </c>
      <c r="S4664" s="34" t="str">
        <f>HYPERLINK("http://www.cnpol.ru/covers/21726.jpg","фото на сайте")</f>
        <v>фото на сайте</v>
      </c>
    </row>
    <row r="4665" spans="1:19" ht="50.1" customHeight="1">
      <c r="A4665" s="31"/>
      <c r="B4665" s="32" t="s">
        <v>17176</v>
      </c>
      <c r="C4665" s="31" t="s">
        <v>2233</v>
      </c>
      <c r="D4665" s="31" t="s">
        <v>4957</v>
      </c>
      <c r="E4665" s="31" t="s">
        <v>17177</v>
      </c>
      <c r="F4665" s="31" t="s">
        <v>31</v>
      </c>
      <c r="G4665" s="31">
        <v>137</v>
      </c>
      <c r="H4665" s="31">
        <v>10</v>
      </c>
      <c r="I4665" s="31">
        <v>36</v>
      </c>
      <c r="J4665" s="31" t="s">
        <v>17178</v>
      </c>
      <c r="K4665" s="31" t="s">
        <v>55</v>
      </c>
      <c r="L4665" s="31" t="s">
        <v>56</v>
      </c>
      <c r="M4665" s="31">
        <v>255</v>
      </c>
      <c r="N4665" s="31">
        <v>2009</v>
      </c>
      <c r="O4665" s="31">
        <v>106</v>
      </c>
      <c r="P4665" s="31"/>
      <c r="Q4665" s="31"/>
      <c r="R4665" s="33"/>
      <c r="S4665" s="34" t="str">
        <f>HYPERLINK("http://www.cnpol.ru/covers/11237.jpg","фото на сайте")</f>
        <v>фото на сайте</v>
      </c>
    </row>
    <row r="4666" spans="1:19" ht="50.1" customHeight="1">
      <c r="A4666" s="31"/>
      <c r="B4666" s="32" t="s">
        <v>17179</v>
      </c>
      <c r="C4666" s="31" t="s">
        <v>45</v>
      </c>
      <c r="D4666" s="31" t="s">
        <v>11688</v>
      </c>
      <c r="E4666" s="31" t="s">
        <v>17180</v>
      </c>
      <c r="F4666" s="31" t="s">
        <v>31</v>
      </c>
      <c r="G4666" s="31">
        <v>807</v>
      </c>
      <c r="H4666" s="31">
        <v>10</v>
      </c>
      <c r="I4666" s="31">
        <v>10</v>
      </c>
      <c r="J4666" s="31" t="s">
        <v>17181</v>
      </c>
      <c r="K4666" s="31" t="s">
        <v>33</v>
      </c>
      <c r="L4666" s="31" t="s">
        <v>34</v>
      </c>
      <c r="M4666" s="31">
        <v>384</v>
      </c>
      <c r="N4666" s="31">
        <v>2019</v>
      </c>
      <c r="O4666" s="31">
        <v>414</v>
      </c>
      <c r="P4666" s="31"/>
      <c r="Q4666" s="31"/>
      <c r="R4666" s="33"/>
      <c r="S4666" s="34" t="str">
        <f>HYPERLINK("http://www.cnpol.ru/covers/18747.jpg","фото на сайте")</f>
        <v>фото на сайте</v>
      </c>
    </row>
    <row r="4667" spans="1:19" ht="50.1" customHeight="1">
      <c r="A4667" s="31"/>
      <c r="B4667" s="32" t="s">
        <v>17182</v>
      </c>
      <c r="C4667" s="31" t="s">
        <v>1813</v>
      </c>
      <c r="D4667" s="31" t="s">
        <v>1814</v>
      </c>
      <c r="E4667" s="31" t="s">
        <v>17183</v>
      </c>
      <c r="F4667" s="31" t="s">
        <v>31</v>
      </c>
      <c r="G4667" s="31">
        <v>349</v>
      </c>
      <c r="H4667" s="31">
        <v>10</v>
      </c>
      <c r="I4667" s="31">
        <v>20</v>
      </c>
      <c r="J4667" s="31" t="s">
        <v>17184</v>
      </c>
      <c r="K4667" s="31" t="s">
        <v>33</v>
      </c>
      <c r="L4667" s="31" t="s">
        <v>210</v>
      </c>
      <c r="M4667" s="31">
        <v>252</v>
      </c>
      <c r="N4667" s="31">
        <v>2015</v>
      </c>
      <c r="O4667" s="31">
        <v>160</v>
      </c>
      <c r="P4667" s="31"/>
      <c r="Q4667" s="31"/>
      <c r="R4667" s="33"/>
      <c r="S4667" s="34" t="str">
        <f>HYPERLINK("http://www.cnpol.ru/covers/16016.jpg","фото на сайте")</f>
        <v>фото на сайте</v>
      </c>
    </row>
    <row r="4668" spans="1:19" ht="50.1" customHeight="1">
      <c r="A4668" s="31"/>
      <c r="B4668" s="32" t="s">
        <v>17185</v>
      </c>
      <c r="C4668" s="31" t="s">
        <v>1813</v>
      </c>
      <c r="D4668" s="31" t="s">
        <v>1814</v>
      </c>
      <c r="E4668" s="31" t="s">
        <v>17183</v>
      </c>
      <c r="F4668" s="31" t="s">
        <v>31</v>
      </c>
      <c r="G4668" s="31">
        <v>349</v>
      </c>
      <c r="H4668" s="31">
        <v>10</v>
      </c>
      <c r="I4668" s="31">
        <v>20</v>
      </c>
      <c r="J4668" s="31" t="s">
        <v>17186</v>
      </c>
      <c r="K4668" s="31" t="s">
        <v>33</v>
      </c>
      <c r="L4668" s="31" t="s">
        <v>210</v>
      </c>
      <c r="M4668" s="31">
        <v>224</v>
      </c>
      <c r="N4668" s="31">
        <v>2021</v>
      </c>
      <c r="O4668" s="31">
        <v>160</v>
      </c>
      <c r="P4668" s="31"/>
      <c r="Q4668" s="31"/>
      <c r="R4668" s="33"/>
      <c r="S4668" s="34" t="str">
        <f>HYPERLINK("http://www.cnpol.ru/covers/20078.jpg","фото на сайте")</f>
        <v>фото на сайте</v>
      </c>
    </row>
    <row r="4669" spans="1:19" ht="50.1" customHeight="1">
      <c r="A4669" s="31"/>
      <c r="B4669" s="32" t="s">
        <v>17187</v>
      </c>
      <c r="C4669" s="31" t="s">
        <v>413</v>
      </c>
      <c r="D4669" s="31" t="s">
        <v>17188</v>
      </c>
      <c r="E4669" s="31" t="s">
        <v>17189</v>
      </c>
      <c r="F4669" s="31">
        <v>107</v>
      </c>
      <c r="G4669" s="31">
        <v>117</v>
      </c>
      <c r="H4669" s="31">
        <v>10</v>
      </c>
      <c r="I4669" s="31">
        <v>36</v>
      </c>
      <c r="J4669" s="31" t="s">
        <v>17190</v>
      </c>
      <c r="K4669" s="31" t="s">
        <v>123</v>
      </c>
      <c r="L4669" s="31" t="s">
        <v>56</v>
      </c>
      <c r="M4669" s="31">
        <v>192</v>
      </c>
      <c r="N4669" s="31">
        <v>2016</v>
      </c>
      <c r="O4669" s="31">
        <v>90</v>
      </c>
      <c r="P4669" s="31"/>
      <c r="Q4669" s="31"/>
      <c r="R4669" s="33"/>
      <c r="S4669" s="34" t="str">
        <f>HYPERLINK("http://www.cnpol.ru/covers/16795.jpg","фото на сайте")</f>
        <v>фото на сайте</v>
      </c>
    </row>
    <row r="4670" spans="1:19" ht="50.1" customHeight="1">
      <c r="A4670" s="31"/>
      <c r="B4670" s="32" t="s">
        <v>17191</v>
      </c>
      <c r="C4670" s="31" t="s">
        <v>413</v>
      </c>
      <c r="D4670" s="31" t="s">
        <v>8716</v>
      </c>
      <c r="E4670" s="31" t="s">
        <v>17192</v>
      </c>
      <c r="F4670" s="31">
        <v>160</v>
      </c>
      <c r="G4670" s="31">
        <v>117</v>
      </c>
      <c r="H4670" s="31">
        <v>10</v>
      </c>
      <c r="I4670" s="31">
        <v>30</v>
      </c>
      <c r="J4670" s="31" t="s">
        <v>17193</v>
      </c>
      <c r="K4670" s="31" t="s">
        <v>123</v>
      </c>
      <c r="L4670" s="31" t="s">
        <v>56</v>
      </c>
      <c r="M4670" s="31">
        <v>192</v>
      </c>
      <c r="N4670" s="31">
        <v>2018</v>
      </c>
      <c r="O4670" s="31">
        <v>90</v>
      </c>
      <c r="P4670" s="31"/>
      <c r="Q4670" s="31"/>
      <c r="R4670" s="33"/>
      <c r="S4670" s="34" t="str">
        <f>HYPERLINK("http://www.cnpol.ru/covers/18441.jpg","фото на сайте")</f>
        <v>фото на сайте</v>
      </c>
    </row>
    <row r="4671" spans="1:19" ht="50.1" customHeight="1">
      <c r="A4671" s="31"/>
      <c r="B4671" s="32" t="s">
        <v>17194</v>
      </c>
      <c r="C4671" s="31" t="s">
        <v>998</v>
      </c>
      <c r="D4671" s="31" t="s">
        <v>17195</v>
      </c>
      <c r="E4671" s="31" t="s">
        <v>17196</v>
      </c>
      <c r="F4671" s="31" t="s">
        <v>31</v>
      </c>
      <c r="G4671" s="31">
        <v>389</v>
      </c>
      <c r="H4671" s="31">
        <v>10</v>
      </c>
      <c r="I4671" s="31">
        <v>20</v>
      </c>
      <c r="J4671" s="31" t="s">
        <v>17197</v>
      </c>
      <c r="K4671" s="31" t="s">
        <v>33</v>
      </c>
      <c r="L4671" s="31" t="s">
        <v>34</v>
      </c>
      <c r="M4671" s="31">
        <v>190</v>
      </c>
      <c r="N4671" s="31">
        <v>2008</v>
      </c>
      <c r="O4671" s="31">
        <v>224</v>
      </c>
      <c r="P4671" s="31"/>
      <c r="Q4671" s="31"/>
      <c r="R4671" s="33"/>
      <c r="S4671" s="34" t="str">
        <f>HYPERLINK("http://www.cnpol.ru/covers/94.jpg","фото на сайте")</f>
        <v>фото на сайте</v>
      </c>
    </row>
    <row r="4672" spans="1:19" ht="50.1" customHeight="1">
      <c r="A4672" s="31"/>
      <c r="B4672" s="32" t="s">
        <v>17198</v>
      </c>
      <c r="C4672" s="31" t="s">
        <v>17199</v>
      </c>
      <c r="D4672" s="31" t="s">
        <v>17200</v>
      </c>
      <c r="E4672" s="31" t="s">
        <v>17201</v>
      </c>
      <c r="F4672" s="31" t="s">
        <v>31</v>
      </c>
      <c r="G4672" s="31">
        <v>243</v>
      </c>
      <c r="H4672" s="31">
        <v>10</v>
      </c>
      <c r="I4672" s="31">
        <v>14</v>
      </c>
      <c r="J4672" s="31" t="s">
        <v>17202</v>
      </c>
      <c r="K4672" s="31" t="s">
        <v>130</v>
      </c>
      <c r="L4672" s="31" t="s">
        <v>56</v>
      </c>
      <c r="M4672" s="31">
        <v>352</v>
      </c>
      <c r="N4672" s="31">
        <v>2019</v>
      </c>
      <c r="O4672" s="31">
        <v>186</v>
      </c>
      <c r="P4672" s="31"/>
      <c r="Q4672" s="31"/>
      <c r="R4672" s="33"/>
      <c r="S4672" s="34" t="str">
        <f>HYPERLINK("http://www.cnpol.ru/covers/18772.jpg","фото на сайте")</f>
        <v>фото на сайте</v>
      </c>
    </row>
    <row r="4673" spans="1:19" ht="50.1" customHeight="1">
      <c r="A4673" s="31"/>
      <c r="B4673" s="32" t="s">
        <v>17203</v>
      </c>
      <c r="C4673" s="31" t="s">
        <v>993</v>
      </c>
      <c r="D4673" s="31" t="s">
        <v>2681</v>
      </c>
      <c r="E4673" s="31" t="s">
        <v>17204</v>
      </c>
      <c r="F4673" s="31" t="s">
        <v>31</v>
      </c>
      <c r="G4673" s="31">
        <v>88</v>
      </c>
      <c r="H4673" s="31">
        <v>10</v>
      </c>
      <c r="I4673" s="31">
        <v>40</v>
      </c>
      <c r="J4673" s="31" t="s">
        <v>17205</v>
      </c>
      <c r="K4673" s="31" t="s">
        <v>123</v>
      </c>
      <c r="L4673" s="31" t="s">
        <v>56</v>
      </c>
      <c r="M4673" s="31">
        <v>125</v>
      </c>
      <c r="N4673" s="31">
        <v>2008</v>
      </c>
      <c r="O4673" s="31">
        <v>62</v>
      </c>
      <c r="P4673" s="31"/>
      <c r="Q4673" s="31"/>
      <c r="R4673" s="33"/>
      <c r="S4673" s="34" t="str">
        <f>HYPERLINK("http://www.cnpol.ru/covers/71.jpg","фото на сайте")</f>
        <v>фото на сайте</v>
      </c>
    </row>
    <row r="4674" spans="1:19" ht="50.1" customHeight="1">
      <c r="A4674" s="31" t="s">
        <v>43</v>
      </c>
      <c r="B4674" s="32" t="s">
        <v>17206</v>
      </c>
      <c r="C4674" s="31" t="s">
        <v>37</v>
      </c>
      <c r="D4674" s="31" t="s">
        <v>17207</v>
      </c>
      <c r="E4674" s="31" t="s">
        <v>17208</v>
      </c>
      <c r="F4674" s="31" t="s">
        <v>31</v>
      </c>
      <c r="G4674" s="35">
        <v>1632</v>
      </c>
      <c r="H4674" s="31">
        <v>10</v>
      </c>
      <c r="I4674" s="31">
        <v>6</v>
      </c>
      <c r="J4674" s="31" t="s">
        <v>17209</v>
      </c>
      <c r="K4674" s="31" t="s">
        <v>41</v>
      </c>
      <c r="L4674" s="31" t="s">
        <v>34</v>
      </c>
      <c r="M4674" s="31">
        <v>623</v>
      </c>
      <c r="N4674" s="31">
        <v>2024</v>
      </c>
      <c r="O4674" s="31">
        <v>780</v>
      </c>
      <c r="P4674" s="31"/>
      <c r="Q4674" s="31"/>
      <c r="R4674" s="33" t="s">
        <v>17210</v>
      </c>
      <c r="S4674" s="34" t="str">
        <f>HYPERLINK("http://www.cnpol.ru/covers/21064.jpg","фото на сайте")</f>
        <v>фото на сайте</v>
      </c>
    </row>
    <row r="4675" spans="1:19" ht="50.1" customHeight="1">
      <c r="A4675" s="31" t="s">
        <v>35</v>
      </c>
      <c r="B4675" s="32" t="s">
        <v>17211</v>
      </c>
      <c r="C4675" s="31" t="s">
        <v>37</v>
      </c>
      <c r="D4675" s="31" t="s">
        <v>17212</v>
      </c>
      <c r="E4675" s="31" t="s">
        <v>17213</v>
      </c>
      <c r="F4675" s="31" t="s">
        <v>31</v>
      </c>
      <c r="G4675" s="35">
        <v>1278</v>
      </c>
      <c r="H4675" s="31">
        <v>10</v>
      </c>
      <c r="I4675" s="31">
        <v>6</v>
      </c>
      <c r="J4675" s="31" t="s">
        <v>17214</v>
      </c>
      <c r="K4675" s="31" t="s">
        <v>33</v>
      </c>
      <c r="L4675" s="31" t="s">
        <v>34</v>
      </c>
      <c r="M4675" s="31">
        <v>543</v>
      </c>
      <c r="N4675" s="31">
        <v>2026</v>
      </c>
      <c r="O4675" s="31" t="s">
        <v>220</v>
      </c>
      <c r="P4675" s="31"/>
      <c r="Q4675" s="31"/>
      <c r="R4675" s="33" t="s">
        <v>17215</v>
      </c>
      <c r="S4675" s="34" t="str">
        <f>HYPERLINK("http://www.cnpol.ru/covers/21892.jpg","фото на сайте")</f>
        <v>фото на сайте</v>
      </c>
    </row>
    <row r="4676" spans="1:19" ht="50.1" customHeight="1">
      <c r="A4676" s="31" t="s">
        <v>43</v>
      </c>
      <c r="B4676" s="32" t="s">
        <v>17216</v>
      </c>
      <c r="C4676" s="31" t="s">
        <v>37</v>
      </c>
      <c r="D4676" s="31" t="s">
        <v>17217</v>
      </c>
      <c r="E4676" s="31" t="s">
        <v>17218</v>
      </c>
      <c r="F4676" s="31" t="s">
        <v>31</v>
      </c>
      <c r="G4676" s="35">
        <v>2043</v>
      </c>
      <c r="H4676" s="31">
        <v>10</v>
      </c>
      <c r="I4676" s="31">
        <v>3</v>
      </c>
      <c r="J4676" s="31" t="s">
        <v>17219</v>
      </c>
      <c r="K4676" s="31" t="s">
        <v>147</v>
      </c>
      <c r="L4676" s="31" t="s">
        <v>34</v>
      </c>
      <c r="M4676" s="31">
        <v>702</v>
      </c>
      <c r="N4676" s="31">
        <v>2025</v>
      </c>
      <c r="O4676" s="31" t="s">
        <v>220</v>
      </c>
      <c r="P4676" s="31"/>
      <c r="Q4676" s="31"/>
      <c r="R4676" s="33" t="s">
        <v>17220</v>
      </c>
      <c r="S4676" s="34" t="str">
        <f>HYPERLINK("http://www.cnpol.ru/covers/21804.jpg","фото на сайте")</f>
        <v>фото на сайте</v>
      </c>
    </row>
    <row r="4677" spans="1:19" ht="50.1" customHeight="1">
      <c r="A4677" s="31" t="s">
        <v>35</v>
      </c>
      <c r="B4677" s="32" t="s">
        <v>17221</v>
      </c>
      <c r="C4677" s="31" t="s">
        <v>663</v>
      </c>
      <c r="D4677" s="31" t="s">
        <v>17222</v>
      </c>
      <c r="E4677" s="31" t="s">
        <v>17223</v>
      </c>
      <c r="F4677" s="31" t="s">
        <v>31</v>
      </c>
      <c r="G4677" s="31">
        <v>875</v>
      </c>
      <c r="H4677" s="31">
        <v>10</v>
      </c>
      <c r="I4677" s="31">
        <v>12</v>
      </c>
      <c r="J4677" s="31" t="s">
        <v>17224</v>
      </c>
      <c r="K4677" s="31" t="s">
        <v>33</v>
      </c>
      <c r="L4677" s="31" t="s">
        <v>34</v>
      </c>
      <c r="M4677" s="31">
        <v>286</v>
      </c>
      <c r="N4677" s="31">
        <v>2024</v>
      </c>
      <c r="O4677" s="31">
        <v>308</v>
      </c>
      <c r="P4677" s="31"/>
      <c r="Q4677" s="31"/>
      <c r="R4677" s="33" t="s">
        <v>17225</v>
      </c>
      <c r="S4677" s="34" t="str">
        <f>HYPERLINK("http://www.cnpol.ru/covers/21332.jpg","фото на сайте")</f>
        <v>фото на сайте</v>
      </c>
    </row>
    <row r="4678" spans="1:19" ht="50.1" customHeight="1">
      <c r="A4678" s="31"/>
      <c r="B4678" s="32" t="s">
        <v>17226</v>
      </c>
      <c r="C4678" s="31" t="s">
        <v>663</v>
      </c>
      <c r="D4678" s="31" t="s">
        <v>17227</v>
      </c>
      <c r="E4678" s="31" t="s">
        <v>17228</v>
      </c>
      <c r="F4678" s="31" t="s">
        <v>31</v>
      </c>
      <c r="G4678" s="35">
        <v>1009</v>
      </c>
      <c r="H4678" s="31">
        <v>10</v>
      </c>
      <c r="I4678" s="31">
        <v>10</v>
      </c>
      <c r="J4678" s="31" t="s">
        <v>17229</v>
      </c>
      <c r="K4678" s="31" t="s">
        <v>33</v>
      </c>
      <c r="L4678" s="31" t="s">
        <v>34</v>
      </c>
      <c r="M4678" s="31">
        <v>383</v>
      </c>
      <c r="N4678" s="31">
        <v>2023</v>
      </c>
      <c r="O4678" s="31">
        <v>380</v>
      </c>
      <c r="P4678" s="31"/>
      <c r="Q4678" s="31"/>
      <c r="R4678" s="33" t="s">
        <v>17230</v>
      </c>
      <c r="S4678" s="34" t="str">
        <f>HYPERLINK("http://www.cnpol.ru/covers/20563.jpg","фото на сайте")</f>
        <v>фото на сайте</v>
      </c>
    </row>
    <row r="4679" spans="1:19" ht="50.1" customHeight="1">
      <c r="A4679" s="31"/>
      <c r="B4679" s="32" t="s">
        <v>17231</v>
      </c>
      <c r="C4679" s="31" t="s">
        <v>746</v>
      </c>
      <c r="D4679" s="31" t="s">
        <v>17232</v>
      </c>
      <c r="E4679" s="31" t="s">
        <v>17233</v>
      </c>
      <c r="F4679" s="31" t="s">
        <v>31</v>
      </c>
      <c r="G4679" s="31">
        <v>486</v>
      </c>
      <c r="H4679" s="31">
        <v>10</v>
      </c>
      <c r="I4679" s="31">
        <v>16</v>
      </c>
      <c r="J4679" s="31" t="s">
        <v>17234</v>
      </c>
      <c r="K4679" s="31" t="s">
        <v>33</v>
      </c>
      <c r="L4679" s="31" t="s">
        <v>34</v>
      </c>
      <c r="M4679" s="31">
        <v>222</v>
      </c>
      <c r="N4679" s="31">
        <v>2015</v>
      </c>
      <c r="O4679" s="31">
        <v>228</v>
      </c>
      <c r="P4679" s="31"/>
      <c r="Q4679" s="31"/>
      <c r="R4679" s="33"/>
      <c r="S4679" s="34" t="str">
        <f>HYPERLINK("http://www.cnpol.ru/covers/15977.jpg","фото на сайте")</f>
        <v>фото на сайте</v>
      </c>
    </row>
    <row r="4680" spans="1:19" ht="50.1" customHeight="1">
      <c r="A4680" s="31"/>
      <c r="B4680" s="32" t="s">
        <v>17235</v>
      </c>
      <c r="C4680" s="31" t="s">
        <v>1448</v>
      </c>
      <c r="D4680" s="31" t="s">
        <v>7130</v>
      </c>
      <c r="E4680" s="31" t="s">
        <v>17236</v>
      </c>
      <c r="F4680" s="31" t="s">
        <v>31</v>
      </c>
      <c r="G4680" s="35">
        <v>1148</v>
      </c>
      <c r="H4680" s="31">
        <v>10</v>
      </c>
      <c r="I4680" s="31">
        <v>10</v>
      </c>
      <c r="J4680" s="31" t="s">
        <v>17237</v>
      </c>
      <c r="K4680" s="31" t="s">
        <v>319</v>
      </c>
      <c r="L4680" s="31" t="s">
        <v>34</v>
      </c>
      <c r="M4680" s="31">
        <v>96</v>
      </c>
      <c r="N4680" s="31">
        <v>2022</v>
      </c>
      <c r="O4680" s="31">
        <v>472</v>
      </c>
      <c r="P4680" s="31"/>
      <c r="Q4680" s="31"/>
      <c r="R4680" s="33" t="s">
        <v>17238</v>
      </c>
      <c r="S4680" s="34" t="str">
        <f>HYPERLINK("http://www.cnpol.ru/covers/20391.jpg","фото на сайте")</f>
        <v>фото на сайте</v>
      </c>
    </row>
    <row r="4681" spans="1:19" ht="50.1" customHeight="1">
      <c r="A4681" s="31" t="s">
        <v>35</v>
      </c>
      <c r="B4681" s="32" t="s">
        <v>17239</v>
      </c>
      <c r="C4681" s="31" t="s">
        <v>1448</v>
      </c>
      <c r="D4681" s="31" t="s">
        <v>7130</v>
      </c>
      <c r="E4681" s="31" t="s">
        <v>17240</v>
      </c>
      <c r="F4681" s="31" t="s">
        <v>31</v>
      </c>
      <c r="G4681" s="35">
        <v>1148</v>
      </c>
      <c r="H4681" s="31">
        <v>10</v>
      </c>
      <c r="I4681" s="31">
        <v>10</v>
      </c>
      <c r="J4681" s="31" t="s">
        <v>17241</v>
      </c>
      <c r="K4681" s="31" t="s">
        <v>319</v>
      </c>
      <c r="L4681" s="31" t="s">
        <v>34</v>
      </c>
      <c r="M4681" s="31">
        <v>96</v>
      </c>
      <c r="N4681" s="31">
        <v>2024</v>
      </c>
      <c r="O4681" s="31">
        <v>472</v>
      </c>
      <c r="P4681" s="31"/>
      <c r="Q4681" s="31"/>
      <c r="R4681" s="33" t="s">
        <v>17242</v>
      </c>
      <c r="S4681" s="34" t="str">
        <f>HYPERLINK("http://www.cnpol.ru/covers/21097.jpg","фото на сайте")</f>
        <v>фото на сайте</v>
      </c>
    </row>
    <row r="4682" spans="1:19" ht="50.1" customHeight="1">
      <c r="A4682" s="31"/>
      <c r="B4682" s="32" t="s">
        <v>17243</v>
      </c>
      <c r="C4682" s="31" t="s">
        <v>4922</v>
      </c>
      <c r="D4682" s="31" t="s">
        <v>17244</v>
      </c>
      <c r="E4682" s="31" t="s">
        <v>17245</v>
      </c>
      <c r="F4682" s="31" t="s">
        <v>31</v>
      </c>
      <c r="G4682" s="31">
        <v>559</v>
      </c>
      <c r="H4682" s="31">
        <v>10</v>
      </c>
      <c r="I4682" s="31">
        <v>10</v>
      </c>
      <c r="J4682" s="31" t="s">
        <v>17246</v>
      </c>
      <c r="K4682" s="31" t="s">
        <v>33</v>
      </c>
      <c r="L4682" s="31" t="s">
        <v>34</v>
      </c>
      <c r="M4682" s="31">
        <v>416</v>
      </c>
      <c r="N4682" s="31">
        <v>2017</v>
      </c>
      <c r="O4682" s="31">
        <v>310</v>
      </c>
      <c r="P4682" s="31"/>
      <c r="Q4682" s="31"/>
      <c r="R4682" s="33"/>
      <c r="S4682" s="34" t="str">
        <f>HYPERLINK("http://www.cnpol.ru/covers/17370.jpg","фото на сайте")</f>
        <v>фото на сайте</v>
      </c>
    </row>
    <row r="4683" spans="1:19" ht="50.1" customHeight="1">
      <c r="A4683" s="31"/>
      <c r="B4683" s="32" t="s">
        <v>17247</v>
      </c>
      <c r="C4683" s="31" t="s">
        <v>17248</v>
      </c>
      <c r="D4683" s="31" t="s">
        <v>17249</v>
      </c>
      <c r="E4683" s="31" t="s">
        <v>17250</v>
      </c>
      <c r="F4683" s="31" t="s">
        <v>31</v>
      </c>
      <c r="G4683" s="31">
        <v>272</v>
      </c>
      <c r="H4683" s="31">
        <v>10</v>
      </c>
      <c r="I4683" s="31">
        <v>12</v>
      </c>
      <c r="J4683" s="31" t="s">
        <v>17251</v>
      </c>
      <c r="K4683" s="31" t="s">
        <v>1159</v>
      </c>
      <c r="L4683" s="31" t="s">
        <v>34</v>
      </c>
      <c r="M4683" s="31">
        <v>415</v>
      </c>
      <c r="N4683" s="31">
        <v>2008</v>
      </c>
      <c r="O4683" s="31">
        <v>354</v>
      </c>
      <c r="P4683" s="31"/>
      <c r="Q4683" s="31"/>
      <c r="R4683" s="33"/>
      <c r="S4683" s="34" t="str">
        <f>HYPERLINK("http://www.cnpol.ru/covers/8835.jpg","фото на сайте")</f>
        <v>фото на сайте</v>
      </c>
    </row>
    <row r="4684" spans="1:19" ht="50.1" customHeight="1">
      <c r="A4684" s="31"/>
      <c r="B4684" s="32" t="s">
        <v>17252</v>
      </c>
      <c r="C4684" s="31" t="s">
        <v>119</v>
      </c>
      <c r="D4684" s="31" t="s">
        <v>17253</v>
      </c>
      <c r="E4684" s="31" t="s">
        <v>17254</v>
      </c>
      <c r="F4684" s="31" t="s">
        <v>31</v>
      </c>
      <c r="G4684" s="31">
        <v>611</v>
      </c>
      <c r="H4684" s="31">
        <v>10</v>
      </c>
      <c r="I4684" s="31">
        <v>16</v>
      </c>
      <c r="J4684" s="31" t="s">
        <v>17255</v>
      </c>
      <c r="K4684" s="31" t="s">
        <v>194</v>
      </c>
      <c r="L4684" s="31" t="s">
        <v>34</v>
      </c>
      <c r="M4684" s="31">
        <v>320</v>
      </c>
      <c r="N4684" s="31">
        <v>2024</v>
      </c>
      <c r="O4684" s="31">
        <v>342</v>
      </c>
      <c r="P4684" s="31"/>
      <c r="Q4684" s="31"/>
      <c r="R4684" s="33" t="s">
        <v>17256</v>
      </c>
      <c r="S4684" s="34" t="str">
        <f>HYPERLINK("http://www.cnpol.ru/covers/20977.jpg","фото на сайте")</f>
        <v>фото на сайте</v>
      </c>
    </row>
    <row r="4685" spans="1:19" ht="50.1" customHeight="1">
      <c r="A4685" s="31"/>
      <c r="B4685" s="32" t="s">
        <v>17257</v>
      </c>
      <c r="C4685" s="31" t="s">
        <v>390</v>
      </c>
      <c r="D4685" s="31" t="s">
        <v>2106</v>
      </c>
      <c r="E4685" s="31" t="s">
        <v>17258</v>
      </c>
      <c r="F4685" s="31">
        <v>520</v>
      </c>
      <c r="G4685" s="31">
        <v>86</v>
      </c>
      <c r="H4685" s="31">
        <v>10</v>
      </c>
      <c r="I4685" s="31">
        <v>30</v>
      </c>
      <c r="J4685" s="31" t="s">
        <v>17259</v>
      </c>
      <c r="K4685" s="31" t="s">
        <v>123</v>
      </c>
      <c r="L4685" s="31" t="s">
        <v>56</v>
      </c>
      <c r="M4685" s="31">
        <v>158</v>
      </c>
      <c r="N4685" s="31">
        <v>2015</v>
      </c>
      <c r="O4685" s="31">
        <v>76</v>
      </c>
      <c r="P4685" s="31"/>
      <c r="Q4685" s="31"/>
      <c r="R4685" s="33"/>
      <c r="S4685" s="34" t="str">
        <f>HYPERLINK("http://www.cnpol.ru/covers/16030.jpg","фото на сайте")</f>
        <v>фото на сайте</v>
      </c>
    </row>
    <row r="4686" spans="1:19" ht="50.1" customHeight="1">
      <c r="A4686" s="31"/>
      <c r="B4686" s="32" t="s">
        <v>17260</v>
      </c>
      <c r="C4686" s="31" t="s">
        <v>37</v>
      </c>
      <c r="D4686" s="31" t="s">
        <v>17261</v>
      </c>
      <c r="E4686" s="31" t="s">
        <v>17262</v>
      </c>
      <c r="F4686" s="31" t="s">
        <v>31</v>
      </c>
      <c r="G4686" s="31">
        <v>791</v>
      </c>
      <c r="H4686" s="31">
        <v>10</v>
      </c>
      <c r="I4686" s="31">
        <v>12</v>
      </c>
      <c r="J4686" s="31" t="s">
        <v>17263</v>
      </c>
      <c r="K4686" s="31" t="s">
        <v>33</v>
      </c>
      <c r="L4686" s="31" t="s">
        <v>34</v>
      </c>
      <c r="M4686" s="31">
        <v>541</v>
      </c>
      <c r="N4686" s="31">
        <v>2015</v>
      </c>
      <c r="O4686" s="31">
        <v>538</v>
      </c>
      <c r="P4686" s="31"/>
      <c r="Q4686" s="31"/>
      <c r="R4686" s="33"/>
      <c r="S4686" s="34" t="str">
        <f>HYPERLINK("http://www.cnpol.ru/covers/16020.jpg","фото на сайте")</f>
        <v>фото на сайте</v>
      </c>
    </row>
    <row r="4687" spans="1:19" ht="50.1" customHeight="1">
      <c r="A4687" s="31"/>
      <c r="B4687" s="32" t="s">
        <v>17264</v>
      </c>
      <c r="C4687" s="31" t="s">
        <v>2223</v>
      </c>
      <c r="D4687" s="31" t="s">
        <v>236</v>
      </c>
      <c r="E4687" s="31" t="s">
        <v>17265</v>
      </c>
      <c r="F4687" s="31" t="s">
        <v>31</v>
      </c>
      <c r="G4687" s="31">
        <v>275</v>
      </c>
      <c r="H4687" s="31">
        <v>10</v>
      </c>
      <c r="I4687" s="31">
        <v>16</v>
      </c>
      <c r="J4687" s="31" t="s">
        <v>17266</v>
      </c>
      <c r="K4687" s="31" t="s">
        <v>130</v>
      </c>
      <c r="L4687" s="31" t="s">
        <v>56</v>
      </c>
      <c r="M4687" s="31">
        <v>256</v>
      </c>
      <c r="N4687" s="31">
        <v>2019</v>
      </c>
      <c r="O4687" s="31">
        <v>162</v>
      </c>
      <c r="P4687" s="31"/>
      <c r="Q4687" s="31"/>
      <c r="R4687" s="33"/>
      <c r="S4687" s="34" t="str">
        <f>HYPERLINK("http://www.cnpol.ru/covers/18898.jpg","фото на сайте")</f>
        <v>фото на сайте</v>
      </c>
    </row>
    <row r="4688" spans="1:19" ht="50.1" customHeight="1">
      <c r="A4688" s="31" t="s">
        <v>35</v>
      </c>
      <c r="B4688" s="32" t="s">
        <v>17267</v>
      </c>
      <c r="C4688" s="31" t="s">
        <v>1925</v>
      </c>
      <c r="D4688" s="31" t="s">
        <v>1926</v>
      </c>
      <c r="E4688" s="31" t="s">
        <v>17268</v>
      </c>
      <c r="F4688" s="31" t="s">
        <v>31</v>
      </c>
      <c r="G4688" s="31">
        <v>893</v>
      </c>
      <c r="H4688" s="31">
        <v>10</v>
      </c>
      <c r="I4688" s="31">
        <v>10</v>
      </c>
      <c r="J4688" s="31" t="s">
        <v>17269</v>
      </c>
      <c r="K4688" s="31" t="s">
        <v>33</v>
      </c>
      <c r="L4688" s="31" t="s">
        <v>34</v>
      </c>
      <c r="M4688" s="31">
        <v>313</v>
      </c>
      <c r="N4688" s="31">
        <v>2026</v>
      </c>
      <c r="O4688" s="31" t="s">
        <v>220</v>
      </c>
      <c r="P4688" s="31"/>
      <c r="Q4688" s="31"/>
      <c r="R4688" s="33" t="s">
        <v>17270</v>
      </c>
      <c r="S4688" s="34" t="str">
        <f>HYPERLINK("http://www.cnpol.ru/covers/21902.jpg","фото на сайте")</f>
        <v>фото на сайте</v>
      </c>
    </row>
    <row r="4689" spans="1:19" ht="50.1" customHeight="1">
      <c r="A4689" s="31"/>
      <c r="B4689" s="32" t="s">
        <v>17271</v>
      </c>
      <c r="C4689" s="31" t="s">
        <v>37</v>
      </c>
      <c r="D4689" s="31" t="s">
        <v>17272</v>
      </c>
      <c r="E4689" s="31" t="s">
        <v>17273</v>
      </c>
      <c r="F4689" s="31" t="s">
        <v>31</v>
      </c>
      <c r="G4689" s="31">
        <v>843</v>
      </c>
      <c r="H4689" s="31">
        <v>10</v>
      </c>
      <c r="I4689" s="31">
        <v>10</v>
      </c>
      <c r="J4689" s="31" t="s">
        <v>17274</v>
      </c>
      <c r="K4689" s="31" t="s">
        <v>41</v>
      </c>
      <c r="L4689" s="31" t="s">
        <v>34</v>
      </c>
      <c r="M4689" s="31">
        <v>447</v>
      </c>
      <c r="N4689" s="31">
        <v>2014</v>
      </c>
      <c r="O4689" s="31">
        <v>340</v>
      </c>
      <c r="P4689" s="31"/>
      <c r="Q4689" s="31"/>
      <c r="R4689" s="33"/>
      <c r="S4689" s="34" t="str">
        <f>HYPERLINK("http://www.cnpol.ru/covers/15543.jpg","фото на сайте")</f>
        <v>фото на сайте</v>
      </c>
    </row>
    <row r="4690" spans="1:19" ht="50.1" customHeight="1">
      <c r="A4690" s="31" t="s">
        <v>35</v>
      </c>
      <c r="B4690" s="32" t="s">
        <v>17275</v>
      </c>
      <c r="C4690" s="31" t="s">
        <v>6074</v>
      </c>
      <c r="D4690" s="31" t="s">
        <v>5169</v>
      </c>
      <c r="E4690" s="31" t="s">
        <v>17276</v>
      </c>
      <c r="F4690" s="31" t="s">
        <v>31</v>
      </c>
      <c r="G4690" s="31">
        <v>258</v>
      </c>
      <c r="H4690" s="31">
        <v>10</v>
      </c>
      <c r="I4690" s="31">
        <v>18</v>
      </c>
      <c r="J4690" s="31" t="s">
        <v>17277</v>
      </c>
      <c r="K4690" s="31" t="s">
        <v>130</v>
      </c>
      <c r="L4690" s="31" t="s">
        <v>56</v>
      </c>
      <c r="M4690" s="31">
        <v>160</v>
      </c>
      <c r="N4690" s="31">
        <v>2025</v>
      </c>
      <c r="O4690" s="31">
        <v>102</v>
      </c>
      <c r="P4690" s="31"/>
      <c r="Q4690" s="31"/>
      <c r="R4690" s="33" t="s">
        <v>17278</v>
      </c>
      <c r="S4690" s="34" t="str">
        <f>HYPERLINK("http://www.cnpol.ru/covers/21835.jpg","фото на сайте")</f>
        <v>фото на сайте</v>
      </c>
    </row>
    <row r="4691" spans="1:19" ht="50.1" customHeight="1">
      <c r="A4691" s="31"/>
      <c r="B4691" s="32" t="s">
        <v>17279</v>
      </c>
      <c r="C4691" s="31" t="s">
        <v>1102</v>
      </c>
      <c r="D4691" s="31" t="s">
        <v>5873</v>
      </c>
      <c r="E4691" s="31" t="s">
        <v>17280</v>
      </c>
      <c r="F4691" s="31" t="s">
        <v>31</v>
      </c>
      <c r="G4691" s="31">
        <v>593</v>
      </c>
      <c r="H4691" s="31">
        <v>10</v>
      </c>
      <c r="I4691" s="31">
        <v>12</v>
      </c>
      <c r="J4691" s="31" t="s">
        <v>17281</v>
      </c>
      <c r="K4691" s="31" t="s">
        <v>33</v>
      </c>
      <c r="L4691" s="31" t="s">
        <v>34</v>
      </c>
      <c r="M4691" s="31">
        <v>384</v>
      </c>
      <c r="N4691" s="31">
        <v>2019</v>
      </c>
      <c r="O4691" s="31">
        <v>356</v>
      </c>
      <c r="P4691" s="31"/>
      <c r="Q4691" s="31"/>
      <c r="R4691" s="33"/>
      <c r="S4691" s="34" t="str">
        <f>HYPERLINK("http://www.cnpol.ru/covers/18526.jpg","фото на сайте")</f>
        <v>фото на сайте</v>
      </c>
    </row>
    <row r="4692" spans="1:19" ht="50.1" customHeight="1">
      <c r="A4692" s="31"/>
      <c r="B4692" s="32" t="s">
        <v>17282</v>
      </c>
      <c r="C4692" s="31" t="s">
        <v>17283</v>
      </c>
      <c r="D4692" s="31" t="s">
        <v>17284</v>
      </c>
      <c r="E4692" s="31" t="s">
        <v>17285</v>
      </c>
      <c r="F4692" s="31" t="s">
        <v>31</v>
      </c>
      <c r="G4692" s="31">
        <v>611</v>
      </c>
      <c r="H4692" s="31">
        <v>10</v>
      </c>
      <c r="I4692" s="31">
        <v>14</v>
      </c>
      <c r="J4692" s="31" t="s">
        <v>17286</v>
      </c>
      <c r="K4692" s="31" t="s">
        <v>33</v>
      </c>
      <c r="L4692" s="31" t="s">
        <v>34</v>
      </c>
      <c r="M4692" s="31">
        <v>352</v>
      </c>
      <c r="N4692" s="31">
        <v>2013</v>
      </c>
      <c r="O4692" s="31">
        <v>378</v>
      </c>
      <c r="P4692" s="31"/>
      <c r="Q4692" s="31"/>
      <c r="R4692" s="33"/>
      <c r="S4692" s="34" t="str">
        <f>HYPERLINK("http://www.cnpol.ru/covers/14176.jpg","фото на сайте")</f>
        <v>фото на сайте</v>
      </c>
    </row>
    <row r="4693" spans="1:19" ht="50.1" customHeight="1">
      <c r="A4693" s="31"/>
      <c r="B4693" s="32" t="s">
        <v>17287</v>
      </c>
      <c r="C4693" s="31" t="s">
        <v>2120</v>
      </c>
      <c r="D4693" s="31" t="s">
        <v>17288</v>
      </c>
      <c r="E4693" s="31" t="s">
        <v>17289</v>
      </c>
      <c r="F4693" s="31" t="s">
        <v>31</v>
      </c>
      <c r="G4693" s="31">
        <v>81</v>
      </c>
      <c r="H4693" s="31">
        <v>10</v>
      </c>
      <c r="I4693" s="31">
        <v>100</v>
      </c>
      <c r="J4693" s="31" t="s">
        <v>17290</v>
      </c>
      <c r="K4693" s="31" t="s">
        <v>123</v>
      </c>
      <c r="L4693" s="31" t="s">
        <v>56</v>
      </c>
      <c r="M4693" s="31">
        <v>63</v>
      </c>
      <c r="N4693" s="31">
        <v>2005</v>
      </c>
      <c r="O4693" s="31">
        <v>32</v>
      </c>
      <c r="P4693" s="31"/>
      <c r="Q4693" s="31"/>
      <c r="R4693" s="33"/>
      <c r="S4693" s="34" t="str">
        <f>HYPERLINK("http://www.cnpol.ru/covers/5993.jpg","фото на сайте")</f>
        <v>фото на сайте</v>
      </c>
    </row>
    <row r="4694" spans="1:19" ht="50.1" customHeight="1">
      <c r="A4694" s="31"/>
      <c r="B4694" s="32" t="s">
        <v>17291</v>
      </c>
      <c r="C4694" s="31" t="s">
        <v>1668</v>
      </c>
      <c r="D4694" s="31" t="s">
        <v>1669</v>
      </c>
      <c r="E4694" s="31" t="s">
        <v>17292</v>
      </c>
      <c r="F4694" s="31" t="s">
        <v>31</v>
      </c>
      <c r="G4694" s="31">
        <v>575</v>
      </c>
      <c r="H4694" s="31">
        <v>10</v>
      </c>
      <c r="I4694" s="31">
        <v>14</v>
      </c>
      <c r="J4694" s="31" t="s">
        <v>17293</v>
      </c>
      <c r="K4694" s="31" t="s">
        <v>33</v>
      </c>
      <c r="L4694" s="31" t="s">
        <v>34</v>
      </c>
      <c r="M4694" s="31">
        <v>286</v>
      </c>
      <c r="N4694" s="31">
        <v>2023</v>
      </c>
      <c r="O4694" s="31">
        <v>258</v>
      </c>
      <c r="P4694" s="31"/>
      <c r="Q4694" s="31"/>
      <c r="R4694" s="33" t="s">
        <v>17294</v>
      </c>
      <c r="S4694" s="34" t="str">
        <f>HYPERLINK("http://www.cnpol.ru/covers/20675.jpg","фото на сайте")</f>
        <v>фото на сайте</v>
      </c>
    </row>
    <row r="4695" spans="1:19" ht="50.1" customHeight="1">
      <c r="A4695" s="31"/>
      <c r="B4695" s="32" t="s">
        <v>17295</v>
      </c>
      <c r="C4695" s="31" t="s">
        <v>400</v>
      </c>
      <c r="D4695" s="31" t="s">
        <v>17296</v>
      </c>
      <c r="E4695" s="31" t="s">
        <v>17297</v>
      </c>
      <c r="F4695" s="31" t="s">
        <v>31</v>
      </c>
      <c r="G4695" s="31">
        <v>503</v>
      </c>
      <c r="H4695" s="31">
        <v>10</v>
      </c>
      <c r="I4695" s="31">
        <v>12</v>
      </c>
      <c r="J4695" s="31" t="s">
        <v>17298</v>
      </c>
      <c r="K4695" s="31" t="s">
        <v>33</v>
      </c>
      <c r="L4695" s="31" t="s">
        <v>34</v>
      </c>
      <c r="M4695" s="31">
        <v>352</v>
      </c>
      <c r="N4695" s="31">
        <v>2020</v>
      </c>
      <c r="O4695" s="31">
        <v>288</v>
      </c>
      <c r="P4695" s="31"/>
      <c r="Q4695" s="31"/>
      <c r="R4695" s="33"/>
      <c r="S4695" s="34" t="str">
        <f>HYPERLINK("http://www.cnpol.ru/covers/19028.jpg","фото на сайте")</f>
        <v>фото на сайте</v>
      </c>
    </row>
    <row r="4696" spans="1:19" ht="50.1" customHeight="1">
      <c r="A4696" s="31"/>
      <c r="B4696" s="32" t="s">
        <v>17299</v>
      </c>
      <c r="C4696" s="31" t="s">
        <v>16454</v>
      </c>
      <c r="D4696" s="31" t="s">
        <v>356</v>
      </c>
      <c r="E4696" s="31" t="s">
        <v>17300</v>
      </c>
      <c r="F4696" s="31" t="s">
        <v>31</v>
      </c>
      <c r="G4696" s="31">
        <v>154</v>
      </c>
      <c r="H4696" s="31">
        <v>10</v>
      </c>
      <c r="I4696" s="31">
        <v>20</v>
      </c>
      <c r="J4696" s="31" t="s">
        <v>17301</v>
      </c>
      <c r="K4696" s="31" t="s">
        <v>55</v>
      </c>
      <c r="L4696" s="31" t="s">
        <v>56</v>
      </c>
      <c r="M4696" s="31">
        <v>331</v>
      </c>
      <c r="N4696" s="31">
        <v>2008</v>
      </c>
      <c r="O4696" s="31">
        <v>136</v>
      </c>
      <c r="P4696" s="31"/>
      <c r="Q4696" s="31"/>
      <c r="R4696" s="33"/>
      <c r="S4696" s="34" t="str">
        <f>HYPERLINK("http://www.cnpol.ru/covers/10305.jpg","фото на сайте")</f>
        <v>фото на сайте</v>
      </c>
    </row>
    <row r="4697" spans="1:19" ht="50.1" customHeight="1">
      <c r="A4697" s="31"/>
      <c r="B4697" s="32" t="s">
        <v>17302</v>
      </c>
      <c r="C4697" s="31" t="s">
        <v>464</v>
      </c>
      <c r="D4697" s="31" t="s">
        <v>2607</v>
      </c>
      <c r="E4697" s="31" t="s">
        <v>17303</v>
      </c>
      <c r="F4697" s="31" t="s">
        <v>31</v>
      </c>
      <c r="G4697" s="31">
        <v>137</v>
      </c>
      <c r="H4697" s="31">
        <v>10</v>
      </c>
      <c r="I4697" s="31">
        <v>40</v>
      </c>
      <c r="J4697" s="31" t="s">
        <v>17304</v>
      </c>
      <c r="K4697" s="31" t="s">
        <v>468</v>
      </c>
      <c r="L4697" s="31" t="s">
        <v>56</v>
      </c>
      <c r="M4697" s="31">
        <v>18</v>
      </c>
      <c r="N4697" s="31">
        <v>2005</v>
      </c>
      <c r="O4697" s="31">
        <v>88</v>
      </c>
      <c r="P4697" s="31"/>
      <c r="Q4697" s="31"/>
      <c r="R4697" s="33"/>
      <c r="S4697" s="34" t="str">
        <f>HYPERLINK("http://www.cnpol.ru/covers/5960.jpg","фото на сайте")</f>
        <v>фото на сайте</v>
      </c>
    </row>
    <row r="4698" spans="1:19" ht="50.1" customHeight="1">
      <c r="A4698" s="31"/>
      <c r="B4698" s="32" t="s">
        <v>17305</v>
      </c>
      <c r="C4698" s="31" t="s">
        <v>5168</v>
      </c>
      <c r="D4698" s="31" t="s">
        <v>5169</v>
      </c>
      <c r="E4698" s="31" t="s">
        <v>17306</v>
      </c>
      <c r="F4698" s="31" t="s">
        <v>31</v>
      </c>
      <c r="G4698" s="31">
        <v>258</v>
      </c>
      <c r="H4698" s="31">
        <v>10</v>
      </c>
      <c r="I4698" s="31">
        <v>15</v>
      </c>
      <c r="J4698" s="31" t="s">
        <v>17307</v>
      </c>
      <c r="K4698" s="31" t="s">
        <v>130</v>
      </c>
      <c r="L4698" s="31" t="s">
        <v>56</v>
      </c>
      <c r="M4698" s="31">
        <v>192</v>
      </c>
      <c r="N4698" s="31">
        <v>2023</v>
      </c>
      <c r="O4698" s="31">
        <v>116</v>
      </c>
      <c r="P4698" s="31"/>
      <c r="Q4698" s="31"/>
      <c r="R4698" s="33" t="s">
        <v>17308</v>
      </c>
      <c r="S4698" s="34" t="str">
        <f>HYPERLINK("http://www.cnpol.ru/covers/20738.jpg","фото на сайте")</f>
        <v>фото на сайте</v>
      </c>
    </row>
    <row r="4699" spans="1:19" ht="50.1" customHeight="1">
      <c r="A4699" s="31"/>
      <c r="B4699" s="32" t="s">
        <v>17309</v>
      </c>
      <c r="C4699" s="31" t="s">
        <v>418</v>
      </c>
      <c r="D4699" s="31" t="s">
        <v>3894</v>
      </c>
      <c r="E4699" s="31" t="s">
        <v>17310</v>
      </c>
      <c r="F4699" s="31">
        <v>58</v>
      </c>
      <c r="G4699" s="31">
        <v>153</v>
      </c>
      <c r="H4699" s="31">
        <v>10</v>
      </c>
      <c r="I4699" s="31">
        <v>30</v>
      </c>
      <c r="J4699" s="31" t="s">
        <v>17311</v>
      </c>
      <c r="K4699" s="31" t="s">
        <v>123</v>
      </c>
      <c r="L4699" s="31" t="s">
        <v>56</v>
      </c>
      <c r="M4699" s="31">
        <v>254</v>
      </c>
      <c r="N4699" s="31">
        <v>2014</v>
      </c>
      <c r="O4699" s="31">
        <v>116</v>
      </c>
      <c r="P4699" s="31"/>
      <c r="Q4699" s="31"/>
      <c r="R4699" s="33"/>
      <c r="S4699" s="34" t="str">
        <f>HYPERLINK("http://www.cnpol.ru/covers/15684.jpg","фото на сайте")</f>
        <v>фото на сайте</v>
      </c>
    </row>
    <row r="4700" spans="1:19" ht="50.1" customHeight="1">
      <c r="A4700" s="31"/>
      <c r="B4700" s="32" t="s">
        <v>17312</v>
      </c>
      <c r="C4700" s="31" t="s">
        <v>4151</v>
      </c>
      <c r="D4700" s="31" t="s">
        <v>17313</v>
      </c>
      <c r="E4700" s="31" t="s">
        <v>17314</v>
      </c>
      <c r="F4700" s="31" t="s">
        <v>31</v>
      </c>
      <c r="G4700" s="31">
        <v>46</v>
      </c>
      <c r="H4700" s="31">
        <v>10</v>
      </c>
      <c r="I4700" s="31">
        <v>32</v>
      </c>
      <c r="J4700" s="31" t="s">
        <v>17315</v>
      </c>
      <c r="K4700" s="31" t="s">
        <v>55</v>
      </c>
      <c r="L4700" s="31" t="s">
        <v>56</v>
      </c>
      <c r="M4700" s="31" t="s">
        <v>431</v>
      </c>
      <c r="N4700" s="31" t="s">
        <v>431</v>
      </c>
      <c r="O4700" s="31" t="s">
        <v>220</v>
      </c>
      <c r="P4700" s="31"/>
      <c r="Q4700" s="31"/>
      <c r="R4700" s="33"/>
      <c r="S4700" s="34" t="str">
        <f>HYPERLINK("http://www.cnpol.ru/covers/3990.jpg","фото на сайте")</f>
        <v>фото на сайте</v>
      </c>
    </row>
    <row r="4701" spans="1:19" ht="50.1" customHeight="1">
      <c r="A4701" s="31" t="s">
        <v>43</v>
      </c>
      <c r="B4701" s="32" t="s">
        <v>17316</v>
      </c>
      <c r="C4701" s="31" t="s">
        <v>17317</v>
      </c>
      <c r="D4701" s="31" t="s">
        <v>17318</v>
      </c>
      <c r="E4701" s="31" t="s">
        <v>17319</v>
      </c>
      <c r="F4701" s="31" t="s">
        <v>31</v>
      </c>
      <c r="G4701" s="35">
        <v>1011</v>
      </c>
      <c r="H4701" s="31">
        <v>10</v>
      </c>
      <c r="I4701" s="31">
        <v>10</v>
      </c>
      <c r="J4701" s="31" t="s">
        <v>17320</v>
      </c>
      <c r="K4701" s="31" t="s">
        <v>33</v>
      </c>
      <c r="L4701" s="31" t="s">
        <v>34</v>
      </c>
      <c r="M4701" s="31">
        <v>367</v>
      </c>
      <c r="N4701" s="31">
        <v>2025</v>
      </c>
      <c r="O4701" s="31">
        <v>355</v>
      </c>
      <c r="P4701" s="31"/>
      <c r="Q4701" s="31"/>
      <c r="R4701" s="33" t="s">
        <v>17321</v>
      </c>
      <c r="S4701" s="34" t="str">
        <f>HYPERLINK("http://www.cnpol.ru/covers/21514.jpg","фото на сайте")</f>
        <v>фото на сайте</v>
      </c>
    </row>
    <row r="4702" spans="1:19" ht="50.1" customHeight="1">
      <c r="A4702" s="31"/>
      <c r="B4702" s="32" t="s">
        <v>17322</v>
      </c>
      <c r="C4702" s="31" t="s">
        <v>4834</v>
      </c>
      <c r="D4702" s="31" t="s">
        <v>17323</v>
      </c>
      <c r="E4702" s="31" t="s">
        <v>17324</v>
      </c>
      <c r="F4702" s="31" t="s">
        <v>31</v>
      </c>
      <c r="G4702" s="31">
        <v>290</v>
      </c>
      <c r="H4702" s="31">
        <v>10</v>
      </c>
      <c r="I4702" s="31">
        <v>24</v>
      </c>
      <c r="J4702" s="31" t="s">
        <v>17325</v>
      </c>
      <c r="K4702" s="31" t="s">
        <v>300</v>
      </c>
      <c r="L4702" s="31" t="s">
        <v>56</v>
      </c>
      <c r="M4702" s="31">
        <v>255</v>
      </c>
      <c r="N4702" s="31">
        <v>2021</v>
      </c>
      <c r="O4702" s="31">
        <v>312</v>
      </c>
      <c r="P4702" s="31"/>
      <c r="Q4702" s="31"/>
      <c r="R4702" s="33"/>
      <c r="S4702" s="34" t="str">
        <f>HYPERLINK("http://www.cnpol.ru/covers/19844.jpg","фото на сайте")</f>
        <v>фото на сайте</v>
      </c>
    </row>
    <row r="4703" spans="1:19" ht="50.1" customHeight="1">
      <c r="A4703" s="31"/>
      <c r="B4703" s="32" t="s">
        <v>17326</v>
      </c>
      <c r="C4703" s="31" t="s">
        <v>390</v>
      </c>
      <c r="D4703" s="31" t="s">
        <v>4657</v>
      </c>
      <c r="E4703" s="31" t="s">
        <v>17327</v>
      </c>
      <c r="F4703" s="31">
        <v>961</v>
      </c>
      <c r="G4703" s="31">
        <v>86</v>
      </c>
      <c r="H4703" s="31">
        <v>10</v>
      </c>
      <c r="I4703" s="31">
        <v>30</v>
      </c>
      <c r="J4703" s="31" t="s">
        <v>17328</v>
      </c>
      <c r="K4703" s="31" t="s">
        <v>123</v>
      </c>
      <c r="L4703" s="31" t="s">
        <v>56</v>
      </c>
      <c r="M4703" s="31">
        <v>160</v>
      </c>
      <c r="N4703" s="31">
        <v>2020</v>
      </c>
      <c r="O4703" s="31">
        <v>76</v>
      </c>
      <c r="P4703" s="31"/>
      <c r="Q4703" s="31"/>
      <c r="R4703" s="33"/>
      <c r="S4703" s="34" t="str">
        <f>HYPERLINK("http://www.cnpol.ru/covers/19050.jpg","фото на сайте")</f>
        <v>фото на сайте</v>
      </c>
    </row>
    <row r="4704" spans="1:19" ht="50.1" customHeight="1">
      <c r="A4704" s="31"/>
      <c r="B4704" s="32" t="s">
        <v>17329</v>
      </c>
      <c r="C4704" s="31" t="s">
        <v>1102</v>
      </c>
      <c r="D4704" s="31" t="s">
        <v>1103</v>
      </c>
      <c r="E4704" s="31" t="s">
        <v>17330</v>
      </c>
      <c r="F4704" s="31" t="s">
        <v>31</v>
      </c>
      <c r="G4704" s="31">
        <v>593</v>
      </c>
      <c r="H4704" s="31">
        <v>10</v>
      </c>
      <c r="I4704" s="31">
        <v>14</v>
      </c>
      <c r="J4704" s="31" t="s">
        <v>17331</v>
      </c>
      <c r="K4704" s="31" t="s">
        <v>33</v>
      </c>
      <c r="L4704" s="31" t="s">
        <v>34</v>
      </c>
      <c r="M4704" s="31">
        <v>320</v>
      </c>
      <c r="N4704" s="31">
        <v>2017</v>
      </c>
      <c r="O4704" s="31">
        <v>272</v>
      </c>
      <c r="P4704" s="31"/>
      <c r="Q4704" s="31"/>
      <c r="R4704" s="33"/>
      <c r="S4704" s="34" t="str">
        <f>HYPERLINK("http://www.cnpol.ru/covers/17462.jpg","фото на сайте")</f>
        <v>фото на сайте</v>
      </c>
    </row>
    <row r="4705" spans="1:19" ht="50.1" customHeight="1">
      <c r="A4705" s="31"/>
      <c r="B4705" s="32" t="s">
        <v>17332</v>
      </c>
      <c r="C4705" s="31" t="s">
        <v>28</v>
      </c>
      <c r="D4705" s="31" t="s">
        <v>17333</v>
      </c>
      <c r="E4705" s="31" t="s">
        <v>17334</v>
      </c>
      <c r="F4705" s="31" t="s">
        <v>31</v>
      </c>
      <c r="G4705" s="31">
        <v>611</v>
      </c>
      <c r="H4705" s="31">
        <v>10</v>
      </c>
      <c r="I4705" s="31">
        <v>16</v>
      </c>
      <c r="J4705" s="31" t="s">
        <v>17335</v>
      </c>
      <c r="K4705" s="31" t="s">
        <v>33</v>
      </c>
      <c r="L4705" s="31" t="s">
        <v>34</v>
      </c>
      <c r="M4705" s="31">
        <v>319</v>
      </c>
      <c r="N4705" s="31">
        <v>2014</v>
      </c>
      <c r="O4705" s="31">
        <v>356</v>
      </c>
      <c r="P4705" s="31"/>
      <c r="Q4705" s="31"/>
      <c r="R4705" s="33"/>
      <c r="S4705" s="34" t="str">
        <f>HYPERLINK("http://www.cnpol.ru/covers/15052.jpg","фото на сайте")</f>
        <v>фото на сайте</v>
      </c>
    </row>
    <row r="4706" spans="1:19" ht="50.1" customHeight="1">
      <c r="A4706" s="31"/>
      <c r="B4706" s="32" t="s">
        <v>17336</v>
      </c>
      <c r="C4706" s="31" t="s">
        <v>297</v>
      </c>
      <c r="D4706" s="31" t="s">
        <v>17337</v>
      </c>
      <c r="E4706" s="31" t="s">
        <v>17338</v>
      </c>
      <c r="F4706" s="31" t="s">
        <v>31</v>
      </c>
      <c r="G4706" s="31">
        <v>300</v>
      </c>
      <c r="H4706" s="31">
        <v>10</v>
      </c>
      <c r="I4706" s="31">
        <v>18</v>
      </c>
      <c r="J4706" s="31" t="s">
        <v>17339</v>
      </c>
      <c r="K4706" s="31" t="s">
        <v>300</v>
      </c>
      <c r="L4706" s="31" t="s">
        <v>56</v>
      </c>
      <c r="M4706" s="31">
        <v>384</v>
      </c>
      <c r="N4706" s="31">
        <v>2018</v>
      </c>
      <c r="O4706" s="31">
        <v>194</v>
      </c>
      <c r="P4706" s="31"/>
      <c r="Q4706" s="31"/>
      <c r="R4706" s="33"/>
      <c r="S4706" s="34" t="str">
        <f>HYPERLINK("http://www.cnpol.ru/covers/18068.jpg","фото на сайте")</f>
        <v>фото на сайте</v>
      </c>
    </row>
    <row r="4707" spans="1:19" ht="50.1" customHeight="1">
      <c r="A4707" s="31"/>
      <c r="B4707" s="32" t="s">
        <v>17340</v>
      </c>
      <c r="C4707" s="31" t="s">
        <v>302</v>
      </c>
      <c r="D4707" s="31" t="s">
        <v>17337</v>
      </c>
      <c r="E4707" s="31" t="s">
        <v>17338</v>
      </c>
      <c r="F4707" s="31" t="s">
        <v>31</v>
      </c>
      <c r="G4707" s="31">
        <v>917</v>
      </c>
      <c r="H4707" s="31">
        <v>10</v>
      </c>
      <c r="I4707" s="31">
        <v>12</v>
      </c>
      <c r="J4707" s="31" t="s">
        <v>17341</v>
      </c>
      <c r="K4707" s="31" t="s">
        <v>41</v>
      </c>
      <c r="L4707" s="31" t="s">
        <v>304</v>
      </c>
      <c r="M4707" s="31">
        <v>384</v>
      </c>
      <c r="N4707" s="31">
        <v>2016</v>
      </c>
      <c r="O4707" s="31">
        <v>506</v>
      </c>
      <c r="P4707" s="31"/>
      <c r="Q4707" s="31"/>
      <c r="R4707" s="33"/>
      <c r="S4707" s="34" t="str">
        <f>HYPERLINK("http://www.cnpol.ru/covers/16736.jpg","фото на сайте")</f>
        <v>фото на сайте</v>
      </c>
    </row>
    <row r="4708" spans="1:19" ht="50.1" customHeight="1">
      <c r="A4708" s="31"/>
      <c r="B4708" s="32" t="s">
        <v>17342</v>
      </c>
      <c r="C4708" s="31" t="s">
        <v>779</v>
      </c>
      <c r="D4708" s="31" t="s">
        <v>8994</v>
      </c>
      <c r="E4708" s="31" t="s">
        <v>17343</v>
      </c>
      <c r="F4708" s="31" t="s">
        <v>31</v>
      </c>
      <c r="G4708" s="31">
        <v>759</v>
      </c>
      <c r="H4708" s="31">
        <v>10</v>
      </c>
      <c r="I4708" s="31">
        <v>16</v>
      </c>
      <c r="J4708" s="31" t="s">
        <v>17344</v>
      </c>
      <c r="K4708" s="31" t="s">
        <v>33</v>
      </c>
      <c r="L4708" s="31" t="s">
        <v>34</v>
      </c>
      <c r="M4708" s="31">
        <v>224</v>
      </c>
      <c r="N4708" s="31">
        <v>2023</v>
      </c>
      <c r="O4708" s="31">
        <v>232</v>
      </c>
      <c r="P4708" s="31"/>
      <c r="Q4708" s="31"/>
      <c r="R4708" s="33" t="s">
        <v>17345</v>
      </c>
      <c r="S4708" s="34" t="str">
        <f>HYPERLINK("http://www.cnpol.ru/covers/20915.jpg","фото на сайте")</f>
        <v>фото на сайте</v>
      </c>
    </row>
    <row r="4709" spans="1:19" ht="50.1" customHeight="1">
      <c r="A4709" s="31"/>
      <c r="B4709" s="32" t="s">
        <v>17346</v>
      </c>
      <c r="C4709" s="31" t="s">
        <v>418</v>
      </c>
      <c r="D4709" s="31" t="s">
        <v>419</v>
      </c>
      <c r="E4709" s="31" t="s">
        <v>17347</v>
      </c>
      <c r="F4709" s="31">
        <v>68</v>
      </c>
      <c r="G4709" s="31">
        <v>153</v>
      </c>
      <c r="H4709" s="31">
        <v>10</v>
      </c>
      <c r="I4709" s="31">
        <v>26</v>
      </c>
      <c r="J4709" s="31" t="s">
        <v>17348</v>
      </c>
      <c r="K4709" s="31" t="s">
        <v>123</v>
      </c>
      <c r="L4709" s="31" t="s">
        <v>56</v>
      </c>
      <c r="M4709" s="31">
        <v>256</v>
      </c>
      <c r="N4709" s="31">
        <v>2017</v>
      </c>
      <c r="O4709" s="31">
        <v>118</v>
      </c>
      <c r="P4709" s="31"/>
      <c r="Q4709" s="31"/>
      <c r="R4709" s="33"/>
      <c r="S4709" s="34" t="str">
        <f>HYPERLINK("http://www.cnpol.ru/covers/17381.jpg","фото на сайте")</f>
        <v>фото на сайте</v>
      </c>
    </row>
    <row r="4710" spans="1:19" ht="50.1" customHeight="1">
      <c r="A4710" s="31"/>
      <c r="B4710" s="32" t="s">
        <v>17349</v>
      </c>
      <c r="C4710" s="31" t="s">
        <v>413</v>
      </c>
      <c r="D4710" s="31" t="s">
        <v>2638</v>
      </c>
      <c r="E4710" s="31" t="s">
        <v>17350</v>
      </c>
      <c r="F4710" s="31">
        <v>113</v>
      </c>
      <c r="G4710" s="31">
        <v>117</v>
      </c>
      <c r="H4710" s="31">
        <v>10</v>
      </c>
      <c r="I4710" s="31">
        <v>36</v>
      </c>
      <c r="J4710" s="31" t="s">
        <v>17351</v>
      </c>
      <c r="K4710" s="31" t="s">
        <v>123</v>
      </c>
      <c r="L4710" s="31" t="s">
        <v>56</v>
      </c>
      <c r="M4710" s="31">
        <v>192</v>
      </c>
      <c r="N4710" s="31">
        <v>2016</v>
      </c>
      <c r="O4710" s="31">
        <v>90</v>
      </c>
      <c r="P4710" s="31"/>
      <c r="Q4710" s="31"/>
      <c r="R4710" s="33"/>
      <c r="S4710" s="34" t="str">
        <f>HYPERLINK("http://www.cnpol.ru/covers/16872.jpg","фото на сайте")</f>
        <v>фото на сайте</v>
      </c>
    </row>
    <row r="4711" spans="1:19" ht="50.1" customHeight="1">
      <c r="A4711" s="31"/>
      <c r="B4711" s="32" t="s">
        <v>17352</v>
      </c>
      <c r="C4711" s="31" t="s">
        <v>1323</v>
      </c>
      <c r="D4711" s="31" t="s">
        <v>2347</v>
      </c>
      <c r="E4711" s="31" t="s">
        <v>17353</v>
      </c>
      <c r="F4711" s="31" t="s">
        <v>31</v>
      </c>
      <c r="G4711" s="31">
        <v>169</v>
      </c>
      <c r="H4711" s="31">
        <v>10</v>
      </c>
      <c r="I4711" s="31">
        <v>40</v>
      </c>
      <c r="J4711" s="31" t="s">
        <v>17354</v>
      </c>
      <c r="K4711" s="31" t="s">
        <v>55</v>
      </c>
      <c r="L4711" s="31" t="s">
        <v>56</v>
      </c>
      <c r="M4711" s="31">
        <v>320</v>
      </c>
      <c r="N4711" s="31">
        <v>2019</v>
      </c>
      <c r="O4711" s="31">
        <v>136</v>
      </c>
      <c r="P4711" s="31"/>
      <c r="Q4711" s="31"/>
      <c r="R4711" s="33"/>
      <c r="S4711" s="34" t="str">
        <f>HYPERLINK("http://www.cnpol.ru/covers/18896.jpg","фото на сайте")</f>
        <v>фото на сайте</v>
      </c>
    </row>
    <row r="4712" spans="1:19" ht="50.1" customHeight="1">
      <c r="A4712" s="31"/>
      <c r="B4712" s="32" t="s">
        <v>17355</v>
      </c>
      <c r="C4712" s="31" t="s">
        <v>1247</v>
      </c>
      <c r="D4712" s="31" t="s">
        <v>1248</v>
      </c>
      <c r="E4712" s="31" t="s">
        <v>17356</v>
      </c>
      <c r="F4712" s="31" t="s">
        <v>31</v>
      </c>
      <c r="G4712" s="31">
        <v>112</v>
      </c>
      <c r="H4712" s="31">
        <v>10</v>
      </c>
      <c r="I4712" s="31">
        <v>60</v>
      </c>
      <c r="J4712" s="31" t="s">
        <v>17357</v>
      </c>
      <c r="K4712" s="31" t="s">
        <v>123</v>
      </c>
      <c r="L4712" s="31" t="s">
        <v>56</v>
      </c>
      <c r="M4712" s="31">
        <v>128</v>
      </c>
      <c r="N4712" s="31">
        <v>2015</v>
      </c>
      <c r="O4712" s="31">
        <v>62</v>
      </c>
      <c r="P4712" s="31"/>
      <c r="Q4712" s="31"/>
      <c r="R4712" s="33"/>
      <c r="S4712" s="34" t="str">
        <f>HYPERLINK("http://www.cnpol.ru/covers/16236.jpg","фото на сайте")</f>
        <v>фото на сайте</v>
      </c>
    </row>
    <row r="4713" spans="1:19" ht="50.1" customHeight="1">
      <c r="A4713" s="31"/>
      <c r="B4713" s="32" t="s">
        <v>17358</v>
      </c>
      <c r="C4713" s="31" t="s">
        <v>390</v>
      </c>
      <c r="D4713" s="31" t="s">
        <v>1754</v>
      </c>
      <c r="E4713" s="31" t="s">
        <v>17359</v>
      </c>
      <c r="F4713" s="31">
        <v>318</v>
      </c>
      <c r="G4713" s="31">
        <v>86</v>
      </c>
      <c r="H4713" s="31">
        <v>10</v>
      </c>
      <c r="I4713" s="31">
        <v>30</v>
      </c>
      <c r="J4713" s="31" t="s">
        <v>17360</v>
      </c>
      <c r="K4713" s="31" t="s">
        <v>123</v>
      </c>
      <c r="L4713" s="31" t="s">
        <v>56</v>
      </c>
      <c r="M4713" s="31">
        <v>158</v>
      </c>
      <c r="N4713" s="31">
        <v>2013</v>
      </c>
      <c r="O4713" s="31">
        <v>74</v>
      </c>
      <c r="P4713" s="31"/>
      <c r="Q4713" s="31"/>
      <c r="R4713" s="33"/>
      <c r="S4713" s="34" t="str">
        <f>HYPERLINK("http://www.cnpol.ru/covers/14299.jpg","фото на сайте")</f>
        <v>фото на сайте</v>
      </c>
    </row>
    <row r="4714" spans="1:19" ht="50.1" customHeight="1">
      <c r="A4714" s="31" t="s">
        <v>35</v>
      </c>
      <c r="B4714" s="32" t="s">
        <v>17361</v>
      </c>
      <c r="C4714" s="31" t="s">
        <v>2817</v>
      </c>
      <c r="D4714" s="31" t="s">
        <v>17362</v>
      </c>
      <c r="E4714" s="31" t="s">
        <v>17363</v>
      </c>
      <c r="F4714" s="31" t="s">
        <v>31</v>
      </c>
      <c r="G4714" s="31">
        <v>251</v>
      </c>
      <c r="H4714" s="31">
        <v>10</v>
      </c>
      <c r="I4714" s="31">
        <v>10</v>
      </c>
      <c r="J4714" s="31" t="s">
        <v>17364</v>
      </c>
      <c r="K4714" s="31" t="s">
        <v>33</v>
      </c>
      <c r="L4714" s="31" t="s">
        <v>56</v>
      </c>
      <c r="M4714" s="31">
        <v>302</v>
      </c>
      <c r="N4714" s="31">
        <v>2025</v>
      </c>
      <c r="O4714" s="31" t="s">
        <v>220</v>
      </c>
      <c r="P4714" s="31"/>
      <c r="Q4714" s="31"/>
      <c r="R4714" s="33" t="s">
        <v>17365</v>
      </c>
      <c r="S4714" s="34" t="str">
        <f>HYPERLINK("http://www.cnpol.ru/covers/21721.jpg","фото на сайте")</f>
        <v>фото на сайте</v>
      </c>
    </row>
    <row r="4715" spans="1:19" ht="50.1" customHeight="1">
      <c r="A4715" s="31"/>
      <c r="B4715" s="32" t="s">
        <v>17366</v>
      </c>
      <c r="C4715" s="31" t="s">
        <v>400</v>
      </c>
      <c r="D4715" s="31" t="s">
        <v>17367</v>
      </c>
      <c r="E4715" s="31" t="s">
        <v>17368</v>
      </c>
      <c r="F4715" s="31" t="s">
        <v>31</v>
      </c>
      <c r="G4715" s="31">
        <v>503</v>
      </c>
      <c r="H4715" s="31">
        <v>10</v>
      </c>
      <c r="I4715" s="31">
        <v>14</v>
      </c>
      <c r="J4715" s="31" t="s">
        <v>17369</v>
      </c>
      <c r="K4715" s="31" t="s">
        <v>33</v>
      </c>
      <c r="L4715" s="31" t="s">
        <v>34</v>
      </c>
      <c r="M4715" s="31">
        <v>288</v>
      </c>
      <c r="N4715" s="31">
        <v>2020</v>
      </c>
      <c r="O4715" s="31">
        <v>254</v>
      </c>
      <c r="P4715" s="31"/>
      <c r="Q4715" s="31"/>
      <c r="R4715" s="33"/>
      <c r="S4715" s="34" t="str">
        <f>HYPERLINK("http://www.cnpol.ru/covers/19436.jpg","фото на сайте")</f>
        <v>фото на сайте</v>
      </c>
    </row>
    <row r="4716" spans="1:19" ht="50.1" customHeight="1">
      <c r="A4716" s="31"/>
      <c r="B4716" s="32" t="s">
        <v>17370</v>
      </c>
      <c r="C4716" s="31" t="s">
        <v>385</v>
      </c>
      <c r="D4716" s="31" t="s">
        <v>386</v>
      </c>
      <c r="E4716" s="31" t="s">
        <v>17371</v>
      </c>
      <c r="F4716" s="31" t="s">
        <v>31</v>
      </c>
      <c r="G4716" s="31">
        <v>162</v>
      </c>
      <c r="H4716" s="31">
        <v>10</v>
      </c>
      <c r="I4716" s="31">
        <v>32</v>
      </c>
      <c r="J4716" s="31" t="s">
        <v>17372</v>
      </c>
      <c r="K4716" s="31" t="s">
        <v>55</v>
      </c>
      <c r="L4716" s="31" t="s">
        <v>56</v>
      </c>
      <c r="M4716" s="31">
        <v>192</v>
      </c>
      <c r="N4716" s="31">
        <v>2016</v>
      </c>
      <c r="O4716" s="31">
        <v>84</v>
      </c>
      <c r="P4716" s="31"/>
      <c r="Q4716" s="31"/>
      <c r="R4716" s="33"/>
      <c r="S4716" s="34" t="str">
        <f>HYPERLINK("http://www.cnpol.ru/covers/0179.jpg","фото на сайте")</f>
        <v>фото на сайте</v>
      </c>
    </row>
    <row r="4717" spans="1:19" ht="50.1" customHeight="1">
      <c r="A4717" s="31"/>
      <c r="B4717" s="32" t="s">
        <v>17373</v>
      </c>
      <c r="C4717" s="31" t="s">
        <v>390</v>
      </c>
      <c r="D4717" s="31" t="s">
        <v>2511</v>
      </c>
      <c r="E4717" s="31" t="s">
        <v>17374</v>
      </c>
      <c r="F4717" s="31">
        <v>1085</v>
      </c>
      <c r="G4717" s="31">
        <v>86</v>
      </c>
      <c r="H4717" s="31">
        <v>10</v>
      </c>
      <c r="I4717" s="31">
        <v>30</v>
      </c>
      <c r="J4717" s="31" t="s">
        <v>17375</v>
      </c>
      <c r="K4717" s="31" t="s">
        <v>123</v>
      </c>
      <c r="L4717" s="31" t="s">
        <v>56</v>
      </c>
      <c r="M4717" s="31">
        <v>159</v>
      </c>
      <c r="N4717" s="31">
        <v>2022</v>
      </c>
      <c r="O4717" s="31">
        <v>76</v>
      </c>
      <c r="P4717" s="31"/>
      <c r="Q4717" s="31"/>
      <c r="R4717" s="33"/>
      <c r="S4717" s="34" t="str">
        <f>HYPERLINK("http://www.cnpol.ru/covers/20151.jpg","фото на сайте")</f>
        <v>фото на сайте</v>
      </c>
    </row>
    <row r="4718" spans="1:19" ht="50.1" customHeight="1">
      <c r="A4718" s="31"/>
      <c r="B4718" s="32" t="s">
        <v>17376</v>
      </c>
      <c r="C4718" s="31" t="s">
        <v>533</v>
      </c>
      <c r="D4718" s="31" t="s">
        <v>534</v>
      </c>
      <c r="E4718" s="31" t="s">
        <v>17377</v>
      </c>
      <c r="F4718" s="31" t="s">
        <v>31</v>
      </c>
      <c r="G4718" s="31">
        <v>236</v>
      </c>
      <c r="H4718" s="31">
        <v>10</v>
      </c>
      <c r="I4718" s="31">
        <v>10</v>
      </c>
      <c r="J4718" s="31" t="s">
        <v>17378</v>
      </c>
      <c r="K4718" s="31" t="s">
        <v>33</v>
      </c>
      <c r="L4718" s="31" t="s">
        <v>34</v>
      </c>
      <c r="M4718" s="31">
        <v>459</v>
      </c>
      <c r="N4718" s="31">
        <v>2001</v>
      </c>
      <c r="O4718" s="31">
        <v>358</v>
      </c>
      <c r="P4718" s="31"/>
      <c r="Q4718" s="31"/>
      <c r="R4718" s="33"/>
      <c r="S4718" s="34" t="str">
        <f>HYPERLINK("http://www.cnpol.ru/covers/2783.jpg","фото на сайте")</f>
        <v>фото на сайте</v>
      </c>
    </row>
    <row r="4719" spans="1:19" ht="50.1" customHeight="1">
      <c r="A4719" s="31"/>
      <c r="B4719" s="32" t="s">
        <v>17379</v>
      </c>
      <c r="C4719" s="31" t="s">
        <v>45</v>
      </c>
      <c r="D4719" s="31" t="s">
        <v>17380</v>
      </c>
      <c r="E4719" s="31" t="s">
        <v>17381</v>
      </c>
      <c r="F4719" s="31" t="s">
        <v>31</v>
      </c>
      <c r="G4719" s="31">
        <v>907</v>
      </c>
      <c r="H4719" s="31">
        <v>10</v>
      </c>
      <c r="I4719" s="31">
        <v>8</v>
      </c>
      <c r="J4719" s="31" t="s">
        <v>17382</v>
      </c>
      <c r="K4719" s="31" t="s">
        <v>33</v>
      </c>
      <c r="L4719" s="31" t="s">
        <v>34</v>
      </c>
      <c r="M4719" s="31">
        <v>512</v>
      </c>
      <c r="N4719" s="31">
        <v>2015</v>
      </c>
      <c r="O4719" s="31">
        <v>492</v>
      </c>
      <c r="P4719" s="31"/>
      <c r="Q4719" s="31"/>
      <c r="R4719" s="33"/>
      <c r="S4719" s="34" t="str">
        <f>HYPERLINK("http://www.cnpol.ru/covers/16089.jpg","фото на сайте")</f>
        <v>фото на сайте</v>
      </c>
    </row>
    <row r="4720" spans="1:19" ht="50.1" customHeight="1">
      <c r="A4720" s="31"/>
      <c r="B4720" s="32" t="s">
        <v>17383</v>
      </c>
      <c r="C4720" s="31" t="s">
        <v>17384</v>
      </c>
      <c r="D4720" s="31" t="s">
        <v>17385</v>
      </c>
      <c r="E4720" s="31" t="s">
        <v>17386</v>
      </c>
      <c r="F4720" s="31" t="s">
        <v>31</v>
      </c>
      <c r="G4720" s="31">
        <v>826</v>
      </c>
      <c r="H4720" s="31">
        <v>10</v>
      </c>
      <c r="I4720" s="31">
        <v>6</v>
      </c>
      <c r="J4720" s="31" t="s">
        <v>17387</v>
      </c>
      <c r="K4720" s="31" t="s">
        <v>2004</v>
      </c>
      <c r="L4720" s="31" t="s">
        <v>34</v>
      </c>
      <c r="M4720" s="31">
        <v>352</v>
      </c>
      <c r="N4720" s="31">
        <v>2017</v>
      </c>
      <c r="O4720" s="31">
        <v>534</v>
      </c>
      <c r="P4720" s="31"/>
      <c r="Q4720" s="31"/>
      <c r="R4720" s="33"/>
      <c r="S4720" s="34" t="str">
        <f>HYPERLINK("http://www.cnpol.ru/covers/17356.jpg","фото на сайте")</f>
        <v>фото на сайте</v>
      </c>
    </row>
    <row r="4721" spans="1:19" ht="50.1" customHeight="1">
      <c r="A4721" s="31"/>
      <c r="B4721" s="32" t="s">
        <v>17388</v>
      </c>
      <c r="C4721" s="31" t="s">
        <v>390</v>
      </c>
      <c r="D4721" s="31" t="s">
        <v>1660</v>
      </c>
      <c r="E4721" s="31" t="s">
        <v>17389</v>
      </c>
      <c r="F4721" s="31">
        <v>782</v>
      </c>
      <c r="G4721" s="31">
        <v>86</v>
      </c>
      <c r="H4721" s="31">
        <v>10</v>
      </c>
      <c r="I4721" s="31">
        <v>30</v>
      </c>
      <c r="J4721" s="31" t="s">
        <v>17390</v>
      </c>
      <c r="K4721" s="31" t="s">
        <v>123</v>
      </c>
      <c r="L4721" s="31" t="s">
        <v>56</v>
      </c>
      <c r="M4721" s="31">
        <v>160</v>
      </c>
      <c r="N4721" s="31">
        <v>2018</v>
      </c>
      <c r="O4721" s="31">
        <v>76</v>
      </c>
      <c r="P4721" s="31"/>
      <c r="Q4721" s="31"/>
      <c r="R4721" s="33"/>
      <c r="S4721" s="34" t="str">
        <f>HYPERLINK("http://www.cnpol.ru/covers/17901.jpg","фото на сайте")</f>
        <v>фото на сайте</v>
      </c>
    </row>
    <row r="4722" spans="1:19" ht="50.1" customHeight="1">
      <c r="A4722" s="31"/>
      <c r="B4722" s="32" t="s">
        <v>17391</v>
      </c>
      <c r="C4722" s="31" t="s">
        <v>400</v>
      </c>
      <c r="D4722" s="31" t="s">
        <v>17392</v>
      </c>
      <c r="E4722" s="31" t="s">
        <v>17393</v>
      </c>
      <c r="F4722" s="31" t="s">
        <v>31</v>
      </c>
      <c r="G4722" s="31">
        <v>503</v>
      </c>
      <c r="H4722" s="31">
        <v>10</v>
      </c>
      <c r="I4722" s="31">
        <v>10</v>
      </c>
      <c r="J4722" s="31" t="s">
        <v>17394</v>
      </c>
      <c r="K4722" s="31" t="s">
        <v>33</v>
      </c>
      <c r="L4722" s="31" t="s">
        <v>34</v>
      </c>
      <c r="M4722" s="31">
        <v>415</v>
      </c>
      <c r="N4722" s="31">
        <v>2022</v>
      </c>
      <c r="O4722" s="31">
        <v>334</v>
      </c>
      <c r="P4722" s="31"/>
      <c r="Q4722" s="31"/>
      <c r="R4722" s="33"/>
      <c r="S4722" s="34" t="str">
        <f>HYPERLINK("http://www.cnpol.ru/covers/20348.jpg","фото на сайте")</f>
        <v>фото на сайте</v>
      </c>
    </row>
    <row r="4723" spans="1:19" ht="50.1" customHeight="1">
      <c r="A4723" s="31"/>
      <c r="B4723" s="32" t="s">
        <v>17395</v>
      </c>
      <c r="C4723" s="31" t="s">
        <v>28</v>
      </c>
      <c r="D4723" s="31" t="s">
        <v>202</v>
      </c>
      <c r="E4723" s="31" t="s">
        <v>17396</v>
      </c>
      <c r="F4723" s="31" t="s">
        <v>31</v>
      </c>
      <c r="G4723" s="31">
        <v>942</v>
      </c>
      <c r="H4723" s="31">
        <v>10</v>
      </c>
      <c r="I4723" s="31">
        <v>10</v>
      </c>
      <c r="J4723" s="31" t="s">
        <v>17397</v>
      </c>
      <c r="K4723" s="31" t="s">
        <v>41</v>
      </c>
      <c r="L4723" s="31" t="s">
        <v>34</v>
      </c>
      <c r="M4723" s="31">
        <v>528</v>
      </c>
      <c r="N4723" s="31">
        <v>2014</v>
      </c>
      <c r="O4723" s="31">
        <v>628</v>
      </c>
      <c r="P4723" s="31"/>
      <c r="Q4723" s="31"/>
      <c r="R4723" s="33"/>
      <c r="S4723" s="34" t="str">
        <f>HYPERLINK("http://www.cnpol.ru/covers/15410.jpg","фото на сайте")</f>
        <v>фото на сайте</v>
      </c>
    </row>
    <row r="4724" spans="1:19" ht="50.1" customHeight="1">
      <c r="A4724" s="31"/>
      <c r="B4724" s="32" t="s">
        <v>17398</v>
      </c>
      <c r="C4724" s="31" t="s">
        <v>440</v>
      </c>
      <c r="D4724" s="31" t="s">
        <v>167</v>
      </c>
      <c r="E4724" s="31" t="s">
        <v>17399</v>
      </c>
      <c r="F4724" s="31" t="s">
        <v>31</v>
      </c>
      <c r="G4724" s="31">
        <v>503</v>
      </c>
      <c r="H4724" s="31">
        <v>10</v>
      </c>
      <c r="I4724" s="31">
        <v>16</v>
      </c>
      <c r="J4724" s="31" t="s">
        <v>17400</v>
      </c>
      <c r="K4724" s="31" t="s">
        <v>33</v>
      </c>
      <c r="L4724" s="31" t="s">
        <v>34</v>
      </c>
      <c r="M4724" s="31">
        <v>256</v>
      </c>
      <c r="N4724" s="31">
        <v>2018</v>
      </c>
      <c r="O4724" s="31">
        <v>246</v>
      </c>
      <c r="P4724" s="31"/>
      <c r="Q4724" s="31"/>
      <c r="R4724" s="33"/>
      <c r="S4724" s="34" t="str">
        <f>HYPERLINK("http://www.cnpol.ru/covers/18007.jpg","фото на сайте")</f>
        <v>фото на сайте</v>
      </c>
    </row>
    <row r="4725" spans="1:19" ht="50.1" customHeight="1">
      <c r="A4725" s="31"/>
      <c r="B4725" s="32" t="s">
        <v>17401</v>
      </c>
      <c r="C4725" s="31" t="s">
        <v>400</v>
      </c>
      <c r="D4725" s="31" t="s">
        <v>17402</v>
      </c>
      <c r="E4725" s="31" t="s">
        <v>17403</v>
      </c>
      <c r="F4725" s="31" t="s">
        <v>31</v>
      </c>
      <c r="G4725" s="31">
        <v>503</v>
      </c>
      <c r="H4725" s="31">
        <v>10</v>
      </c>
      <c r="I4725" s="31">
        <v>12</v>
      </c>
      <c r="J4725" s="31" t="s">
        <v>17404</v>
      </c>
      <c r="K4725" s="31" t="s">
        <v>33</v>
      </c>
      <c r="L4725" s="31" t="s">
        <v>34</v>
      </c>
      <c r="M4725" s="31">
        <v>352</v>
      </c>
      <c r="N4725" s="31">
        <v>2019</v>
      </c>
      <c r="O4725" s="31">
        <v>252</v>
      </c>
      <c r="P4725" s="31"/>
      <c r="Q4725" s="31"/>
      <c r="R4725" s="33"/>
      <c r="S4725" s="34" t="str">
        <f>HYPERLINK("http://www.cnpol.ru/covers/18823.jpg","фото на сайте")</f>
        <v>фото на сайте</v>
      </c>
    </row>
    <row r="4726" spans="1:19" ht="50.1" customHeight="1">
      <c r="A4726" s="31"/>
      <c r="B4726" s="32" t="s">
        <v>17405</v>
      </c>
      <c r="C4726" s="31" t="s">
        <v>630</v>
      </c>
      <c r="D4726" s="31" t="s">
        <v>17406</v>
      </c>
      <c r="E4726" s="31" t="s">
        <v>17407</v>
      </c>
      <c r="F4726" s="31" t="s">
        <v>31</v>
      </c>
      <c r="G4726" s="31">
        <v>96</v>
      </c>
      <c r="H4726" s="31">
        <v>10</v>
      </c>
      <c r="I4726" s="31">
        <v>80</v>
      </c>
      <c r="J4726" s="31" t="s">
        <v>17408</v>
      </c>
      <c r="K4726" s="31" t="s">
        <v>55</v>
      </c>
      <c r="L4726" s="31" t="s">
        <v>56</v>
      </c>
      <c r="M4726" s="31">
        <v>95</v>
      </c>
      <c r="N4726" s="31">
        <v>2005</v>
      </c>
      <c r="O4726" s="31">
        <v>52</v>
      </c>
      <c r="P4726" s="31"/>
      <c r="Q4726" s="31"/>
      <c r="R4726" s="33"/>
      <c r="S4726" s="34" t="str">
        <f>HYPERLINK("http://www.cnpol.ru/covers/5390.jpg","фото на сайте")</f>
        <v>фото на сайте</v>
      </c>
    </row>
    <row r="4727" spans="1:19" ht="50.1" customHeight="1">
      <c r="A4727" s="31"/>
      <c r="B4727" s="32" t="s">
        <v>17409</v>
      </c>
      <c r="C4727" s="31" t="s">
        <v>658</v>
      </c>
      <c r="D4727" s="31" t="s">
        <v>17410</v>
      </c>
      <c r="E4727" s="31" t="s">
        <v>17411</v>
      </c>
      <c r="F4727" s="31" t="s">
        <v>31</v>
      </c>
      <c r="G4727" s="31">
        <v>251</v>
      </c>
      <c r="H4727" s="31">
        <v>10</v>
      </c>
      <c r="I4727" s="31">
        <v>16</v>
      </c>
      <c r="J4727" s="31" t="s">
        <v>17412</v>
      </c>
      <c r="K4727" s="31" t="s">
        <v>130</v>
      </c>
      <c r="L4727" s="31" t="s">
        <v>56</v>
      </c>
      <c r="M4727" s="31">
        <v>288</v>
      </c>
      <c r="N4727" s="31">
        <v>2017</v>
      </c>
      <c r="O4727" s="31">
        <v>176</v>
      </c>
      <c r="P4727" s="31"/>
      <c r="Q4727" s="31"/>
      <c r="R4727" s="33"/>
      <c r="S4727" s="34" t="str">
        <f>HYPERLINK("http://www.cnpol.ru/covers/17365.jpg","фото на сайте")</f>
        <v>фото на сайте</v>
      </c>
    </row>
    <row r="4728" spans="1:19" ht="50.1" customHeight="1">
      <c r="A4728" s="31"/>
      <c r="B4728" s="32" t="s">
        <v>17413</v>
      </c>
      <c r="C4728" s="31" t="s">
        <v>6870</v>
      </c>
      <c r="D4728" s="31" t="s">
        <v>6871</v>
      </c>
      <c r="E4728" s="31" t="s">
        <v>17414</v>
      </c>
      <c r="F4728" s="31" t="s">
        <v>31</v>
      </c>
      <c r="G4728" s="31">
        <v>112</v>
      </c>
      <c r="H4728" s="31">
        <v>10</v>
      </c>
      <c r="I4728" s="31">
        <v>30</v>
      </c>
      <c r="J4728" s="31" t="s">
        <v>17415</v>
      </c>
      <c r="K4728" s="31" t="s">
        <v>130</v>
      </c>
      <c r="L4728" s="31" t="s">
        <v>56</v>
      </c>
      <c r="M4728" s="31">
        <v>190</v>
      </c>
      <c r="N4728" s="31">
        <v>2009</v>
      </c>
      <c r="O4728" s="31">
        <v>120</v>
      </c>
      <c r="P4728" s="31"/>
      <c r="Q4728" s="31"/>
      <c r="R4728" s="33"/>
      <c r="S4728" s="34" t="str">
        <f>HYPERLINK("http://www.cnpol.ru/covers/11161.jpg","фото на сайте")</f>
        <v>фото на сайте</v>
      </c>
    </row>
    <row r="4729" spans="1:19" ht="50.1" customHeight="1">
      <c r="A4729" s="31"/>
      <c r="B4729" s="32" t="s">
        <v>17416</v>
      </c>
      <c r="C4729" s="31" t="s">
        <v>380</v>
      </c>
      <c r="D4729" s="31" t="s">
        <v>17417</v>
      </c>
      <c r="E4729" s="31" t="s">
        <v>17418</v>
      </c>
      <c r="F4729" s="31" t="s">
        <v>31</v>
      </c>
      <c r="G4729" s="35">
        <v>1235</v>
      </c>
      <c r="H4729" s="31">
        <v>10</v>
      </c>
      <c r="I4729" s="31">
        <v>8</v>
      </c>
      <c r="J4729" s="31" t="s">
        <v>17419</v>
      </c>
      <c r="K4729" s="31" t="s">
        <v>41</v>
      </c>
      <c r="L4729" s="31" t="s">
        <v>304</v>
      </c>
      <c r="M4729" s="31">
        <v>656</v>
      </c>
      <c r="N4729" s="31">
        <v>2017</v>
      </c>
      <c r="O4729" s="31">
        <v>726</v>
      </c>
      <c r="P4729" s="31"/>
      <c r="Q4729" s="31"/>
      <c r="R4729" s="33"/>
      <c r="S4729" s="34" t="str">
        <f>HYPERLINK("http://www.cnpol.ru/covers/17663.jpg","фото на сайте")</f>
        <v>фото на сайте</v>
      </c>
    </row>
    <row r="4730" spans="1:19" ht="50.1" customHeight="1">
      <c r="A4730" s="31" t="s">
        <v>43</v>
      </c>
      <c r="B4730" s="32" t="s">
        <v>17420</v>
      </c>
      <c r="C4730" s="31" t="s">
        <v>37</v>
      </c>
      <c r="D4730" s="31" t="s">
        <v>6022</v>
      </c>
      <c r="E4730" s="31" t="s">
        <v>17421</v>
      </c>
      <c r="F4730" s="31" t="s">
        <v>31</v>
      </c>
      <c r="G4730" s="31">
        <v>961</v>
      </c>
      <c r="H4730" s="31">
        <v>10</v>
      </c>
      <c r="I4730" s="31">
        <v>10</v>
      </c>
      <c r="J4730" s="31" t="s">
        <v>17422</v>
      </c>
      <c r="K4730" s="31" t="s">
        <v>33</v>
      </c>
      <c r="L4730" s="31" t="s">
        <v>34</v>
      </c>
      <c r="M4730" s="31">
        <v>349</v>
      </c>
      <c r="N4730" s="31">
        <v>2025</v>
      </c>
      <c r="O4730" s="31">
        <v>342</v>
      </c>
      <c r="P4730" s="31"/>
      <c r="Q4730" s="31"/>
      <c r="R4730" s="33" t="s">
        <v>17423</v>
      </c>
      <c r="S4730" s="34" t="str">
        <f>HYPERLINK("http://www.cnpol.ru/covers/21728.jpg","фото на сайте")</f>
        <v>фото на сайте</v>
      </c>
    </row>
    <row r="4731" spans="1:19" ht="50.1" customHeight="1">
      <c r="A4731" s="31" t="s">
        <v>35</v>
      </c>
      <c r="B4731" s="32" t="s">
        <v>17424</v>
      </c>
      <c r="C4731" s="31" t="s">
        <v>503</v>
      </c>
      <c r="D4731" s="31" t="s">
        <v>504</v>
      </c>
      <c r="E4731" s="31" t="s">
        <v>17425</v>
      </c>
      <c r="F4731" s="31" t="s">
        <v>31</v>
      </c>
      <c r="G4731" s="35">
        <v>1437</v>
      </c>
      <c r="H4731" s="31">
        <v>10</v>
      </c>
      <c r="I4731" s="31">
        <v>4</v>
      </c>
      <c r="J4731" s="31" t="s">
        <v>17426</v>
      </c>
      <c r="K4731" s="31" t="s">
        <v>1159</v>
      </c>
      <c r="L4731" s="31" t="s">
        <v>34</v>
      </c>
      <c r="M4731" s="31">
        <v>638</v>
      </c>
      <c r="N4731" s="31">
        <v>2025</v>
      </c>
      <c r="O4731" s="31">
        <v>555</v>
      </c>
      <c r="P4731" s="31"/>
      <c r="Q4731" s="31"/>
      <c r="R4731" s="33" t="s">
        <v>17427</v>
      </c>
      <c r="S4731" s="34" t="str">
        <f>HYPERLINK("http://www.cnpol.ru/covers/21609.jpg","фото на сайте")</f>
        <v>фото на сайте</v>
      </c>
    </row>
    <row r="4732" spans="1:19" ht="50.1" customHeight="1">
      <c r="A4732" s="31" t="s">
        <v>35</v>
      </c>
      <c r="B4732" s="32" t="s">
        <v>17428</v>
      </c>
      <c r="C4732" s="31" t="s">
        <v>503</v>
      </c>
      <c r="D4732" s="31" t="s">
        <v>504</v>
      </c>
      <c r="E4732" s="31" t="s">
        <v>17429</v>
      </c>
      <c r="F4732" s="31" t="s">
        <v>31</v>
      </c>
      <c r="G4732" s="35">
        <v>1588</v>
      </c>
      <c r="H4732" s="31">
        <v>10</v>
      </c>
      <c r="I4732" s="31">
        <v>4</v>
      </c>
      <c r="J4732" s="31" t="s">
        <v>17430</v>
      </c>
      <c r="K4732" s="31" t="s">
        <v>33</v>
      </c>
      <c r="L4732" s="31" t="s">
        <v>34</v>
      </c>
      <c r="M4732" s="31">
        <v>687</v>
      </c>
      <c r="N4732" s="31">
        <v>2025</v>
      </c>
      <c r="O4732" s="31">
        <v>702</v>
      </c>
      <c r="P4732" s="31"/>
      <c r="Q4732" s="31"/>
      <c r="R4732" s="33" t="s">
        <v>17431</v>
      </c>
      <c r="S4732" s="34" t="str">
        <f>HYPERLINK("http://www.cnpol.ru/covers/21754.jpg","фото на сайте")</f>
        <v>фото на сайте</v>
      </c>
    </row>
    <row r="4733" spans="1:19" ht="50.1" customHeight="1">
      <c r="A4733" s="31"/>
      <c r="B4733" s="32" t="s">
        <v>17432</v>
      </c>
      <c r="C4733" s="31" t="s">
        <v>1237</v>
      </c>
      <c r="D4733" s="31" t="s">
        <v>1238</v>
      </c>
      <c r="E4733" s="31" t="s">
        <v>17433</v>
      </c>
      <c r="F4733" s="31" t="s">
        <v>31</v>
      </c>
      <c r="G4733" s="31">
        <v>807</v>
      </c>
      <c r="H4733" s="31">
        <v>10</v>
      </c>
      <c r="I4733" s="31">
        <v>12</v>
      </c>
      <c r="J4733" s="31" t="s">
        <v>17434</v>
      </c>
      <c r="K4733" s="31" t="s">
        <v>33</v>
      </c>
      <c r="L4733" s="31" t="s">
        <v>34</v>
      </c>
      <c r="M4733" s="31">
        <v>416</v>
      </c>
      <c r="N4733" s="31">
        <v>2020</v>
      </c>
      <c r="O4733" s="31">
        <v>506</v>
      </c>
      <c r="P4733" s="31"/>
      <c r="Q4733" s="31"/>
      <c r="R4733" s="33"/>
      <c r="S4733" s="34" t="str">
        <f>HYPERLINK("http://www.cnpol.ru/covers/19012.jpg","фото на сайте")</f>
        <v>фото на сайте</v>
      </c>
    </row>
    <row r="4734" spans="1:19" ht="50.1" customHeight="1">
      <c r="A4734" s="31"/>
      <c r="B4734" s="32" t="s">
        <v>17435</v>
      </c>
      <c r="C4734" s="31" t="s">
        <v>45</v>
      </c>
      <c r="D4734" s="31" t="s">
        <v>17436</v>
      </c>
      <c r="E4734" s="31" t="s">
        <v>17437</v>
      </c>
      <c r="F4734" s="31" t="s">
        <v>31</v>
      </c>
      <c r="G4734" s="35">
        <v>1041</v>
      </c>
      <c r="H4734" s="31">
        <v>10</v>
      </c>
      <c r="I4734" s="31">
        <v>10</v>
      </c>
      <c r="J4734" s="31" t="s">
        <v>17438</v>
      </c>
      <c r="K4734" s="31" t="s">
        <v>33</v>
      </c>
      <c r="L4734" s="31" t="s">
        <v>34</v>
      </c>
      <c r="M4734" s="31">
        <v>672</v>
      </c>
      <c r="N4734" s="31">
        <v>2018</v>
      </c>
      <c r="O4734" s="31">
        <v>784</v>
      </c>
      <c r="P4734" s="31"/>
      <c r="Q4734" s="31"/>
      <c r="R4734" s="33"/>
      <c r="S4734" s="34" t="str">
        <f>HYPERLINK("http://www.cnpol.ru/covers/18217.jpg","фото на сайте")</f>
        <v>фото на сайте</v>
      </c>
    </row>
    <row r="4735" spans="1:19" ht="50.1" customHeight="1">
      <c r="A4735" s="31"/>
      <c r="B4735" s="32" t="s">
        <v>17439</v>
      </c>
      <c r="C4735" s="31" t="s">
        <v>1271</v>
      </c>
      <c r="D4735" s="31" t="s">
        <v>1272</v>
      </c>
      <c r="E4735" s="31" t="s">
        <v>17440</v>
      </c>
      <c r="F4735" s="31" t="s">
        <v>31</v>
      </c>
      <c r="G4735" s="31">
        <v>649</v>
      </c>
      <c r="H4735" s="31">
        <v>10</v>
      </c>
      <c r="I4735" s="31">
        <v>20</v>
      </c>
      <c r="J4735" s="31" t="s">
        <v>17441</v>
      </c>
      <c r="K4735" s="31" t="s">
        <v>33</v>
      </c>
      <c r="L4735" s="31" t="s">
        <v>34</v>
      </c>
      <c r="M4735" s="31">
        <v>158</v>
      </c>
      <c r="N4735" s="31">
        <v>2023</v>
      </c>
      <c r="O4735" s="31">
        <v>235</v>
      </c>
      <c r="P4735" s="31"/>
      <c r="Q4735" s="31"/>
      <c r="R4735" s="33" t="s">
        <v>17442</v>
      </c>
      <c r="S4735" s="34" t="str">
        <f>HYPERLINK("http://www.cnpol.ru/covers/20794.jpg","фото на сайте")</f>
        <v>фото на сайте</v>
      </c>
    </row>
    <row r="4736" spans="1:19" ht="50.1" customHeight="1">
      <c r="A4736" s="31"/>
      <c r="B4736" s="32" t="s">
        <v>17443</v>
      </c>
      <c r="C4736" s="31" t="s">
        <v>863</v>
      </c>
      <c r="D4736" s="31" t="s">
        <v>17444</v>
      </c>
      <c r="E4736" s="31" t="s">
        <v>17445</v>
      </c>
      <c r="F4736" s="31" t="s">
        <v>31</v>
      </c>
      <c r="G4736" s="31">
        <v>795</v>
      </c>
      <c r="H4736" s="31">
        <v>10</v>
      </c>
      <c r="I4736" s="31">
        <v>8</v>
      </c>
      <c r="J4736" s="31" t="s">
        <v>17446</v>
      </c>
      <c r="K4736" s="31" t="s">
        <v>41</v>
      </c>
      <c r="L4736" s="31" t="s">
        <v>34</v>
      </c>
      <c r="M4736" s="31">
        <v>607</v>
      </c>
      <c r="N4736" s="31">
        <v>2023</v>
      </c>
      <c r="O4736" s="31">
        <v>654</v>
      </c>
      <c r="P4736" s="31"/>
      <c r="Q4736" s="31"/>
      <c r="R4736" s="33" t="s">
        <v>17447</v>
      </c>
      <c r="S4736" s="34" t="str">
        <f>HYPERLINK("http://www.cnpol.ru/covers/20758.jpg","фото на сайте")</f>
        <v>фото на сайте</v>
      </c>
    </row>
    <row r="4737" spans="1:19" ht="50.1" customHeight="1">
      <c r="A4737" s="31" t="s">
        <v>35</v>
      </c>
      <c r="B4737" s="32" t="s">
        <v>17448</v>
      </c>
      <c r="C4737" s="31" t="s">
        <v>143</v>
      </c>
      <c r="D4737" s="31" t="s">
        <v>17449</v>
      </c>
      <c r="E4737" s="31" t="s">
        <v>17450</v>
      </c>
      <c r="F4737" s="31" t="s">
        <v>31</v>
      </c>
      <c r="G4737" s="35">
        <v>1674</v>
      </c>
      <c r="H4737" s="31">
        <v>10</v>
      </c>
      <c r="I4737" s="31">
        <v>4</v>
      </c>
      <c r="J4737" s="31" t="s">
        <v>17451</v>
      </c>
      <c r="K4737" s="31" t="s">
        <v>41</v>
      </c>
      <c r="L4737" s="31" t="s">
        <v>34</v>
      </c>
      <c r="M4737" s="31">
        <v>654</v>
      </c>
      <c r="N4737" s="31">
        <v>2025</v>
      </c>
      <c r="O4737" s="31">
        <v>548</v>
      </c>
      <c r="P4737" s="31"/>
      <c r="Q4737" s="31"/>
      <c r="R4737" s="33" t="s">
        <v>17452</v>
      </c>
      <c r="S4737" s="34" t="str">
        <f>HYPERLINK("http://www.cnpol.ru/covers/21388.jpg","фото на сайте")</f>
        <v>фото на сайте</v>
      </c>
    </row>
    <row r="4738" spans="1:19" ht="50.1" customHeight="1">
      <c r="A4738" s="31" t="s">
        <v>35</v>
      </c>
      <c r="B4738" s="32" t="s">
        <v>17453</v>
      </c>
      <c r="C4738" s="31" t="s">
        <v>434</v>
      </c>
      <c r="D4738" s="31" t="s">
        <v>17454</v>
      </c>
      <c r="E4738" s="31" t="s">
        <v>17455</v>
      </c>
      <c r="F4738" s="31" t="s">
        <v>31</v>
      </c>
      <c r="G4738" s="31">
        <v>887</v>
      </c>
      <c r="H4738" s="31">
        <v>10</v>
      </c>
      <c r="I4738" s="31">
        <v>10</v>
      </c>
      <c r="J4738" s="31" t="s">
        <v>17456</v>
      </c>
      <c r="K4738" s="31" t="s">
        <v>33</v>
      </c>
      <c r="L4738" s="31" t="s">
        <v>34</v>
      </c>
      <c r="M4738" s="31">
        <v>287</v>
      </c>
      <c r="N4738" s="31">
        <v>2026</v>
      </c>
      <c r="O4738" s="31" t="s">
        <v>220</v>
      </c>
      <c r="P4738" s="31"/>
      <c r="Q4738" s="31"/>
      <c r="R4738" s="33" t="s">
        <v>17457</v>
      </c>
      <c r="S4738" s="34" t="str">
        <f>HYPERLINK("http://www.cnpol.ru/covers/21899.jpg","фото на сайте")</f>
        <v>фото на сайте</v>
      </c>
    </row>
    <row r="4739" spans="1:19" ht="50.1" customHeight="1">
      <c r="A4739" s="31"/>
      <c r="B4739" s="32" t="s">
        <v>17458</v>
      </c>
      <c r="C4739" s="31" t="s">
        <v>390</v>
      </c>
      <c r="D4739" s="31" t="s">
        <v>4570</v>
      </c>
      <c r="E4739" s="31" t="s">
        <v>17459</v>
      </c>
      <c r="F4739" s="31">
        <v>74</v>
      </c>
      <c r="G4739" s="31">
        <v>86</v>
      </c>
      <c r="H4739" s="31">
        <v>10</v>
      </c>
      <c r="I4739" s="31">
        <v>30</v>
      </c>
      <c r="J4739" s="31" t="s">
        <v>17460</v>
      </c>
      <c r="K4739" s="31" t="s">
        <v>123</v>
      </c>
      <c r="L4739" s="31" t="s">
        <v>56</v>
      </c>
      <c r="M4739" s="31">
        <v>158</v>
      </c>
      <c r="N4739" s="31">
        <v>2011</v>
      </c>
      <c r="O4739" s="31">
        <v>78</v>
      </c>
      <c r="P4739" s="31"/>
      <c r="Q4739" s="31"/>
      <c r="R4739" s="33"/>
      <c r="S4739" s="34" t="str">
        <f>HYPERLINK("http://www.cnpol.ru/covers/12592.jpg","фото на сайте")</f>
        <v>фото на сайте</v>
      </c>
    </row>
    <row r="4740" spans="1:19" ht="50.1" customHeight="1">
      <c r="A4740" s="31"/>
      <c r="B4740" s="32" t="s">
        <v>17461</v>
      </c>
      <c r="C4740" s="31" t="s">
        <v>413</v>
      </c>
      <c r="D4740" s="31" t="s">
        <v>8024</v>
      </c>
      <c r="E4740" s="31" t="s">
        <v>17462</v>
      </c>
      <c r="F4740" s="31">
        <v>112</v>
      </c>
      <c r="G4740" s="31">
        <v>117</v>
      </c>
      <c r="H4740" s="31">
        <v>10</v>
      </c>
      <c r="I4740" s="31">
        <v>36</v>
      </c>
      <c r="J4740" s="31" t="s">
        <v>17463</v>
      </c>
      <c r="K4740" s="31" t="s">
        <v>123</v>
      </c>
      <c r="L4740" s="31" t="s">
        <v>56</v>
      </c>
      <c r="M4740" s="31">
        <v>192</v>
      </c>
      <c r="N4740" s="31">
        <v>2016</v>
      </c>
      <c r="O4740" s="31">
        <v>90</v>
      </c>
      <c r="P4740" s="31"/>
      <c r="Q4740" s="31"/>
      <c r="R4740" s="33"/>
      <c r="S4740" s="34" t="str">
        <f>HYPERLINK("http://www.cnpol.ru/covers/16863.jpg","фото на сайте")</f>
        <v>фото на сайте</v>
      </c>
    </row>
    <row r="4741" spans="1:19" ht="50.1" customHeight="1">
      <c r="A4741" s="31"/>
      <c r="B4741" s="32" t="s">
        <v>17464</v>
      </c>
      <c r="C4741" s="31" t="s">
        <v>385</v>
      </c>
      <c r="D4741" s="31" t="s">
        <v>386</v>
      </c>
      <c r="E4741" s="31" t="s">
        <v>17465</v>
      </c>
      <c r="F4741" s="31" t="s">
        <v>31</v>
      </c>
      <c r="G4741" s="31">
        <v>162</v>
      </c>
      <c r="H4741" s="31">
        <v>10</v>
      </c>
      <c r="I4741" s="31">
        <v>32</v>
      </c>
      <c r="J4741" s="31" t="s">
        <v>17466</v>
      </c>
      <c r="K4741" s="31" t="s">
        <v>55</v>
      </c>
      <c r="L4741" s="31" t="s">
        <v>56</v>
      </c>
      <c r="M4741" s="31">
        <v>320</v>
      </c>
      <c r="N4741" s="31">
        <v>2016</v>
      </c>
      <c r="O4741" s="31">
        <v>134</v>
      </c>
      <c r="P4741" s="31"/>
      <c r="Q4741" s="31"/>
      <c r="R4741" s="33"/>
      <c r="S4741" s="34" t="str">
        <f>HYPERLINK("http://www.cnpol.ru/covers/16764.jpg","фото на сайте")</f>
        <v>фото на сайте</v>
      </c>
    </row>
    <row r="4742" spans="1:19" ht="50.1" customHeight="1">
      <c r="A4742" s="31"/>
      <c r="B4742" s="32" t="s">
        <v>17467</v>
      </c>
      <c r="C4742" s="31" t="s">
        <v>119</v>
      </c>
      <c r="D4742" s="31" t="s">
        <v>191</v>
      </c>
      <c r="E4742" s="31" t="s">
        <v>17468</v>
      </c>
      <c r="F4742" s="31" t="s">
        <v>31</v>
      </c>
      <c r="G4742" s="31">
        <v>611</v>
      </c>
      <c r="H4742" s="31">
        <v>10</v>
      </c>
      <c r="I4742" s="31">
        <v>12</v>
      </c>
      <c r="J4742" s="31" t="s">
        <v>17469</v>
      </c>
      <c r="K4742" s="31" t="s">
        <v>194</v>
      </c>
      <c r="L4742" s="31" t="s">
        <v>34</v>
      </c>
      <c r="M4742" s="31">
        <v>384</v>
      </c>
      <c r="N4742" s="31">
        <v>2017</v>
      </c>
      <c r="O4742" s="31">
        <v>334</v>
      </c>
      <c r="P4742" s="31"/>
      <c r="Q4742" s="31"/>
      <c r="R4742" s="33"/>
      <c r="S4742" s="34" t="str">
        <f>HYPERLINK("http://www.cnpol.ru/covers/17630.jpg","фото на сайте")</f>
        <v>фото на сайте</v>
      </c>
    </row>
    <row r="4743" spans="1:19" ht="50.1" customHeight="1">
      <c r="A4743" s="31"/>
      <c r="B4743" s="32" t="s">
        <v>17470</v>
      </c>
      <c r="C4743" s="31" t="s">
        <v>1668</v>
      </c>
      <c r="D4743" s="31" t="s">
        <v>1669</v>
      </c>
      <c r="E4743" s="31" t="s">
        <v>17471</v>
      </c>
      <c r="F4743" s="31" t="s">
        <v>31</v>
      </c>
      <c r="G4743" s="31">
        <v>575</v>
      </c>
      <c r="H4743" s="31">
        <v>10</v>
      </c>
      <c r="I4743" s="31">
        <v>12</v>
      </c>
      <c r="J4743" s="31" t="s">
        <v>17472</v>
      </c>
      <c r="K4743" s="31" t="s">
        <v>33</v>
      </c>
      <c r="L4743" s="31" t="s">
        <v>34</v>
      </c>
      <c r="M4743" s="31">
        <v>383</v>
      </c>
      <c r="N4743" s="31">
        <v>2023</v>
      </c>
      <c r="O4743" s="31">
        <v>327</v>
      </c>
      <c r="P4743" s="31"/>
      <c r="Q4743" s="31"/>
      <c r="R4743" s="33" t="s">
        <v>17473</v>
      </c>
      <c r="S4743" s="34" t="str">
        <f>HYPERLINK("http://www.cnpol.ru/covers/20802.jpg","фото на сайте")</f>
        <v>фото на сайте</v>
      </c>
    </row>
    <row r="4744" spans="1:19" ht="50.1" customHeight="1">
      <c r="A4744" s="31"/>
      <c r="B4744" s="32" t="s">
        <v>17474</v>
      </c>
      <c r="C4744" s="31" t="s">
        <v>1685</v>
      </c>
      <c r="D4744" s="31" t="s">
        <v>1686</v>
      </c>
      <c r="E4744" s="31" t="s">
        <v>17475</v>
      </c>
      <c r="F4744" s="31" t="s">
        <v>31</v>
      </c>
      <c r="G4744" s="31">
        <v>209</v>
      </c>
      <c r="H4744" s="31">
        <v>10</v>
      </c>
      <c r="I4744" s="31">
        <v>24</v>
      </c>
      <c r="J4744" s="31" t="s">
        <v>17476</v>
      </c>
      <c r="K4744" s="31" t="s">
        <v>123</v>
      </c>
      <c r="L4744" s="31" t="s">
        <v>56</v>
      </c>
      <c r="M4744" s="31">
        <v>384</v>
      </c>
      <c r="N4744" s="31">
        <v>2013</v>
      </c>
      <c r="O4744" s="31">
        <v>174</v>
      </c>
      <c r="P4744" s="31"/>
      <c r="Q4744" s="31"/>
      <c r="R4744" s="33"/>
      <c r="S4744" s="34" t="str">
        <f>HYPERLINK("http://www.cnpol.ru/covers/14680.jpg","фото на сайте")</f>
        <v>фото на сайте</v>
      </c>
    </row>
    <row r="4745" spans="1:19" ht="50.1" customHeight="1">
      <c r="A4745" s="31"/>
      <c r="B4745" s="32" t="s">
        <v>17477</v>
      </c>
      <c r="C4745" s="31" t="s">
        <v>479</v>
      </c>
      <c r="D4745" s="31" t="s">
        <v>17478</v>
      </c>
      <c r="E4745" s="31" t="s">
        <v>17479</v>
      </c>
      <c r="F4745" s="31" t="s">
        <v>31</v>
      </c>
      <c r="G4745" s="31">
        <v>693</v>
      </c>
      <c r="H4745" s="31">
        <v>10</v>
      </c>
      <c r="I4745" s="31">
        <v>8</v>
      </c>
      <c r="J4745" s="31" t="s">
        <v>17480</v>
      </c>
      <c r="K4745" s="31" t="s">
        <v>33</v>
      </c>
      <c r="L4745" s="31" t="s">
        <v>34</v>
      </c>
      <c r="M4745" s="31">
        <v>544</v>
      </c>
      <c r="N4745" s="31">
        <v>2017</v>
      </c>
      <c r="O4745" s="31">
        <v>474</v>
      </c>
      <c r="P4745" s="31"/>
      <c r="Q4745" s="31"/>
      <c r="R4745" s="33"/>
      <c r="S4745" s="34" t="str">
        <f>HYPERLINK("http://www.cnpol.ru/covers/17336.jpg","фото на сайте")</f>
        <v>фото на сайте</v>
      </c>
    </row>
    <row r="4746" spans="1:19" ht="50.1" customHeight="1">
      <c r="A4746" s="31"/>
      <c r="B4746" s="32" t="s">
        <v>17481</v>
      </c>
      <c r="C4746" s="31" t="s">
        <v>1390</v>
      </c>
      <c r="D4746" s="31" t="s">
        <v>17482</v>
      </c>
      <c r="E4746" s="31" t="s">
        <v>17483</v>
      </c>
      <c r="F4746" s="31" t="s">
        <v>31</v>
      </c>
      <c r="G4746" s="31">
        <v>226</v>
      </c>
      <c r="H4746" s="31">
        <v>10</v>
      </c>
      <c r="I4746" s="31">
        <v>18</v>
      </c>
      <c r="J4746" s="31" t="s">
        <v>17484</v>
      </c>
      <c r="K4746" s="31" t="s">
        <v>130</v>
      </c>
      <c r="L4746" s="31" t="s">
        <v>56</v>
      </c>
      <c r="M4746" s="31">
        <v>388</v>
      </c>
      <c r="N4746" s="31">
        <v>2019</v>
      </c>
      <c r="O4746" s="31">
        <v>264</v>
      </c>
      <c r="P4746" s="31"/>
      <c r="Q4746" s="31"/>
      <c r="R4746" s="33"/>
      <c r="S4746" s="34" t="str">
        <f>HYPERLINK("http://www.cnpol.ru/covers/18945.jpg","фото на сайте")</f>
        <v>фото на сайте</v>
      </c>
    </row>
    <row r="4747" spans="1:19" ht="50.1" customHeight="1">
      <c r="A4747" s="31"/>
      <c r="B4747" s="32" t="s">
        <v>17485</v>
      </c>
      <c r="C4747" s="31" t="s">
        <v>528</v>
      </c>
      <c r="D4747" s="31" t="s">
        <v>529</v>
      </c>
      <c r="E4747" s="31" t="s">
        <v>17486</v>
      </c>
      <c r="F4747" s="31" t="s">
        <v>31</v>
      </c>
      <c r="G4747" s="31">
        <v>137</v>
      </c>
      <c r="H4747" s="31">
        <v>10</v>
      </c>
      <c r="I4747" s="31">
        <v>28</v>
      </c>
      <c r="J4747" s="31" t="s">
        <v>17487</v>
      </c>
      <c r="K4747" s="31" t="s">
        <v>55</v>
      </c>
      <c r="L4747" s="31" t="s">
        <v>56</v>
      </c>
      <c r="M4747" s="31">
        <v>160</v>
      </c>
      <c r="N4747" s="31">
        <v>2017</v>
      </c>
      <c r="O4747" s="31">
        <v>68</v>
      </c>
      <c r="P4747" s="31"/>
      <c r="Q4747" s="31"/>
      <c r="R4747" s="33"/>
      <c r="S4747" s="34" t="str">
        <f>HYPERLINK("http://www.cnpol.ru/covers/17633.jpg","фото на сайте")</f>
        <v>фото на сайте</v>
      </c>
    </row>
    <row r="4748" spans="1:19" ht="50.1" customHeight="1">
      <c r="A4748" s="31" t="s">
        <v>35</v>
      </c>
      <c r="B4748" s="32" t="s">
        <v>17488</v>
      </c>
      <c r="C4748" s="31" t="s">
        <v>5510</v>
      </c>
      <c r="D4748" s="31" t="s">
        <v>5169</v>
      </c>
      <c r="E4748" s="31" t="s">
        <v>17489</v>
      </c>
      <c r="F4748" s="31" t="s">
        <v>31</v>
      </c>
      <c r="G4748" s="31">
        <v>258</v>
      </c>
      <c r="H4748" s="31">
        <v>10</v>
      </c>
      <c r="I4748" s="31">
        <v>12</v>
      </c>
      <c r="J4748" s="31" t="s">
        <v>17490</v>
      </c>
      <c r="K4748" s="31" t="s">
        <v>130</v>
      </c>
      <c r="L4748" s="31" t="s">
        <v>56</v>
      </c>
      <c r="M4748" s="31">
        <v>224</v>
      </c>
      <c r="N4748" s="31">
        <v>2024</v>
      </c>
      <c r="O4748" s="31">
        <v>134</v>
      </c>
      <c r="P4748" s="31"/>
      <c r="Q4748" s="31"/>
      <c r="R4748" s="33" t="s">
        <v>17491</v>
      </c>
      <c r="S4748" s="34" t="str">
        <f>HYPERLINK("http://www.cnpol.ru/covers/21261.jpg","фото на сайте")</f>
        <v>фото на сайте</v>
      </c>
    </row>
    <row r="4749" spans="1:19" ht="50.1" customHeight="1">
      <c r="A4749" s="31"/>
      <c r="B4749" s="32" t="s">
        <v>17492</v>
      </c>
      <c r="C4749" s="31" t="s">
        <v>683</v>
      </c>
      <c r="D4749" s="31" t="s">
        <v>684</v>
      </c>
      <c r="E4749" s="31" t="s">
        <v>17493</v>
      </c>
      <c r="F4749" s="31" t="s">
        <v>31</v>
      </c>
      <c r="G4749" s="31">
        <v>325</v>
      </c>
      <c r="H4749" s="31">
        <v>10</v>
      </c>
      <c r="I4749" s="31">
        <v>16</v>
      </c>
      <c r="J4749" s="31" t="s">
        <v>17494</v>
      </c>
      <c r="K4749" s="31" t="s">
        <v>158</v>
      </c>
      <c r="L4749" s="31" t="s">
        <v>34</v>
      </c>
      <c r="M4749" s="31">
        <v>254</v>
      </c>
      <c r="N4749" s="31">
        <v>2007</v>
      </c>
      <c r="O4749" s="31">
        <v>242</v>
      </c>
      <c r="P4749" s="31"/>
      <c r="Q4749" s="31"/>
      <c r="R4749" s="33"/>
      <c r="S4749" s="34" t="str">
        <f>HYPERLINK("http://www.cnpol.ru/covers/6341.jpg","фото на сайте")</f>
        <v>фото на сайте</v>
      </c>
    </row>
    <row r="4750" spans="1:19" ht="50.1" customHeight="1">
      <c r="A4750" s="31"/>
      <c r="B4750" s="32" t="s">
        <v>17495</v>
      </c>
      <c r="C4750" s="31" t="s">
        <v>528</v>
      </c>
      <c r="D4750" s="31" t="s">
        <v>529</v>
      </c>
      <c r="E4750" s="31" t="s">
        <v>17496</v>
      </c>
      <c r="F4750" s="31" t="s">
        <v>31</v>
      </c>
      <c r="G4750" s="31">
        <v>105</v>
      </c>
      <c r="H4750" s="31">
        <v>10</v>
      </c>
      <c r="I4750" s="31">
        <v>60</v>
      </c>
      <c r="J4750" s="31" t="s">
        <v>17497</v>
      </c>
      <c r="K4750" s="31" t="s">
        <v>55</v>
      </c>
      <c r="L4750" s="31" t="s">
        <v>56</v>
      </c>
      <c r="M4750" s="31">
        <v>126</v>
      </c>
      <c r="N4750" s="31">
        <v>2008</v>
      </c>
      <c r="O4750" s="31">
        <v>56</v>
      </c>
      <c r="P4750" s="31"/>
      <c r="Q4750" s="31"/>
      <c r="R4750" s="33"/>
      <c r="S4750" s="34" t="str">
        <f>HYPERLINK("http://www.cnpol.ru/covers/10822.jpg","фото на сайте")</f>
        <v>фото на сайте</v>
      </c>
    </row>
    <row r="4751" spans="1:19" ht="50.1" customHeight="1">
      <c r="A4751" s="31"/>
      <c r="B4751" s="32" t="s">
        <v>17498</v>
      </c>
      <c r="C4751" s="31" t="s">
        <v>528</v>
      </c>
      <c r="D4751" s="31" t="s">
        <v>529</v>
      </c>
      <c r="E4751" s="31" t="s">
        <v>17499</v>
      </c>
      <c r="F4751" s="31" t="s">
        <v>31</v>
      </c>
      <c r="G4751" s="31">
        <v>137</v>
      </c>
      <c r="H4751" s="31">
        <v>10</v>
      </c>
      <c r="I4751" s="31">
        <v>24</v>
      </c>
      <c r="J4751" s="31" t="s">
        <v>17500</v>
      </c>
      <c r="K4751" s="31" t="s">
        <v>55</v>
      </c>
      <c r="L4751" s="31" t="s">
        <v>56</v>
      </c>
      <c r="M4751" s="31">
        <v>160</v>
      </c>
      <c r="N4751" s="31">
        <v>2017</v>
      </c>
      <c r="O4751" s="31">
        <v>68</v>
      </c>
      <c r="P4751" s="31"/>
      <c r="Q4751" s="31"/>
      <c r="R4751" s="33"/>
      <c r="S4751" s="34" t="str">
        <f>HYPERLINK("http://www.cnpol.ru/covers/17867.jpg","фото на сайте")</f>
        <v>фото на сайте</v>
      </c>
    </row>
    <row r="4752" spans="1:19" ht="50.1" customHeight="1">
      <c r="A4752" s="31"/>
      <c r="B4752" s="32" t="s">
        <v>17501</v>
      </c>
      <c r="C4752" s="31" t="s">
        <v>390</v>
      </c>
      <c r="D4752" s="31" t="s">
        <v>1656</v>
      </c>
      <c r="E4752" s="31" t="s">
        <v>17502</v>
      </c>
      <c r="F4752" s="31">
        <v>594</v>
      </c>
      <c r="G4752" s="31">
        <v>86</v>
      </c>
      <c r="H4752" s="31">
        <v>10</v>
      </c>
      <c r="I4752" s="31">
        <v>30</v>
      </c>
      <c r="J4752" s="31" t="s">
        <v>17503</v>
      </c>
      <c r="K4752" s="31" t="s">
        <v>123</v>
      </c>
      <c r="L4752" s="31" t="s">
        <v>56</v>
      </c>
      <c r="M4752" s="31">
        <v>160</v>
      </c>
      <c r="N4752" s="31">
        <v>2016</v>
      </c>
      <c r="O4752" s="31">
        <v>76</v>
      </c>
      <c r="P4752" s="31"/>
      <c r="Q4752" s="31"/>
      <c r="R4752" s="33"/>
      <c r="S4752" s="34" t="str">
        <f>HYPERLINK("http://www.cnpol.ru/covers/16576.jpg","фото на сайте")</f>
        <v>фото на сайте</v>
      </c>
    </row>
    <row r="4753" spans="1:19" ht="50.1" customHeight="1">
      <c r="A4753" s="31"/>
      <c r="B4753" s="32" t="s">
        <v>17504</v>
      </c>
      <c r="C4753" s="31" t="s">
        <v>390</v>
      </c>
      <c r="D4753" s="31" t="s">
        <v>2645</v>
      </c>
      <c r="E4753" s="31" t="s">
        <v>17505</v>
      </c>
      <c r="F4753" s="31">
        <v>652</v>
      </c>
      <c r="G4753" s="31">
        <v>86</v>
      </c>
      <c r="H4753" s="31">
        <v>10</v>
      </c>
      <c r="I4753" s="31">
        <v>30</v>
      </c>
      <c r="J4753" s="31" t="s">
        <v>17506</v>
      </c>
      <c r="K4753" s="31" t="s">
        <v>123</v>
      </c>
      <c r="L4753" s="31" t="s">
        <v>56</v>
      </c>
      <c r="M4753" s="31">
        <v>160</v>
      </c>
      <c r="N4753" s="31">
        <v>2016</v>
      </c>
      <c r="O4753" s="31">
        <v>76</v>
      </c>
      <c r="P4753" s="31"/>
      <c r="Q4753" s="31"/>
      <c r="R4753" s="33"/>
      <c r="S4753" s="34" t="str">
        <f>HYPERLINK("http://www.cnpol.ru/covers/17014.jpg","фото на сайте")</f>
        <v>фото на сайте</v>
      </c>
    </row>
    <row r="4754" spans="1:19" ht="50.1" customHeight="1">
      <c r="A4754" s="31"/>
      <c r="B4754" s="32" t="s">
        <v>17507</v>
      </c>
      <c r="C4754" s="31" t="s">
        <v>546</v>
      </c>
      <c r="D4754" s="31" t="s">
        <v>1581</v>
      </c>
      <c r="E4754" s="31" t="s">
        <v>17508</v>
      </c>
      <c r="F4754" s="31">
        <v>253</v>
      </c>
      <c r="G4754" s="31">
        <v>93</v>
      </c>
      <c r="H4754" s="31">
        <v>10</v>
      </c>
      <c r="I4754" s="31">
        <v>30</v>
      </c>
      <c r="J4754" s="31" t="s">
        <v>17509</v>
      </c>
      <c r="K4754" s="31" t="s">
        <v>123</v>
      </c>
      <c r="L4754" s="31" t="s">
        <v>56</v>
      </c>
      <c r="M4754" s="31">
        <v>160</v>
      </c>
      <c r="N4754" s="31">
        <v>2018</v>
      </c>
      <c r="O4754" s="31">
        <v>76</v>
      </c>
      <c r="P4754" s="31"/>
      <c r="Q4754" s="31"/>
      <c r="R4754" s="33"/>
      <c r="S4754" s="34" t="str">
        <f>HYPERLINK("http://www.cnpol.ru/covers/17916.jpg","фото на сайте")</f>
        <v>фото на сайте</v>
      </c>
    </row>
    <row r="4755" spans="1:19" ht="50.1" customHeight="1">
      <c r="A4755" s="31"/>
      <c r="B4755" s="32" t="s">
        <v>17510</v>
      </c>
      <c r="C4755" s="31" t="s">
        <v>390</v>
      </c>
      <c r="D4755" s="31" t="s">
        <v>1347</v>
      </c>
      <c r="E4755" s="31" t="s">
        <v>17511</v>
      </c>
      <c r="F4755" s="31">
        <v>556</v>
      </c>
      <c r="G4755" s="31">
        <v>86</v>
      </c>
      <c r="H4755" s="31">
        <v>10</v>
      </c>
      <c r="I4755" s="31">
        <v>30</v>
      </c>
      <c r="J4755" s="31" t="s">
        <v>17512</v>
      </c>
      <c r="K4755" s="31" t="s">
        <v>123</v>
      </c>
      <c r="L4755" s="31" t="s">
        <v>56</v>
      </c>
      <c r="M4755" s="31">
        <v>158</v>
      </c>
      <c r="N4755" s="31">
        <v>2015</v>
      </c>
      <c r="O4755" s="31">
        <v>76</v>
      </c>
      <c r="P4755" s="31"/>
      <c r="Q4755" s="31"/>
      <c r="R4755" s="33"/>
      <c r="S4755" s="34" t="str">
        <f>HYPERLINK("http://www.cnpol.ru/covers/16280.jpg","фото на сайте")</f>
        <v>фото на сайте</v>
      </c>
    </row>
    <row r="4756" spans="1:19" ht="50.1" customHeight="1">
      <c r="A4756" s="31"/>
      <c r="B4756" s="32" t="s">
        <v>17513</v>
      </c>
      <c r="C4756" s="31" t="s">
        <v>390</v>
      </c>
      <c r="D4756" s="31" t="s">
        <v>17514</v>
      </c>
      <c r="E4756" s="31" t="s">
        <v>17515</v>
      </c>
      <c r="F4756" s="31">
        <v>473</v>
      </c>
      <c r="G4756" s="31">
        <v>86</v>
      </c>
      <c r="H4756" s="31">
        <v>10</v>
      </c>
      <c r="I4756" s="31">
        <v>30</v>
      </c>
      <c r="J4756" s="31" t="s">
        <v>17516</v>
      </c>
      <c r="K4756" s="31" t="s">
        <v>123</v>
      </c>
      <c r="L4756" s="31" t="s">
        <v>56</v>
      </c>
      <c r="M4756" s="31">
        <v>158</v>
      </c>
      <c r="N4756" s="31">
        <v>2014</v>
      </c>
      <c r="O4756" s="31">
        <v>76</v>
      </c>
      <c r="P4756" s="31"/>
      <c r="Q4756" s="31"/>
      <c r="R4756" s="33"/>
      <c r="S4756" s="34" t="str">
        <f>HYPERLINK("http://www.cnpol.ru/covers/15642.jpg","фото на сайте")</f>
        <v>фото на сайте</v>
      </c>
    </row>
    <row r="4757" spans="1:19" ht="50.1" customHeight="1">
      <c r="A4757" s="31"/>
      <c r="B4757" s="32" t="s">
        <v>17517</v>
      </c>
      <c r="C4757" s="31" t="s">
        <v>413</v>
      </c>
      <c r="D4757" s="31" t="s">
        <v>1427</v>
      </c>
      <c r="E4757" s="31" t="s">
        <v>17518</v>
      </c>
      <c r="F4757" s="31">
        <v>155</v>
      </c>
      <c r="G4757" s="31">
        <v>117</v>
      </c>
      <c r="H4757" s="31">
        <v>10</v>
      </c>
      <c r="I4757" s="31">
        <v>36</v>
      </c>
      <c r="J4757" s="31" t="s">
        <v>17519</v>
      </c>
      <c r="K4757" s="31" t="s">
        <v>123</v>
      </c>
      <c r="L4757" s="31" t="s">
        <v>56</v>
      </c>
      <c r="M4757" s="31">
        <v>192</v>
      </c>
      <c r="N4757" s="31">
        <v>2018</v>
      </c>
      <c r="O4757" s="31">
        <v>90</v>
      </c>
      <c r="P4757" s="31"/>
      <c r="Q4757" s="31"/>
      <c r="R4757" s="33"/>
      <c r="S4757" s="34" t="str">
        <f>HYPERLINK("http://www.cnpol.ru/covers/18181.jpg","фото на сайте")</f>
        <v>фото на сайте</v>
      </c>
    </row>
    <row r="4758" spans="1:19" ht="50.1" customHeight="1">
      <c r="A4758" s="31"/>
      <c r="B4758" s="32" t="s">
        <v>17520</v>
      </c>
      <c r="C4758" s="31" t="s">
        <v>390</v>
      </c>
      <c r="D4758" s="31" t="s">
        <v>10788</v>
      </c>
      <c r="E4758" s="31" t="s">
        <v>17521</v>
      </c>
      <c r="F4758" s="31">
        <v>371</v>
      </c>
      <c r="G4758" s="31">
        <v>86</v>
      </c>
      <c r="H4758" s="31">
        <v>10</v>
      </c>
      <c r="I4758" s="31">
        <v>30</v>
      </c>
      <c r="J4758" s="31" t="s">
        <v>17522</v>
      </c>
      <c r="K4758" s="31" t="s">
        <v>123</v>
      </c>
      <c r="L4758" s="31" t="s">
        <v>56</v>
      </c>
      <c r="M4758" s="31">
        <v>158</v>
      </c>
      <c r="N4758" s="31">
        <v>2014</v>
      </c>
      <c r="O4758" s="31">
        <v>76</v>
      </c>
      <c r="P4758" s="31"/>
      <c r="Q4758" s="31"/>
      <c r="R4758" s="33"/>
      <c r="S4758" s="34" t="str">
        <f>HYPERLINK("http://www.cnpol.ru/covers/14746.jpg","фото на сайте")</f>
        <v>фото на сайте</v>
      </c>
    </row>
    <row r="4759" spans="1:19" ht="50.1" customHeight="1">
      <c r="A4759" s="31"/>
      <c r="B4759" s="32" t="s">
        <v>17523</v>
      </c>
      <c r="C4759" s="31" t="s">
        <v>37</v>
      </c>
      <c r="D4759" s="31" t="s">
        <v>17524</v>
      </c>
      <c r="E4759" s="31" t="s">
        <v>17525</v>
      </c>
      <c r="F4759" s="31" t="s">
        <v>31</v>
      </c>
      <c r="G4759" s="31">
        <v>559</v>
      </c>
      <c r="H4759" s="31">
        <v>10</v>
      </c>
      <c r="I4759" s="31">
        <v>12</v>
      </c>
      <c r="J4759" s="31" t="s">
        <v>17526</v>
      </c>
      <c r="K4759" s="31" t="s">
        <v>33</v>
      </c>
      <c r="L4759" s="31" t="s">
        <v>34</v>
      </c>
      <c r="M4759" s="31">
        <v>384</v>
      </c>
      <c r="N4759" s="31">
        <v>2018</v>
      </c>
      <c r="O4759" s="31">
        <v>316</v>
      </c>
      <c r="P4759" s="31"/>
      <c r="Q4759" s="31"/>
      <c r="R4759" s="33"/>
      <c r="S4759" s="34" t="str">
        <f>HYPERLINK("http://www.cnpol.ru/covers/18290.jpg","фото на сайте")</f>
        <v>фото на сайте</v>
      </c>
    </row>
    <row r="4760" spans="1:19" ht="50.1" customHeight="1">
      <c r="A4760" s="31"/>
      <c r="B4760" s="32" t="s">
        <v>17527</v>
      </c>
      <c r="C4760" s="31" t="s">
        <v>741</v>
      </c>
      <c r="D4760" s="31" t="s">
        <v>742</v>
      </c>
      <c r="E4760" s="31" t="s">
        <v>17528</v>
      </c>
      <c r="F4760" s="31" t="s">
        <v>31</v>
      </c>
      <c r="G4760" s="35">
        <v>1194</v>
      </c>
      <c r="H4760" s="31">
        <v>10</v>
      </c>
      <c r="I4760" s="31">
        <v>4</v>
      </c>
      <c r="J4760" s="31" t="s">
        <v>17529</v>
      </c>
      <c r="K4760" s="31" t="s">
        <v>41</v>
      </c>
      <c r="L4760" s="31" t="s">
        <v>34</v>
      </c>
      <c r="M4760" s="31">
        <v>736</v>
      </c>
      <c r="N4760" s="31">
        <v>2019</v>
      </c>
      <c r="O4760" s="31">
        <v>794</v>
      </c>
      <c r="P4760" s="31"/>
      <c r="Q4760" s="31"/>
      <c r="R4760" s="33"/>
      <c r="S4760" s="34" t="str">
        <f>HYPERLINK("http://www.cnpol.ru/covers/18574.jpg","фото на сайте")</f>
        <v>фото на сайте</v>
      </c>
    </row>
    <row r="4761" spans="1:19" ht="50.1" customHeight="1">
      <c r="A4761" s="31"/>
      <c r="B4761" s="32" t="s">
        <v>17530</v>
      </c>
      <c r="C4761" s="31" t="s">
        <v>1016</v>
      </c>
      <c r="D4761" s="31" t="s">
        <v>2389</v>
      </c>
      <c r="E4761" s="31" t="s">
        <v>17531</v>
      </c>
      <c r="F4761" s="31" t="s">
        <v>31</v>
      </c>
      <c r="G4761" s="31">
        <v>917</v>
      </c>
      <c r="H4761" s="31">
        <v>10</v>
      </c>
      <c r="I4761" s="31">
        <v>12</v>
      </c>
      <c r="J4761" s="31" t="s">
        <v>17532</v>
      </c>
      <c r="K4761" s="31" t="s">
        <v>33</v>
      </c>
      <c r="L4761" s="31" t="s">
        <v>34</v>
      </c>
      <c r="M4761" s="31">
        <v>320</v>
      </c>
      <c r="N4761" s="31">
        <v>2023</v>
      </c>
      <c r="O4761" s="31">
        <v>364</v>
      </c>
      <c r="P4761" s="31"/>
      <c r="Q4761" s="31"/>
      <c r="R4761" s="33" t="s">
        <v>17533</v>
      </c>
      <c r="S4761" s="34" t="str">
        <f>HYPERLINK("http://www.cnpol.ru/covers/20864.jpg","фото на сайте")</f>
        <v>фото на сайте</v>
      </c>
    </row>
    <row r="4762" spans="1:19" ht="50.1" customHeight="1">
      <c r="A4762" s="31" t="s">
        <v>43</v>
      </c>
      <c r="B4762" s="32" t="s">
        <v>17534</v>
      </c>
      <c r="C4762" s="31" t="s">
        <v>143</v>
      </c>
      <c r="D4762" s="31" t="s">
        <v>3293</v>
      </c>
      <c r="E4762" s="31" t="s">
        <v>17535</v>
      </c>
      <c r="F4762" s="31" t="s">
        <v>31</v>
      </c>
      <c r="G4762" s="35">
        <v>1826</v>
      </c>
      <c r="H4762" s="31">
        <v>10</v>
      </c>
      <c r="I4762" s="31">
        <v>10</v>
      </c>
      <c r="J4762" s="31" t="s">
        <v>17536</v>
      </c>
      <c r="K4762" s="31" t="s">
        <v>33</v>
      </c>
      <c r="L4762" s="31" t="s">
        <v>34</v>
      </c>
      <c r="M4762" s="31">
        <v>382</v>
      </c>
      <c r="N4762" s="31">
        <v>2025</v>
      </c>
      <c r="O4762" s="31">
        <v>325</v>
      </c>
      <c r="P4762" s="31"/>
      <c r="Q4762" s="31"/>
      <c r="R4762" s="33" t="s">
        <v>17537</v>
      </c>
      <c r="S4762" s="34" t="str">
        <f>HYPERLINK("http://www.cnpol.ru/covers/21408.jpg","фото на сайте")</f>
        <v>фото на сайте</v>
      </c>
    </row>
    <row r="4763" spans="1:19" ht="50.1" customHeight="1">
      <c r="A4763" s="31" t="s">
        <v>35</v>
      </c>
      <c r="B4763" s="32" t="s">
        <v>17538</v>
      </c>
      <c r="C4763" s="31" t="s">
        <v>37</v>
      </c>
      <c r="D4763" s="31" t="s">
        <v>14700</v>
      </c>
      <c r="E4763" s="31" t="s">
        <v>17539</v>
      </c>
      <c r="F4763" s="31" t="s">
        <v>31</v>
      </c>
      <c r="G4763" s="31">
        <v>953</v>
      </c>
      <c r="H4763" s="31">
        <v>10</v>
      </c>
      <c r="I4763" s="31">
        <v>12</v>
      </c>
      <c r="J4763" s="31" t="s">
        <v>17540</v>
      </c>
      <c r="K4763" s="31" t="s">
        <v>33</v>
      </c>
      <c r="L4763" s="31" t="s">
        <v>34</v>
      </c>
      <c r="M4763" s="31">
        <v>318</v>
      </c>
      <c r="N4763" s="31">
        <v>2025</v>
      </c>
      <c r="O4763" s="31">
        <v>392</v>
      </c>
      <c r="P4763" s="31"/>
      <c r="Q4763" s="31"/>
      <c r="R4763" s="33" t="s">
        <v>17541</v>
      </c>
      <c r="S4763" s="34" t="str">
        <f>HYPERLINK("http://www.cnpol.ru/covers/21684.jpg","фото на сайте")</f>
        <v>фото на сайте</v>
      </c>
    </row>
    <row r="4764" spans="1:19" ht="50.1" customHeight="1">
      <c r="A4764" s="31" t="s">
        <v>43</v>
      </c>
      <c r="B4764" s="32" t="s">
        <v>17542</v>
      </c>
      <c r="C4764" s="31" t="s">
        <v>37</v>
      </c>
      <c r="D4764" s="31" t="s">
        <v>6022</v>
      </c>
      <c r="E4764" s="31" t="s">
        <v>17543</v>
      </c>
      <c r="F4764" s="31" t="s">
        <v>31</v>
      </c>
      <c r="G4764" s="35">
        <v>1046</v>
      </c>
      <c r="H4764" s="31">
        <v>10</v>
      </c>
      <c r="I4764" s="31">
        <v>5</v>
      </c>
      <c r="J4764" s="31" t="s">
        <v>17544</v>
      </c>
      <c r="K4764" s="31" t="s">
        <v>33</v>
      </c>
      <c r="L4764" s="31" t="s">
        <v>34</v>
      </c>
      <c r="M4764" s="31">
        <v>397</v>
      </c>
      <c r="N4764" s="31">
        <v>2025</v>
      </c>
      <c r="O4764" s="31">
        <v>367</v>
      </c>
      <c r="P4764" s="31"/>
      <c r="Q4764" s="31"/>
      <c r="R4764" s="33" t="s">
        <v>17545</v>
      </c>
      <c r="S4764" s="34" t="str">
        <f>HYPERLINK("http://www.cnpol.ru/covers/21727.jpg","фото на сайте")</f>
        <v>фото на сайте</v>
      </c>
    </row>
    <row r="4765" spans="1:19" ht="50.1" customHeight="1">
      <c r="A4765" s="31"/>
      <c r="B4765" s="32" t="s">
        <v>17546</v>
      </c>
      <c r="C4765" s="31" t="s">
        <v>528</v>
      </c>
      <c r="D4765" s="31" t="s">
        <v>529</v>
      </c>
      <c r="E4765" s="31" t="s">
        <v>17547</v>
      </c>
      <c r="F4765" s="31" t="s">
        <v>31</v>
      </c>
      <c r="G4765" s="31">
        <v>137</v>
      </c>
      <c r="H4765" s="31">
        <v>10</v>
      </c>
      <c r="I4765" s="31">
        <v>20</v>
      </c>
      <c r="J4765" s="31" t="s">
        <v>17548</v>
      </c>
      <c r="K4765" s="31" t="s">
        <v>55</v>
      </c>
      <c r="L4765" s="31" t="s">
        <v>56</v>
      </c>
      <c r="M4765" s="31">
        <v>160</v>
      </c>
      <c r="N4765" s="31">
        <v>2016</v>
      </c>
      <c r="O4765" s="31">
        <v>68</v>
      </c>
      <c r="P4765" s="31"/>
      <c r="Q4765" s="31"/>
      <c r="R4765" s="33"/>
      <c r="S4765" s="34" t="str">
        <f>HYPERLINK("http://www.cnpol.ru/covers/16390.jpg","фото на сайте")</f>
        <v>фото на сайте</v>
      </c>
    </row>
    <row r="4766" spans="1:19" ht="50.1" customHeight="1">
      <c r="A4766" s="31"/>
      <c r="B4766" s="32" t="s">
        <v>17549</v>
      </c>
      <c r="C4766" s="31" t="s">
        <v>400</v>
      </c>
      <c r="D4766" s="31" t="s">
        <v>17550</v>
      </c>
      <c r="E4766" s="31" t="s">
        <v>17551</v>
      </c>
      <c r="F4766" s="31" t="s">
        <v>31</v>
      </c>
      <c r="G4766" s="31">
        <v>503</v>
      </c>
      <c r="H4766" s="31">
        <v>10</v>
      </c>
      <c r="I4766" s="31">
        <v>14</v>
      </c>
      <c r="J4766" s="31" t="s">
        <v>17552</v>
      </c>
      <c r="K4766" s="31" t="s">
        <v>33</v>
      </c>
      <c r="L4766" s="31" t="s">
        <v>34</v>
      </c>
      <c r="M4766" s="31">
        <v>288</v>
      </c>
      <c r="N4766" s="31">
        <v>2020</v>
      </c>
      <c r="O4766" s="31">
        <v>258</v>
      </c>
      <c r="P4766" s="31"/>
      <c r="Q4766" s="31"/>
      <c r="R4766" s="33"/>
      <c r="S4766" s="34" t="str">
        <f>HYPERLINK("http://www.cnpol.ru/covers/19435.jpg","фото на сайте")</f>
        <v>фото на сайте</v>
      </c>
    </row>
    <row r="4767" spans="1:19" ht="50.1" customHeight="1">
      <c r="A4767" s="31"/>
      <c r="B4767" s="32" t="s">
        <v>17553</v>
      </c>
      <c r="C4767" s="31" t="s">
        <v>37</v>
      </c>
      <c r="D4767" s="31" t="s">
        <v>17096</v>
      </c>
      <c r="E4767" s="31" t="s">
        <v>17554</v>
      </c>
      <c r="F4767" s="31" t="s">
        <v>31</v>
      </c>
      <c r="G4767" s="35">
        <v>1681</v>
      </c>
      <c r="H4767" s="31">
        <v>10</v>
      </c>
      <c r="I4767" s="31">
        <v>6</v>
      </c>
      <c r="J4767" s="31" t="s">
        <v>17555</v>
      </c>
      <c r="K4767" s="31" t="s">
        <v>41</v>
      </c>
      <c r="L4767" s="31" t="s">
        <v>34</v>
      </c>
      <c r="M4767" s="31">
        <v>719</v>
      </c>
      <c r="N4767" s="31">
        <v>2024</v>
      </c>
      <c r="O4767" s="31">
        <v>810</v>
      </c>
      <c r="P4767" s="31"/>
      <c r="Q4767" s="31"/>
      <c r="R4767" s="33" t="s">
        <v>17556</v>
      </c>
      <c r="S4767" s="34" t="str">
        <f>HYPERLINK("http://www.cnpol.ru/covers/20970.jpg","фото на сайте")</f>
        <v>фото на сайте</v>
      </c>
    </row>
    <row r="4768" spans="1:19" ht="50.1" customHeight="1">
      <c r="A4768" s="31" t="s">
        <v>35</v>
      </c>
      <c r="B4768" s="32" t="s">
        <v>17557</v>
      </c>
      <c r="C4768" s="31" t="s">
        <v>1540</v>
      </c>
      <c r="D4768" s="31" t="s">
        <v>3316</v>
      </c>
      <c r="E4768" s="31" t="s">
        <v>17558</v>
      </c>
      <c r="F4768" s="31" t="s">
        <v>31</v>
      </c>
      <c r="G4768" s="35">
        <v>1107</v>
      </c>
      <c r="H4768" s="31">
        <v>10</v>
      </c>
      <c r="I4768" s="31">
        <v>5</v>
      </c>
      <c r="J4768" s="31" t="s">
        <v>17559</v>
      </c>
      <c r="K4768" s="31" t="s">
        <v>33</v>
      </c>
      <c r="L4768" s="31" t="s">
        <v>34</v>
      </c>
      <c r="M4768" s="31">
        <v>428</v>
      </c>
      <c r="N4768" s="31">
        <v>2025</v>
      </c>
      <c r="O4768" s="31">
        <v>474</v>
      </c>
      <c r="P4768" s="31"/>
      <c r="Q4768" s="31"/>
      <c r="R4768" s="33" t="s">
        <v>17560</v>
      </c>
      <c r="S4768" s="34" t="str">
        <f>HYPERLINK("http://www.cnpol.ru/covers/21561.jpg","фото на сайте")</f>
        <v>фото на сайте</v>
      </c>
    </row>
    <row r="4769" spans="1:19" ht="50.1" customHeight="1">
      <c r="A4769" s="31"/>
      <c r="B4769" s="32" t="s">
        <v>17561</v>
      </c>
      <c r="C4769" s="31" t="s">
        <v>390</v>
      </c>
      <c r="D4769" s="31" t="s">
        <v>653</v>
      </c>
      <c r="E4769" s="31" t="s">
        <v>17562</v>
      </c>
      <c r="F4769" s="31">
        <v>881</v>
      </c>
      <c r="G4769" s="31">
        <v>86</v>
      </c>
      <c r="H4769" s="31">
        <v>10</v>
      </c>
      <c r="I4769" s="31">
        <v>30</v>
      </c>
      <c r="J4769" s="31" t="s">
        <v>17563</v>
      </c>
      <c r="K4769" s="31" t="s">
        <v>123</v>
      </c>
      <c r="L4769" s="31" t="s">
        <v>56</v>
      </c>
      <c r="M4769" s="31">
        <v>160</v>
      </c>
      <c r="N4769" s="31">
        <v>2019</v>
      </c>
      <c r="O4769" s="31">
        <v>76</v>
      </c>
      <c r="P4769" s="31"/>
      <c r="Q4769" s="31"/>
      <c r="R4769" s="33"/>
      <c r="S4769" s="34" t="str">
        <f>HYPERLINK("http://www.cnpol.ru/covers/18578.jpg","фото на сайте")</f>
        <v>фото на сайте</v>
      </c>
    </row>
    <row r="4770" spans="1:19" ht="50.1" customHeight="1">
      <c r="A4770" s="31"/>
      <c r="B4770" s="32" t="s">
        <v>17564</v>
      </c>
      <c r="C4770" s="31" t="s">
        <v>546</v>
      </c>
      <c r="D4770" s="31" t="s">
        <v>765</v>
      </c>
      <c r="E4770" s="31" t="s">
        <v>17565</v>
      </c>
      <c r="F4770" s="31">
        <v>343</v>
      </c>
      <c r="G4770" s="31">
        <v>93</v>
      </c>
      <c r="H4770" s="31">
        <v>10</v>
      </c>
      <c r="I4770" s="31">
        <v>30</v>
      </c>
      <c r="J4770" s="31" t="s">
        <v>17566</v>
      </c>
      <c r="K4770" s="31" t="s">
        <v>123</v>
      </c>
      <c r="L4770" s="31" t="s">
        <v>56</v>
      </c>
      <c r="M4770" s="31">
        <v>160</v>
      </c>
      <c r="N4770" s="31">
        <v>2020</v>
      </c>
      <c r="O4770" s="31">
        <v>76</v>
      </c>
      <c r="P4770" s="31"/>
      <c r="Q4770" s="31"/>
      <c r="R4770" s="33"/>
      <c r="S4770" s="34" t="str">
        <f>HYPERLINK("http://www.cnpol.ru/covers/19090.jpg","фото на сайте")</f>
        <v>фото на сайте</v>
      </c>
    </row>
    <row r="4771" spans="1:19" ht="50.1" customHeight="1">
      <c r="A4771" s="31"/>
      <c r="B4771" s="32" t="s">
        <v>17567</v>
      </c>
      <c r="C4771" s="31" t="s">
        <v>464</v>
      </c>
      <c r="D4771" s="31" t="s">
        <v>12120</v>
      </c>
      <c r="E4771" s="31" t="s">
        <v>17568</v>
      </c>
      <c r="F4771" s="31" t="s">
        <v>31</v>
      </c>
      <c r="G4771" s="31">
        <v>137</v>
      </c>
      <c r="H4771" s="31">
        <v>10</v>
      </c>
      <c r="I4771" s="31">
        <v>50</v>
      </c>
      <c r="J4771" s="31" t="s">
        <v>17569</v>
      </c>
      <c r="K4771" s="31" t="s">
        <v>468</v>
      </c>
      <c r="L4771" s="31" t="s">
        <v>56</v>
      </c>
      <c r="M4771" s="31">
        <v>18</v>
      </c>
      <c r="N4771" s="31">
        <v>2005</v>
      </c>
      <c r="O4771" s="31">
        <v>88</v>
      </c>
      <c r="P4771" s="31"/>
      <c r="Q4771" s="31"/>
      <c r="R4771" s="33"/>
      <c r="S4771" s="34" t="str">
        <f>HYPERLINK("http://www.cnpol.ru/covers/5842.jpg","фото на сайте")</f>
        <v>фото на сайте</v>
      </c>
    </row>
    <row r="4772" spans="1:19" ht="50.1" customHeight="1">
      <c r="A4772" s="31"/>
      <c r="B4772" s="32" t="s">
        <v>17570</v>
      </c>
      <c r="C4772" s="31" t="s">
        <v>400</v>
      </c>
      <c r="D4772" s="31" t="s">
        <v>10296</v>
      </c>
      <c r="E4772" s="31" t="s">
        <v>17571</v>
      </c>
      <c r="F4772" s="31" t="s">
        <v>31</v>
      </c>
      <c r="G4772" s="31">
        <v>503</v>
      </c>
      <c r="H4772" s="31">
        <v>10</v>
      </c>
      <c r="I4772" s="31">
        <v>14</v>
      </c>
      <c r="J4772" s="31" t="s">
        <v>17572</v>
      </c>
      <c r="K4772" s="31" t="s">
        <v>33</v>
      </c>
      <c r="L4772" s="31" t="s">
        <v>34</v>
      </c>
      <c r="M4772" s="31">
        <v>288</v>
      </c>
      <c r="N4772" s="31">
        <v>2020</v>
      </c>
      <c r="O4772" s="31">
        <v>258</v>
      </c>
      <c r="P4772" s="31"/>
      <c r="Q4772" s="31"/>
      <c r="R4772" s="33"/>
      <c r="S4772" s="34" t="str">
        <f>HYPERLINK("http://www.cnpol.ru/covers/19098.jpg","фото на сайте")</f>
        <v>фото на сайте</v>
      </c>
    </row>
    <row r="4773" spans="1:19" ht="50.1" customHeight="1">
      <c r="A4773" s="31"/>
      <c r="B4773" s="32" t="s">
        <v>17573</v>
      </c>
      <c r="C4773" s="31" t="s">
        <v>395</v>
      </c>
      <c r="D4773" s="31" t="s">
        <v>1954</v>
      </c>
      <c r="E4773" s="31" t="s">
        <v>17574</v>
      </c>
      <c r="F4773" s="31" t="s">
        <v>31</v>
      </c>
      <c r="G4773" s="31">
        <v>290</v>
      </c>
      <c r="H4773" s="31">
        <v>10</v>
      </c>
      <c r="I4773" s="31">
        <v>14</v>
      </c>
      <c r="J4773" s="31" t="s">
        <v>17575</v>
      </c>
      <c r="K4773" s="31" t="s">
        <v>33</v>
      </c>
      <c r="L4773" s="31" t="s">
        <v>34</v>
      </c>
      <c r="M4773" s="31">
        <v>351</v>
      </c>
      <c r="N4773" s="31">
        <v>2005</v>
      </c>
      <c r="O4773" s="31">
        <v>300</v>
      </c>
      <c r="P4773" s="31"/>
      <c r="Q4773" s="31"/>
      <c r="R4773" s="33"/>
      <c r="S4773" s="34" t="str">
        <f>HYPERLINK("http://www.cnpol.ru/covers/5437.jpg","фото на сайте")</f>
        <v>фото на сайте</v>
      </c>
    </row>
    <row r="4774" spans="1:19" ht="50.1" customHeight="1">
      <c r="A4774" s="31"/>
      <c r="B4774" s="32" t="s">
        <v>17576</v>
      </c>
      <c r="C4774" s="31" t="s">
        <v>975</v>
      </c>
      <c r="D4774" s="31" t="s">
        <v>1954</v>
      </c>
      <c r="E4774" s="31" t="s">
        <v>17574</v>
      </c>
      <c r="F4774" s="31" t="s">
        <v>31</v>
      </c>
      <c r="G4774" s="31">
        <v>154</v>
      </c>
      <c r="H4774" s="31">
        <v>10</v>
      </c>
      <c r="I4774" s="31">
        <v>16</v>
      </c>
      <c r="J4774" s="31" t="s">
        <v>17577</v>
      </c>
      <c r="K4774" s="31" t="s">
        <v>55</v>
      </c>
      <c r="L4774" s="31" t="s">
        <v>56</v>
      </c>
      <c r="M4774" s="31">
        <v>414</v>
      </c>
      <c r="N4774" s="31">
        <v>2005</v>
      </c>
      <c r="O4774" s="31">
        <v>170</v>
      </c>
      <c r="P4774" s="31"/>
      <c r="Q4774" s="31"/>
      <c r="R4774" s="33"/>
      <c r="S4774" s="34" t="str">
        <f>HYPERLINK("http://www.cnpol.ru/covers/6128.jpg","фото на сайте")</f>
        <v>фото на сайте</v>
      </c>
    </row>
    <row r="4775" spans="1:19" ht="50.1" customHeight="1">
      <c r="A4775" s="31"/>
      <c r="B4775" s="32" t="s">
        <v>17578</v>
      </c>
      <c r="C4775" s="31" t="s">
        <v>546</v>
      </c>
      <c r="D4775" s="31" t="s">
        <v>1698</v>
      </c>
      <c r="E4775" s="31" t="s">
        <v>17579</v>
      </c>
      <c r="F4775" s="31">
        <v>390</v>
      </c>
      <c r="G4775" s="31">
        <v>93</v>
      </c>
      <c r="H4775" s="31">
        <v>10</v>
      </c>
      <c r="I4775" s="31">
        <v>30</v>
      </c>
      <c r="J4775" s="31" t="s">
        <v>17580</v>
      </c>
      <c r="K4775" s="31" t="s">
        <v>123</v>
      </c>
      <c r="L4775" s="31" t="s">
        <v>56</v>
      </c>
      <c r="M4775" s="31">
        <v>159</v>
      </c>
      <c r="N4775" s="31">
        <v>2021</v>
      </c>
      <c r="O4775" s="31">
        <v>76</v>
      </c>
      <c r="P4775" s="31"/>
      <c r="Q4775" s="31"/>
      <c r="R4775" s="33"/>
      <c r="S4775" s="34" t="str">
        <f>HYPERLINK("http://www.cnpol.ru/covers/19929.jpg","фото на сайте")</f>
        <v>фото на сайте</v>
      </c>
    </row>
    <row r="4776" spans="1:19" ht="50.1" customHeight="1">
      <c r="A4776" s="31"/>
      <c r="B4776" s="32" t="s">
        <v>17581</v>
      </c>
      <c r="C4776" s="31" t="s">
        <v>413</v>
      </c>
      <c r="D4776" s="31" t="s">
        <v>1628</v>
      </c>
      <c r="E4776" s="31" t="s">
        <v>17582</v>
      </c>
      <c r="F4776" s="31">
        <v>99</v>
      </c>
      <c r="G4776" s="31">
        <v>117</v>
      </c>
      <c r="H4776" s="31">
        <v>10</v>
      </c>
      <c r="I4776" s="31">
        <v>36</v>
      </c>
      <c r="J4776" s="31" t="s">
        <v>17583</v>
      </c>
      <c r="K4776" s="31" t="s">
        <v>123</v>
      </c>
      <c r="L4776" s="31" t="s">
        <v>56</v>
      </c>
      <c r="M4776" s="31">
        <v>192</v>
      </c>
      <c r="N4776" s="31">
        <v>2016</v>
      </c>
      <c r="O4776" s="31">
        <v>90</v>
      </c>
      <c r="P4776" s="31"/>
      <c r="Q4776" s="31"/>
      <c r="R4776" s="33"/>
      <c r="S4776" s="34" t="str">
        <f>HYPERLINK("http://www.cnpol.ru/covers/16668.jpg","фото на сайте")</f>
        <v>фото на сайте</v>
      </c>
    </row>
    <row r="4777" spans="1:19" ht="50.1" customHeight="1">
      <c r="A4777" s="31"/>
      <c r="B4777" s="32" t="s">
        <v>17584</v>
      </c>
      <c r="C4777" s="31" t="s">
        <v>563</v>
      </c>
      <c r="D4777" s="31" t="s">
        <v>564</v>
      </c>
      <c r="E4777" s="31" t="s">
        <v>17585</v>
      </c>
      <c r="F4777" s="31" t="s">
        <v>31</v>
      </c>
      <c r="G4777" s="31">
        <v>194</v>
      </c>
      <c r="H4777" s="31">
        <v>10</v>
      </c>
      <c r="I4777" s="31">
        <v>40</v>
      </c>
      <c r="J4777" s="31" t="s">
        <v>17586</v>
      </c>
      <c r="K4777" s="31" t="s">
        <v>130</v>
      </c>
      <c r="L4777" s="31" t="s">
        <v>56</v>
      </c>
      <c r="M4777" s="31">
        <v>143</v>
      </c>
      <c r="N4777" s="31">
        <v>2005</v>
      </c>
      <c r="O4777" s="31">
        <v>92</v>
      </c>
      <c r="P4777" s="31"/>
      <c r="Q4777" s="31"/>
      <c r="R4777" s="33"/>
      <c r="S4777" s="34" t="str">
        <f>HYPERLINK("http://www.cnpol.ru/covers/5927.jpg","фото на сайте")</f>
        <v>фото на сайте</v>
      </c>
    </row>
    <row r="4778" spans="1:19" ht="50.1" customHeight="1">
      <c r="A4778" s="31"/>
      <c r="B4778" s="32" t="s">
        <v>17587</v>
      </c>
      <c r="C4778" s="31" t="s">
        <v>4065</v>
      </c>
      <c r="D4778" s="31" t="s">
        <v>17588</v>
      </c>
      <c r="E4778" s="31" t="s">
        <v>17585</v>
      </c>
      <c r="F4778" s="31" t="s">
        <v>31</v>
      </c>
      <c r="G4778" s="31">
        <v>111</v>
      </c>
      <c r="H4778" s="31">
        <v>10</v>
      </c>
      <c r="I4778" s="31">
        <v>14</v>
      </c>
      <c r="J4778" s="31" t="s">
        <v>17589</v>
      </c>
      <c r="K4778" s="31" t="s">
        <v>33</v>
      </c>
      <c r="L4778" s="31" t="s">
        <v>34</v>
      </c>
      <c r="M4778" s="31" t="s">
        <v>431</v>
      </c>
      <c r="N4778" s="31" t="s">
        <v>431</v>
      </c>
      <c r="O4778" s="31" t="s">
        <v>220</v>
      </c>
      <c r="P4778" s="31"/>
      <c r="Q4778" s="31"/>
      <c r="R4778" s="33"/>
      <c r="S4778" s="34" t="str">
        <f>HYPERLINK("http://www.cnpol.ru/covers/2603.jpg","фото на сайте")</f>
        <v>фото на сайте</v>
      </c>
    </row>
    <row r="4779" spans="1:19" ht="50.1" customHeight="1">
      <c r="A4779" s="31"/>
      <c r="B4779" s="32" t="s">
        <v>17590</v>
      </c>
      <c r="C4779" s="31" t="s">
        <v>4065</v>
      </c>
      <c r="D4779" s="31" t="s">
        <v>17588</v>
      </c>
      <c r="E4779" s="31" t="s">
        <v>17585</v>
      </c>
      <c r="F4779" s="31" t="s">
        <v>31</v>
      </c>
      <c r="G4779" s="31">
        <v>272</v>
      </c>
      <c r="H4779" s="31">
        <v>10</v>
      </c>
      <c r="I4779" s="31">
        <v>14</v>
      </c>
      <c r="J4779" s="31" t="s">
        <v>17589</v>
      </c>
      <c r="K4779" s="31" t="s">
        <v>33</v>
      </c>
      <c r="L4779" s="31" t="s">
        <v>34</v>
      </c>
      <c r="M4779" s="31">
        <v>218</v>
      </c>
      <c r="N4779" s="31">
        <v>2003</v>
      </c>
      <c r="O4779" s="31">
        <v>214</v>
      </c>
      <c r="P4779" s="31"/>
      <c r="Q4779" s="31"/>
      <c r="R4779" s="33"/>
      <c r="S4779" s="34" t="str">
        <f>HYPERLINK("http://www.cnpol.ru/covers/4297.jpg","фото на сайте")</f>
        <v>фото на сайте</v>
      </c>
    </row>
    <row r="4780" spans="1:19" ht="50.1" customHeight="1">
      <c r="A4780" s="31"/>
      <c r="B4780" s="32" t="s">
        <v>17591</v>
      </c>
      <c r="C4780" s="31" t="s">
        <v>37</v>
      </c>
      <c r="D4780" s="31" t="s">
        <v>17592</v>
      </c>
      <c r="E4780" s="31" t="s">
        <v>17593</v>
      </c>
      <c r="F4780" s="31" t="s">
        <v>31</v>
      </c>
      <c r="G4780" s="35">
        <v>1809</v>
      </c>
      <c r="H4780" s="31">
        <v>10</v>
      </c>
      <c r="I4780" s="31">
        <v>8</v>
      </c>
      <c r="J4780" s="31" t="s">
        <v>17594</v>
      </c>
      <c r="K4780" s="31" t="s">
        <v>147</v>
      </c>
      <c r="L4780" s="31" t="s">
        <v>34</v>
      </c>
      <c r="M4780" s="31">
        <v>511</v>
      </c>
      <c r="N4780" s="31">
        <v>2023</v>
      </c>
      <c r="O4780" s="31">
        <v>836</v>
      </c>
      <c r="P4780" s="31"/>
      <c r="Q4780" s="31"/>
      <c r="R4780" s="33" t="s">
        <v>17595</v>
      </c>
      <c r="S4780" s="34" t="str">
        <f>HYPERLINK("http://www.cnpol.ru/covers/20912.jpg","фото на сайте")</f>
        <v>фото на сайте</v>
      </c>
    </row>
    <row r="4781" spans="1:19" ht="50.1" customHeight="1">
      <c r="A4781" s="31"/>
      <c r="B4781" s="32" t="s">
        <v>17596</v>
      </c>
      <c r="C4781" s="31" t="s">
        <v>413</v>
      </c>
      <c r="D4781" s="31" t="s">
        <v>13829</v>
      </c>
      <c r="E4781" s="31" t="s">
        <v>17597</v>
      </c>
      <c r="F4781" s="31">
        <v>38</v>
      </c>
      <c r="G4781" s="31">
        <v>117</v>
      </c>
      <c r="H4781" s="31">
        <v>10</v>
      </c>
      <c r="I4781" s="31">
        <v>36</v>
      </c>
      <c r="J4781" s="31" t="s">
        <v>17598</v>
      </c>
      <c r="K4781" s="31" t="s">
        <v>123</v>
      </c>
      <c r="L4781" s="31" t="s">
        <v>56</v>
      </c>
      <c r="M4781" s="31">
        <v>190</v>
      </c>
      <c r="N4781" s="31">
        <v>2014</v>
      </c>
      <c r="O4781" s="31">
        <v>92</v>
      </c>
      <c r="P4781" s="31"/>
      <c r="Q4781" s="31"/>
      <c r="R4781" s="33"/>
      <c r="S4781" s="34" t="str">
        <f>HYPERLINK("http://www.cnpol.ru/covers/15697.jpg","фото на сайте")</f>
        <v>фото на сайте</v>
      </c>
    </row>
    <row r="4782" spans="1:19" ht="50.1" customHeight="1">
      <c r="A4782" s="31"/>
      <c r="B4782" s="32" t="s">
        <v>17599</v>
      </c>
      <c r="C4782" s="31" t="s">
        <v>390</v>
      </c>
      <c r="D4782" s="31" t="s">
        <v>961</v>
      </c>
      <c r="E4782" s="31" t="s">
        <v>17600</v>
      </c>
      <c r="F4782" s="31">
        <v>637</v>
      </c>
      <c r="G4782" s="31">
        <v>86</v>
      </c>
      <c r="H4782" s="31">
        <v>10</v>
      </c>
      <c r="I4782" s="31">
        <v>30</v>
      </c>
      <c r="J4782" s="31" t="s">
        <v>17601</v>
      </c>
      <c r="K4782" s="31" t="s">
        <v>123</v>
      </c>
      <c r="L4782" s="31" t="s">
        <v>56</v>
      </c>
      <c r="M4782" s="31">
        <v>160</v>
      </c>
      <c r="N4782" s="31">
        <v>2016</v>
      </c>
      <c r="O4782" s="31">
        <v>76</v>
      </c>
      <c r="P4782" s="31"/>
      <c r="Q4782" s="31"/>
      <c r="R4782" s="33"/>
      <c r="S4782" s="34" t="str">
        <f>HYPERLINK("http://www.cnpol.ru/covers/16888.jpg","фото на сайте")</f>
        <v>фото на сайте</v>
      </c>
    </row>
    <row r="4783" spans="1:19" ht="50.1" customHeight="1">
      <c r="A4783" s="31"/>
      <c r="B4783" s="32" t="s">
        <v>17602</v>
      </c>
      <c r="C4783" s="31" t="s">
        <v>546</v>
      </c>
      <c r="D4783" s="31" t="s">
        <v>1628</v>
      </c>
      <c r="E4783" s="31" t="s">
        <v>17603</v>
      </c>
      <c r="F4783" s="31">
        <v>153</v>
      </c>
      <c r="G4783" s="31">
        <v>93</v>
      </c>
      <c r="H4783" s="31">
        <v>10</v>
      </c>
      <c r="I4783" s="31">
        <v>30</v>
      </c>
      <c r="J4783" s="31" t="s">
        <v>17604</v>
      </c>
      <c r="K4783" s="31" t="s">
        <v>123</v>
      </c>
      <c r="L4783" s="31" t="s">
        <v>56</v>
      </c>
      <c r="M4783" s="31">
        <v>160</v>
      </c>
      <c r="N4783" s="31">
        <v>2016</v>
      </c>
      <c r="O4783" s="31">
        <v>76</v>
      </c>
      <c r="P4783" s="31"/>
      <c r="Q4783" s="31"/>
      <c r="R4783" s="33"/>
      <c r="S4783" s="34" t="str">
        <f>HYPERLINK("http://www.cnpol.ru/covers/16495.jpg","фото на сайте")</f>
        <v>фото на сайте</v>
      </c>
    </row>
    <row r="4784" spans="1:19" ht="50.1" customHeight="1">
      <c r="A4784" s="31"/>
      <c r="B4784" s="32" t="s">
        <v>17605</v>
      </c>
      <c r="C4784" s="31" t="s">
        <v>3229</v>
      </c>
      <c r="D4784" s="31" t="s">
        <v>17606</v>
      </c>
      <c r="E4784" s="31" t="s">
        <v>17607</v>
      </c>
      <c r="F4784" s="31" t="s">
        <v>31</v>
      </c>
      <c r="G4784" s="31">
        <v>593</v>
      </c>
      <c r="H4784" s="31">
        <v>10</v>
      </c>
      <c r="I4784" s="31">
        <v>16</v>
      </c>
      <c r="J4784" s="31" t="s">
        <v>17608</v>
      </c>
      <c r="K4784" s="31" t="s">
        <v>158</v>
      </c>
      <c r="L4784" s="31" t="s">
        <v>34</v>
      </c>
      <c r="M4784" s="31">
        <v>285</v>
      </c>
      <c r="N4784" s="31">
        <v>2014</v>
      </c>
      <c r="O4784" s="31">
        <v>324</v>
      </c>
      <c r="P4784" s="31"/>
      <c r="Q4784" s="31"/>
      <c r="R4784" s="33"/>
      <c r="S4784" s="34" t="str">
        <f>HYPERLINK("http://www.cnpol.ru/covers/15161.jpg","фото на сайте")</f>
        <v>фото на сайте</v>
      </c>
    </row>
    <row r="4785" spans="1:19" ht="50.1" customHeight="1">
      <c r="A4785" s="31"/>
      <c r="B4785" s="32" t="s">
        <v>17609</v>
      </c>
      <c r="C4785" s="31" t="s">
        <v>4218</v>
      </c>
      <c r="D4785" s="31" t="s">
        <v>17610</v>
      </c>
      <c r="E4785" s="31" t="s">
        <v>17611</v>
      </c>
      <c r="F4785" s="31" t="s">
        <v>31</v>
      </c>
      <c r="G4785" s="31">
        <v>461</v>
      </c>
      <c r="H4785" s="31">
        <v>10</v>
      </c>
      <c r="I4785" s="31">
        <v>24</v>
      </c>
      <c r="J4785" s="31" t="s">
        <v>17612</v>
      </c>
      <c r="K4785" s="31" t="s">
        <v>33</v>
      </c>
      <c r="L4785" s="31" t="s">
        <v>34</v>
      </c>
      <c r="M4785" s="31">
        <v>191</v>
      </c>
      <c r="N4785" s="31">
        <v>2008</v>
      </c>
      <c r="O4785" s="31">
        <v>234</v>
      </c>
      <c r="P4785" s="31"/>
      <c r="Q4785" s="31"/>
      <c r="R4785" s="33"/>
      <c r="S4785" s="34" t="str">
        <f>HYPERLINK("http://www.cnpol.ru/covers/8704.jpg","фото на сайте")</f>
        <v>фото на сайте</v>
      </c>
    </row>
    <row r="4786" spans="1:19" ht="50.1" customHeight="1">
      <c r="A4786" s="31" t="s">
        <v>43</v>
      </c>
      <c r="B4786" s="32" t="s">
        <v>17613</v>
      </c>
      <c r="C4786" s="31" t="s">
        <v>28</v>
      </c>
      <c r="D4786" s="31" t="s">
        <v>3960</v>
      </c>
      <c r="E4786" s="31" t="s">
        <v>17614</v>
      </c>
      <c r="F4786" s="31" t="s">
        <v>31</v>
      </c>
      <c r="G4786" s="31">
        <v>851</v>
      </c>
      <c r="H4786" s="31">
        <v>10</v>
      </c>
      <c r="I4786" s="31">
        <v>14</v>
      </c>
      <c r="J4786" s="31" t="s">
        <v>17615</v>
      </c>
      <c r="K4786" s="31" t="s">
        <v>33</v>
      </c>
      <c r="L4786" s="31" t="s">
        <v>34</v>
      </c>
      <c r="M4786" s="31">
        <v>287</v>
      </c>
      <c r="N4786" s="31">
        <v>2024</v>
      </c>
      <c r="O4786" s="31">
        <v>343</v>
      </c>
      <c r="P4786" s="31"/>
      <c r="Q4786" s="31"/>
      <c r="R4786" s="33" t="s">
        <v>17616</v>
      </c>
      <c r="S4786" s="34" t="str">
        <f>HYPERLINK("http://www.cnpol.ru/covers/21115.jpg","фото на сайте")</f>
        <v>фото на сайте</v>
      </c>
    </row>
    <row r="4787" spans="1:19" ht="50.1" customHeight="1">
      <c r="A4787" s="31"/>
      <c r="B4787" s="32" t="s">
        <v>17617</v>
      </c>
      <c r="C4787" s="31" t="s">
        <v>380</v>
      </c>
      <c r="D4787" s="31" t="s">
        <v>17618</v>
      </c>
      <c r="E4787" s="31" t="s">
        <v>17619</v>
      </c>
      <c r="F4787" s="31" t="s">
        <v>31</v>
      </c>
      <c r="G4787" s="31">
        <v>988</v>
      </c>
      <c r="H4787" s="31">
        <v>10</v>
      </c>
      <c r="I4787" s="31">
        <v>12</v>
      </c>
      <c r="J4787" s="31" t="s">
        <v>17620</v>
      </c>
      <c r="K4787" s="31" t="s">
        <v>41</v>
      </c>
      <c r="L4787" s="31" t="s">
        <v>304</v>
      </c>
      <c r="M4787" s="31">
        <v>416</v>
      </c>
      <c r="N4787" s="31">
        <v>2015</v>
      </c>
      <c r="O4787" s="31">
        <v>549</v>
      </c>
      <c r="P4787" s="31"/>
      <c r="Q4787" s="31"/>
      <c r="R4787" s="33"/>
      <c r="S4787" s="34" t="str">
        <f>HYPERLINK("http://www.cnpol.ru/covers/16355.jpg","фото на сайте")</f>
        <v>фото на сайте</v>
      </c>
    </row>
    <row r="4788" spans="1:19" ht="50.1" customHeight="1">
      <c r="A4788" s="31"/>
      <c r="B4788" s="32" t="s">
        <v>17621</v>
      </c>
      <c r="C4788" s="31" t="s">
        <v>9499</v>
      </c>
      <c r="D4788" s="31" t="s">
        <v>9500</v>
      </c>
      <c r="E4788" s="31" t="s">
        <v>17622</v>
      </c>
      <c r="F4788" s="31" t="s">
        <v>31</v>
      </c>
      <c r="G4788" s="31">
        <v>105</v>
      </c>
      <c r="H4788" s="31">
        <v>10</v>
      </c>
      <c r="I4788" s="31">
        <v>24</v>
      </c>
      <c r="J4788" s="31" t="s">
        <v>17623</v>
      </c>
      <c r="K4788" s="31" t="s">
        <v>55</v>
      </c>
      <c r="L4788" s="31" t="s">
        <v>56</v>
      </c>
      <c r="M4788" s="31">
        <v>253</v>
      </c>
      <c r="N4788" s="31">
        <v>2004</v>
      </c>
      <c r="O4788" s="31">
        <v>106</v>
      </c>
      <c r="P4788" s="31"/>
      <c r="Q4788" s="31"/>
      <c r="R4788" s="33"/>
      <c r="S4788" s="34" t="str">
        <f>HYPERLINK("http://www.cnpol.ru/covers/5118.jpg","фото на сайте")</f>
        <v>фото на сайте</v>
      </c>
    </row>
    <row r="4789" spans="1:19" ht="50.1" customHeight="1">
      <c r="A4789" s="31"/>
      <c r="B4789" s="32" t="s">
        <v>17624</v>
      </c>
      <c r="C4789" s="31" t="s">
        <v>400</v>
      </c>
      <c r="D4789" s="31" t="s">
        <v>17625</v>
      </c>
      <c r="E4789" s="31" t="s">
        <v>17626</v>
      </c>
      <c r="F4789" s="31" t="s">
        <v>31</v>
      </c>
      <c r="G4789" s="31">
        <v>503</v>
      </c>
      <c r="H4789" s="31">
        <v>10</v>
      </c>
      <c r="I4789" s="31">
        <v>14</v>
      </c>
      <c r="J4789" s="31" t="s">
        <v>17627</v>
      </c>
      <c r="K4789" s="31" t="s">
        <v>33</v>
      </c>
      <c r="L4789" s="31" t="s">
        <v>34</v>
      </c>
      <c r="M4789" s="31">
        <v>288</v>
      </c>
      <c r="N4789" s="31">
        <v>2020</v>
      </c>
      <c r="O4789" s="31">
        <v>260</v>
      </c>
      <c r="P4789" s="31"/>
      <c r="Q4789" s="31"/>
      <c r="R4789" s="33"/>
      <c r="S4789" s="34" t="str">
        <f>HYPERLINK("http://www.cnpol.ru/covers/19162.jpg","фото на сайте")</f>
        <v>фото на сайте</v>
      </c>
    </row>
    <row r="4790" spans="1:19" ht="50.1" customHeight="1">
      <c r="A4790" s="31"/>
      <c r="B4790" s="32" t="s">
        <v>17628</v>
      </c>
      <c r="C4790" s="31" t="s">
        <v>8066</v>
      </c>
      <c r="D4790" s="31" t="s">
        <v>17629</v>
      </c>
      <c r="E4790" s="31" t="s">
        <v>17630</v>
      </c>
      <c r="F4790" s="31" t="s">
        <v>31</v>
      </c>
      <c r="G4790" s="31">
        <v>503</v>
      </c>
      <c r="H4790" s="31">
        <v>10</v>
      </c>
      <c r="I4790" s="31">
        <v>16</v>
      </c>
      <c r="J4790" s="31" t="s">
        <v>17631</v>
      </c>
      <c r="K4790" s="31" t="s">
        <v>194</v>
      </c>
      <c r="L4790" s="31" t="s">
        <v>34</v>
      </c>
      <c r="M4790" s="31">
        <v>192</v>
      </c>
      <c r="N4790" s="31">
        <v>2018</v>
      </c>
      <c r="O4790" s="31">
        <v>208</v>
      </c>
      <c r="P4790" s="31"/>
      <c r="Q4790" s="31"/>
      <c r="R4790" s="33"/>
      <c r="S4790" s="34" t="str">
        <f>HYPERLINK("http://www.cnpol.ru/covers/18206.jpg","фото на сайте")</f>
        <v>фото на сайте</v>
      </c>
    </row>
    <row r="4791" spans="1:19" ht="50.1" customHeight="1">
      <c r="A4791" s="31"/>
      <c r="B4791" s="32" t="s">
        <v>17632</v>
      </c>
      <c r="C4791" s="31" t="s">
        <v>390</v>
      </c>
      <c r="D4791" s="31" t="s">
        <v>1660</v>
      </c>
      <c r="E4791" s="31" t="s">
        <v>17633</v>
      </c>
      <c r="F4791" s="31">
        <v>570</v>
      </c>
      <c r="G4791" s="31">
        <v>86</v>
      </c>
      <c r="H4791" s="31">
        <v>10</v>
      </c>
      <c r="I4791" s="31">
        <v>30</v>
      </c>
      <c r="J4791" s="31" t="s">
        <v>17634</v>
      </c>
      <c r="K4791" s="31" t="s">
        <v>123</v>
      </c>
      <c r="L4791" s="31" t="s">
        <v>56</v>
      </c>
      <c r="M4791" s="31">
        <v>158</v>
      </c>
      <c r="N4791" s="31">
        <v>2015</v>
      </c>
      <c r="O4791" s="31">
        <v>76</v>
      </c>
      <c r="P4791" s="31"/>
      <c r="Q4791" s="31"/>
      <c r="R4791" s="33"/>
      <c r="S4791" s="34" t="str">
        <f>HYPERLINK("http://www.cnpol.ru/covers/16377.jpg","фото на сайте")</f>
        <v>фото на сайте</v>
      </c>
    </row>
    <row r="4792" spans="1:19" ht="50.1" customHeight="1">
      <c r="A4792" s="31"/>
      <c r="B4792" s="32" t="s">
        <v>17635</v>
      </c>
      <c r="C4792" s="31" t="s">
        <v>380</v>
      </c>
      <c r="D4792" s="31" t="s">
        <v>17636</v>
      </c>
      <c r="E4792" s="31" t="s">
        <v>17637</v>
      </c>
      <c r="F4792" s="31" t="s">
        <v>31</v>
      </c>
      <c r="G4792" s="31">
        <v>988</v>
      </c>
      <c r="H4792" s="31">
        <v>10</v>
      </c>
      <c r="I4792" s="31">
        <v>10</v>
      </c>
      <c r="J4792" s="31" t="s">
        <v>17638</v>
      </c>
      <c r="K4792" s="31" t="s">
        <v>41</v>
      </c>
      <c r="L4792" s="31" t="s">
        <v>304</v>
      </c>
      <c r="M4792" s="31">
        <v>352</v>
      </c>
      <c r="N4792" s="31">
        <v>2017</v>
      </c>
      <c r="O4792" s="31">
        <v>472</v>
      </c>
      <c r="P4792" s="31"/>
      <c r="Q4792" s="31"/>
      <c r="R4792" s="33"/>
      <c r="S4792" s="34" t="str">
        <f>HYPERLINK("http://www.cnpol.ru/covers/17385.jpg","фото на сайте")</f>
        <v>фото на сайте</v>
      </c>
    </row>
    <row r="4793" spans="1:19" ht="50.1" customHeight="1">
      <c r="A4793" s="31"/>
      <c r="B4793" s="32" t="s">
        <v>17639</v>
      </c>
      <c r="C4793" s="31" t="s">
        <v>380</v>
      </c>
      <c r="D4793" s="31" t="s">
        <v>17640</v>
      </c>
      <c r="E4793" s="31" t="s">
        <v>17641</v>
      </c>
      <c r="F4793" s="31" t="s">
        <v>31</v>
      </c>
      <c r="G4793" s="31">
        <v>988</v>
      </c>
      <c r="H4793" s="31">
        <v>10</v>
      </c>
      <c r="I4793" s="31">
        <v>10</v>
      </c>
      <c r="J4793" s="31" t="s">
        <v>17642</v>
      </c>
      <c r="K4793" s="31" t="s">
        <v>41</v>
      </c>
      <c r="L4793" s="31" t="s">
        <v>304</v>
      </c>
      <c r="M4793" s="31">
        <v>400</v>
      </c>
      <c r="N4793" s="31">
        <v>2021</v>
      </c>
      <c r="O4793" s="31">
        <v>542</v>
      </c>
      <c r="P4793" s="31"/>
      <c r="Q4793" s="31"/>
      <c r="R4793" s="33"/>
      <c r="S4793" s="34" t="str">
        <f>HYPERLINK("http://www.cnpol.ru/covers/19542.jpg","фото на сайте")</f>
        <v>фото на сайте</v>
      </c>
    </row>
    <row r="4794" spans="1:19" ht="50.1" customHeight="1">
      <c r="A4794" s="31"/>
      <c r="B4794" s="32" t="s">
        <v>17643</v>
      </c>
      <c r="C4794" s="31" t="s">
        <v>400</v>
      </c>
      <c r="D4794" s="31" t="s">
        <v>985</v>
      </c>
      <c r="E4794" s="31" t="s">
        <v>17644</v>
      </c>
      <c r="F4794" s="31" t="s">
        <v>31</v>
      </c>
      <c r="G4794" s="31">
        <v>503</v>
      </c>
      <c r="H4794" s="31">
        <v>10</v>
      </c>
      <c r="I4794" s="31">
        <v>12</v>
      </c>
      <c r="J4794" s="31" t="s">
        <v>17645</v>
      </c>
      <c r="K4794" s="31" t="s">
        <v>33</v>
      </c>
      <c r="L4794" s="31" t="s">
        <v>34</v>
      </c>
      <c r="M4794" s="31">
        <v>352</v>
      </c>
      <c r="N4794" s="31">
        <v>2019</v>
      </c>
      <c r="O4794" s="31">
        <v>352</v>
      </c>
      <c r="P4794" s="31"/>
      <c r="Q4794" s="31"/>
      <c r="R4794" s="33"/>
      <c r="S4794" s="34" t="str">
        <f>HYPERLINK("http://www.cnpol.ru/covers/18958.jpg","фото на сайте")</f>
        <v>фото на сайте</v>
      </c>
    </row>
    <row r="4795" spans="1:19" ht="50.1" customHeight="1">
      <c r="A4795" s="31"/>
      <c r="B4795" s="32" t="s">
        <v>17646</v>
      </c>
      <c r="C4795" s="31" t="s">
        <v>297</v>
      </c>
      <c r="D4795" s="31" t="s">
        <v>17647</v>
      </c>
      <c r="E4795" s="31" t="s">
        <v>17648</v>
      </c>
      <c r="F4795" s="31" t="s">
        <v>31</v>
      </c>
      <c r="G4795" s="31">
        <v>300</v>
      </c>
      <c r="H4795" s="31">
        <v>10</v>
      </c>
      <c r="I4795" s="31">
        <v>10</v>
      </c>
      <c r="J4795" s="31" t="s">
        <v>17649</v>
      </c>
      <c r="K4795" s="31" t="s">
        <v>300</v>
      </c>
      <c r="L4795" s="31" t="s">
        <v>56</v>
      </c>
      <c r="M4795" s="31">
        <v>287</v>
      </c>
      <c r="N4795" s="31">
        <v>2023</v>
      </c>
      <c r="O4795" s="31">
        <v>148</v>
      </c>
      <c r="P4795" s="31"/>
      <c r="Q4795" s="31"/>
      <c r="R4795" s="33" t="s">
        <v>17650</v>
      </c>
      <c r="S4795" s="34" t="str">
        <f>HYPERLINK("http://www.cnpol.ru/covers/20870.jpg","фото на сайте")</f>
        <v>фото на сайте</v>
      </c>
    </row>
    <row r="4796" spans="1:19" ht="50.1" customHeight="1">
      <c r="A4796" s="31"/>
      <c r="B4796" s="32" t="s">
        <v>17651</v>
      </c>
      <c r="C4796" s="31" t="s">
        <v>302</v>
      </c>
      <c r="D4796" s="31" t="s">
        <v>17647</v>
      </c>
      <c r="E4796" s="31" t="s">
        <v>17648</v>
      </c>
      <c r="F4796" s="31" t="s">
        <v>31</v>
      </c>
      <c r="G4796" s="31">
        <v>917</v>
      </c>
      <c r="H4796" s="31">
        <v>10</v>
      </c>
      <c r="I4796" s="31">
        <v>14</v>
      </c>
      <c r="J4796" s="31" t="s">
        <v>17652</v>
      </c>
      <c r="K4796" s="31" t="s">
        <v>41</v>
      </c>
      <c r="L4796" s="31" t="s">
        <v>304</v>
      </c>
      <c r="M4796" s="31">
        <v>320</v>
      </c>
      <c r="N4796" s="31">
        <v>2019</v>
      </c>
      <c r="O4796" s="31">
        <v>484</v>
      </c>
      <c r="P4796" s="31"/>
      <c r="Q4796" s="31"/>
      <c r="R4796" s="33"/>
      <c r="S4796" s="34" t="str">
        <f>HYPERLINK("http://www.cnpol.ru/covers/18777.jpg","фото на сайте")</f>
        <v>фото на сайте</v>
      </c>
    </row>
    <row r="4797" spans="1:19" ht="50.1" customHeight="1">
      <c r="A4797" s="31"/>
      <c r="B4797" s="32" t="s">
        <v>17653</v>
      </c>
      <c r="C4797" s="31" t="s">
        <v>479</v>
      </c>
      <c r="D4797" s="31" t="s">
        <v>3865</v>
      </c>
      <c r="E4797" s="31" t="s">
        <v>17654</v>
      </c>
      <c r="F4797" s="31" t="s">
        <v>31</v>
      </c>
      <c r="G4797" s="31">
        <v>486</v>
      </c>
      <c r="H4797" s="31">
        <v>10</v>
      </c>
      <c r="I4797" s="31">
        <v>10</v>
      </c>
      <c r="J4797" s="31" t="s">
        <v>17655</v>
      </c>
      <c r="K4797" s="31" t="s">
        <v>33</v>
      </c>
      <c r="L4797" s="31" t="s">
        <v>34</v>
      </c>
      <c r="M4797" s="31">
        <v>384</v>
      </c>
      <c r="N4797" s="31">
        <v>2016</v>
      </c>
      <c r="O4797" s="31">
        <v>376</v>
      </c>
      <c r="P4797" s="31"/>
      <c r="Q4797" s="31"/>
      <c r="R4797" s="33"/>
      <c r="S4797" s="34" t="str">
        <f>HYPERLINK("http://www.cnpol.ru/covers/17133.jpg","фото на сайте")</f>
        <v>фото на сайте</v>
      </c>
    </row>
    <row r="4798" spans="1:19" ht="50.1" customHeight="1">
      <c r="A4798" s="31"/>
      <c r="B4798" s="32" t="s">
        <v>17656</v>
      </c>
      <c r="C4798" s="31" t="s">
        <v>16638</v>
      </c>
      <c r="D4798" s="31" t="s">
        <v>16639</v>
      </c>
      <c r="E4798" s="31" t="s">
        <v>17657</v>
      </c>
      <c r="F4798" s="31" t="s">
        <v>31</v>
      </c>
      <c r="G4798" s="31">
        <v>169</v>
      </c>
      <c r="H4798" s="31">
        <v>10</v>
      </c>
      <c r="I4798" s="31">
        <v>20</v>
      </c>
      <c r="J4798" s="31" t="s">
        <v>17658</v>
      </c>
      <c r="K4798" s="31" t="s">
        <v>130</v>
      </c>
      <c r="L4798" s="31" t="s">
        <v>56</v>
      </c>
      <c r="M4798" s="31">
        <v>128</v>
      </c>
      <c r="N4798" s="31">
        <v>2016</v>
      </c>
      <c r="O4798" s="31">
        <v>80</v>
      </c>
      <c r="P4798" s="31"/>
      <c r="Q4798" s="31"/>
      <c r="R4798" s="33"/>
      <c r="S4798" s="34" t="str">
        <f>HYPERLINK("http://www.cnpol.ru/covers/17125.jpg","фото на сайте")</f>
        <v>фото на сайте</v>
      </c>
    </row>
    <row r="4799" spans="1:19" ht="50.1" customHeight="1">
      <c r="A4799" s="31"/>
      <c r="B4799" s="32" t="s">
        <v>17659</v>
      </c>
      <c r="C4799" s="31" t="s">
        <v>37</v>
      </c>
      <c r="D4799" s="31" t="s">
        <v>17660</v>
      </c>
      <c r="E4799" s="31" t="s">
        <v>17661</v>
      </c>
      <c r="F4799" s="31" t="s">
        <v>31</v>
      </c>
      <c r="G4799" s="31">
        <v>539</v>
      </c>
      <c r="H4799" s="31">
        <v>10</v>
      </c>
      <c r="I4799" s="31">
        <v>14</v>
      </c>
      <c r="J4799" s="31" t="s">
        <v>17662</v>
      </c>
      <c r="K4799" s="31" t="s">
        <v>33</v>
      </c>
      <c r="L4799" s="31" t="s">
        <v>34</v>
      </c>
      <c r="M4799" s="31">
        <v>319</v>
      </c>
      <c r="N4799" s="31">
        <v>2023</v>
      </c>
      <c r="O4799" s="31">
        <v>282</v>
      </c>
      <c r="P4799" s="31"/>
      <c r="Q4799" s="31"/>
      <c r="R4799" s="33" t="s">
        <v>17663</v>
      </c>
      <c r="S4799" s="34" t="str">
        <f>HYPERLINK("http://www.cnpol.ru/covers/20801.jpg","фото на сайте")</f>
        <v>фото на сайте</v>
      </c>
    </row>
    <row r="4800" spans="1:19" ht="50.1" customHeight="1">
      <c r="A4800" s="31"/>
      <c r="B4800" s="32" t="s">
        <v>17664</v>
      </c>
      <c r="C4800" s="31" t="s">
        <v>1373</v>
      </c>
      <c r="D4800" s="31" t="s">
        <v>17665</v>
      </c>
      <c r="E4800" s="31" t="s">
        <v>17666</v>
      </c>
      <c r="F4800" s="31" t="s">
        <v>31</v>
      </c>
      <c r="G4800" s="31">
        <v>389</v>
      </c>
      <c r="H4800" s="31">
        <v>10</v>
      </c>
      <c r="I4800" s="31">
        <v>10</v>
      </c>
      <c r="J4800" s="31" t="s">
        <v>17667</v>
      </c>
      <c r="K4800" s="31" t="s">
        <v>1377</v>
      </c>
      <c r="L4800" s="31" t="s">
        <v>34</v>
      </c>
      <c r="M4800" s="31">
        <v>620</v>
      </c>
      <c r="N4800" s="31">
        <v>2001</v>
      </c>
      <c r="O4800" s="31">
        <v>498</v>
      </c>
      <c r="P4800" s="31"/>
      <c r="Q4800" s="31"/>
      <c r="R4800" s="33"/>
      <c r="S4800" s="34" t="str">
        <f>HYPERLINK("http://www.cnpol.ru/covers/2369.jpg","фото на сайте")</f>
        <v>фото на сайте</v>
      </c>
    </row>
    <row r="4801" spans="1:19" ht="50.1" customHeight="1">
      <c r="A4801" s="31"/>
      <c r="B4801" s="32" t="s">
        <v>17668</v>
      </c>
      <c r="C4801" s="31" t="s">
        <v>546</v>
      </c>
      <c r="D4801" s="31" t="s">
        <v>17669</v>
      </c>
      <c r="E4801" s="31" t="s">
        <v>17670</v>
      </c>
      <c r="F4801" s="31">
        <v>116</v>
      </c>
      <c r="G4801" s="31">
        <v>93</v>
      </c>
      <c r="H4801" s="31">
        <v>10</v>
      </c>
      <c r="I4801" s="31">
        <v>30</v>
      </c>
      <c r="J4801" s="31" t="s">
        <v>17671</v>
      </c>
      <c r="K4801" s="31" t="s">
        <v>123</v>
      </c>
      <c r="L4801" s="31" t="s">
        <v>56</v>
      </c>
      <c r="M4801" s="31">
        <v>158</v>
      </c>
      <c r="N4801" s="31">
        <v>2015</v>
      </c>
      <c r="O4801" s="31">
        <v>76</v>
      </c>
      <c r="P4801" s="31"/>
      <c r="Q4801" s="31"/>
      <c r="R4801" s="33"/>
      <c r="S4801" s="34" t="str">
        <f>HYPERLINK("http://www.cnpol.ru/covers/15960.jpg","фото на сайте")</f>
        <v>фото на сайте</v>
      </c>
    </row>
    <row r="4802" spans="1:19" ht="50.1" customHeight="1">
      <c r="A4802" s="31"/>
      <c r="B4802" s="32" t="s">
        <v>17672</v>
      </c>
      <c r="C4802" s="31" t="s">
        <v>4118</v>
      </c>
      <c r="D4802" s="31" t="s">
        <v>4119</v>
      </c>
      <c r="E4802" s="31" t="s">
        <v>17673</v>
      </c>
      <c r="F4802" s="31" t="s">
        <v>31</v>
      </c>
      <c r="G4802" s="31">
        <v>675</v>
      </c>
      <c r="H4802" s="31">
        <v>10</v>
      </c>
      <c r="I4802" s="31">
        <v>10</v>
      </c>
      <c r="J4802" s="31" t="s">
        <v>17674</v>
      </c>
      <c r="K4802" s="31" t="s">
        <v>33</v>
      </c>
      <c r="L4802" s="31" t="s">
        <v>34</v>
      </c>
      <c r="M4802" s="31">
        <v>352</v>
      </c>
      <c r="N4802" s="31">
        <v>2020</v>
      </c>
      <c r="O4802" s="31">
        <v>292</v>
      </c>
      <c r="P4802" s="31"/>
      <c r="Q4802" s="31"/>
      <c r="R4802" s="33"/>
      <c r="S4802" s="34" t="str">
        <f>HYPERLINK("http://www.cnpol.ru/covers/19133.jpg","фото на сайте")</f>
        <v>фото на сайте</v>
      </c>
    </row>
    <row r="4803" spans="1:19" ht="50.1" customHeight="1">
      <c r="A4803" s="31"/>
      <c r="B4803" s="32" t="s">
        <v>17675</v>
      </c>
      <c r="C4803" s="31" t="s">
        <v>17676</v>
      </c>
      <c r="D4803" s="31" t="s">
        <v>17677</v>
      </c>
      <c r="E4803" s="31" t="s">
        <v>17678</v>
      </c>
      <c r="F4803" s="31" t="s">
        <v>31</v>
      </c>
      <c r="G4803" s="31">
        <v>675</v>
      </c>
      <c r="H4803" s="31">
        <v>10</v>
      </c>
      <c r="I4803" s="31">
        <v>12</v>
      </c>
      <c r="J4803" s="31" t="s">
        <v>17679</v>
      </c>
      <c r="K4803" s="31" t="s">
        <v>300</v>
      </c>
      <c r="L4803" s="31" t="s">
        <v>34</v>
      </c>
      <c r="M4803" s="31">
        <v>381</v>
      </c>
      <c r="N4803" s="31">
        <v>2014</v>
      </c>
      <c r="O4803" s="31">
        <v>346</v>
      </c>
      <c r="P4803" s="31"/>
      <c r="Q4803" s="31"/>
      <c r="R4803" s="33"/>
      <c r="S4803" s="34" t="str">
        <f>HYPERLINK("http://www.cnpol.ru/covers/15418.jpg","фото на сайте")</f>
        <v>фото на сайте</v>
      </c>
    </row>
    <row r="4804" spans="1:19" ht="50.1" customHeight="1">
      <c r="A4804" s="31"/>
      <c r="B4804" s="32" t="s">
        <v>17680</v>
      </c>
      <c r="C4804" s="31" t="s">
        <v>400</v>
      </c>
      <c r="D4804" s="31" t="s">
        <v>17681</v>
      </c>
      <c r="E4804" s="31" t="s">
        <v>17682</v>
      </c>
      <c r="F4804" s="31" t="s">
        <v>31</v>
      </c>
      <c r="G4804" s="31">
        <v>503</v>
      </c>
      <c r="H4804" s="31">
        <v>10</v>
      </c>
      <c r="I4804" s="31">
        <v>14</v>
      </c>
      <c r="J4804" s="31" t="s">
        <v>17683</v>
      </c>
      <c r="K4804" s="31" t="s">
        <v>33</v>
      </c>
      <c r="L4804" s="31" t="s">
        <v>34</v>
      </c>
      <c r="M4804" s="31">
        <v>319</v>
      </c>
      <c r="N4804" s="31">
        <v>2012</v>
      </c>
      <c r="O4804" s="31">
        <v>270</v>
      </c>
      <c r="P4804" s="31"/>
      <c r="Q4804" s="31"/>
      <c r="R4804" s="33"/>
      <c r="S4804" s="34" t="str">
        <f>HYPERLINK("http://www.cnpol.ru/covers/13382.jpg","фото на сайте")</f>
        <v>фото на сайте</v>
      </c>
    </row>
    <row r="4805" spans="1:19" ht="50.1" customHeight="1">
      <c r="A4805" s="31"/>
      <c r="B4805" s="32" t="s">
        <v>17684</v>
      </c>
      <c r="C4805" s="31" t="s">
        <v>1102</v>
      </c>
      <c r="D4805" s="31" t="s">
        <v>7338</v>
      </c>
      <c r="E4805" s="31" t="s">
        <v>17685</v>
      </c>
      <c r="F4805" s="31" t="s">
        <v>31</v>
      </c>
      <c r="G4805" s="31">
        <v>611</v>
      </c>
      <c r="H4805" s="31">
        <v>10</v>
      </c>
      <c r="I4805" s="31">
        <v>12</v>
      </c>
      <c r="J4805" s="31" t="s">
        <v>17686</v>
      </c>
      <c r="K4805" s="31" t="s">
        <v>33</v>
      </c>
      <c r="L4805" s="31" t="s">
        <v>34</v>
      </c>
      <c r="M4805" s="31">
        <v>384</v>
      </c>
      <c r="N4805" s="31">
        <v>2016</v>
      </c>
      <c r="O4805" s="31">
        <v>308</v>
      </c>
      <c r="P4805" s="31"/>
      <c r="Q4805" s="31"/>
      <c r="R4805" s="33"/>
      <c r="S4805" s="34" t="str">
        <f>HYPERLINK("http://www.cnpol.ru/covers/17112.jpg","фото на сайте")</f>
        <v>фото на сайте</v>
      </c>
    </row>
    <row r="4806" spans="1:19" ht="50.1" customHeight="1">
      <c r="A4806" s="31"/>
      <c r="B4806" s="32" t="s">
        <v>17687</v>
      </c>
      <c r="C4806" s="31" t="s">
        <v>4248</v>
      </c>
      <c r="D4806" s="31" t="s">
        <v>17688</v>
      </c>
      <c r="E4806" s="31" t="s">
        <v>17689</v>
      </c>
      <c r="F4806" s="31" t="s">
        <v>31</v>
      </c>
      <c r="G4806" s="31">
        <v>461</v>
      </c>
      <c r="H4806" s="31">
        <v>10</v>
      </c>
      <c r="I4806" s="31">
        <v>12</v>
      </c>
      <c r="J4806" s="31" t="s">
        <v>17690</v>
      </c>
      <c r="K4806" s="31" t="s">
        <v>158</v>
      </c>
      <c r="L4806" s="31" t="s">
        <v>34</v>
      </c>
      <c r="M4806" s="31">
        <v>383</v>
      </c>
      <c r="N4806" s="31">
        <v>2010</v>
      </c>
      <c r="O4806" s="31">
        <v>330</v>
      </c>
      <c r="P4806" s="31"/>
      <c r="Q4806" s="31"/>
      <c r="R4806" s="33"/>
      <c r="S4806" s="34" t="str">
        <f>HYPERLINK("http://www.cnpol.ru/covers/12254.jpg","фото на сайте")</f>
        <v>фото на сайте</v>
      </c>
    </row>
    <row r="4807" spans="1:19" ht="50.1" customHeight="1">
      <c r="A4807" s="31"/>
      <c r="B4807" s="32" t="s">
        <v>17691</v>
      </c>
      <c r="C4807" s="31" t="s">
        <v>846</v>
      </c>
      <c r="D4807" s="31" t="s">
        <v>17692</v>
      </c>
      <c r="E4807" s="31" t="s">
        <v>17693</v>
      </c>
      <c r="F4807" s="31" t="s">
        <v>31</v>
      </c>
      <c r="G4807" s="31">
        <v>559</v>
      </c>
      <c r="H4807" s="31">
        <v>10</v>
      </c>
      <c r="I4807" s="31">
        <v>16</v>
      </c>
      <c r="J4807" s="31" t="s">
        <v>17694</v>
      </c>
      <c r="K4807" s="31" t="s">
        <v>33</v>
      </c>
      <c r="L4807" s="31" t="s">
        <v>34</v>
      </c>
      <c r="M4807" s="31">
        <v>287</v>
      </c>
      <c r="N4807" s="31">
        <v>2008</v>
      </c>
      <c r="O4807" s="31">
        <v>286</v>
      </c>
      <c r="P4807" s="31"/>
      <c r="Q4807" s="31"/>
      <c r="R4807" s="33"/>
      <c r="S4807" s="34" t="str">
        <f>HYPERLINK("http://www.cnpol.ru/covers/10274.jpg","фото на сайте")</f>
        <v>фото на сайте</v>
      </c>
    </row>
    <row r="4808" spans="1:19" ht="50.1" customHeight="1">
      <c r="A4808" s="31"/>
      <c r="B4808" s="32" t="s">
        <v>17695</v>
      </c>
      <c r="C4808" s="31" t="s">
        <v>1623</v>
      </c>
      <c r="D4808" s="31" t="s">
        <v>3018</v>
      </c>
      <c r="E4808" s="31" t="s">
        <v>17696</v>
      </c>
      <c r="F4808" s="31" t="s">
        <v>31</v>
      </c>
      <c r="G4808" s="31">
        <v>169</v>
      </c>
      <c r="H4808" s="31">
        <v>10</v>
      </c>
      <c r="I4808" s="31">
        <v>30</v>
      </c>
      <c r="J4808" s="31" t="s">
        <v>17697</v>
      </c>
      <c r="K4808" s="31" t="s">
        <v>55</v>
      </c>
      <c r="L4808" s="31" t="s">
        <v>56</v>
      </c>
      <c r="M4808" s="31">
        <v>256</v>
      </c>
      <c r="N4808" s="31">
        <v>2019</v>
      </c>
      <c r="O4808" s="31">
        <v>110</v>
      </c>
      <c r="P4808" s="31"/>
      <c r="Q4808" s="31"/>
      <c r="R4808" s="33"/>
      <c r="S4808" s="34" t="str">
        <f>HYPERLINK("http://www.cnpol.ru/covers/18915.jpg","фото на сайте")</f>
        <v>фото на сайте</v>
      </c>
    </row>
    <row r="4809" spans="1:19" ht="50.1" customHeight="1">
      <c r="A4809" s="31"/>
      <c r="B4809" s="32" t="s">
        <v>17698</v>
      </c>
      <c r="C4809" s="31" t="s">
        <v>1102</v>
      </c>
      <c r="D4809" s="31" t="s">
        <v>15690</v>
      </c>
      <c r="E4809" s="31" t="s">
        <v>17699</v>
      </c>
      <c r="F4809" s="31" t="s">
        <v>31</v>
      </c>
      <c r="G4809" s="31">
        <v>593</v>
      </c>
      <c r="H4809" s="31">
        <v>10</v>
      </c>
      <c r="I4809" s="31">
        <v>16</v>
      </c>
      <c r="J4809" s="31" t="s">
        <v>17700</v>
      </c>
      <c r="K4809" s="31" t="s">
        <v>33</v>
      </c>
      <c r="L4809" s="31" t="s">
        <v>34</v>
      </c>
      <c r="M4809" s="31">
        <v>288</v>
      </c>
      <c r="N4809" s="31">
        <v>2017</v>
      </c>
      <c r="O4809" s="31">
        <v>260</v>
      </c>
      <c r="P4809" s="31"/>
      <c r="Q4809" s="31"/>
      <c r="R4809" s="33"/>
      <c r="S4809" s="34" t="str">
        <f>HYPERLINK("http://www.cnpol.ru/covers/17557.jpg","фото на сайте")</f>
        <v>фото на сайте</v>
      </c>
    </row>
    <row r="4810" spans="1:19" ht="50.1" customHeight="1">
      <c r="A4810" s="31"/>
      <c r="B4810" s="32" t="s">
        <v>17701</v>
      </c>
      <c r="C4810" s="31" t="s">
        <v>3062</v>
      </c>
      <c r="D4810" s="31" t="s">
        <v>17702</v>
      </c>
      <c r="E4810" s="31" t="s">
        <v>17703</v>
      </c>
      <c r="F4810" s="31" t="s">
        <v>31</v>
      </c>
      <c r="G4810" s="31">
        <v>325</v>
      </c>
      <c r="H4810" s="31">
        <v>10</v>
      </c>
      <c r="I4810" s="31">
        <v>16</v>
      </c>
      <c r="J4810" s="31" t="s">
        <v>17704</v>
      </c>
      <c r="K4810" s="31" t="s">
        <v>33</v>
      </c>
      <c r="L4810" s="31" t="s">
        <v>34</v>
      </c>
      <c r="M4810" s="31">
        <v>254</v>
      </c>
      <c r="N4810" s="31">
        <v>2008</v>
      </c>
      <c r="O4810" s="31">
        <v>258</v>
      </c>
      <c r="P4810" s="31"/>
      <c r="Q4810" s="31"/>
      <c r="R4810" s="33"/>
      <c r="S4810" s="34" t="str">
        <f>HYPERLINK("http://www.cnpol.ru/covers/8801.jpg","фото на сайте")</f>
        <v>фото на сайте</v>
      </c>
    </row>
    <row r="4811" spans="1:19" ht="50.1" customHeight="1">
      <c r="A4811" s="31" t="s">
        <v>35</v>
      </c>
      <c r="B4811" s="32" t="s">
        <v>17705</v>
      </c>
      <c r="C4811" s="31" t="s">
        <v>37</v>
      </c>
      <c r="D4811" s="31" t="s">
        <v>12617</v>
      </c>
      <c r="E4811" s="31" t="s">
        <v>17706</v>
      </c>
      <c r="F4811" s="31" t="s">
        <v>31</v>
      </c>
      <c r="G4811" s="35">
        <v>1723</v>
      </c>
      <c r="H4811" s="31">
        <v>10</v>
      </c>
      <c r="I4811" s="31">
        <v>8</v>
      </c>
      <c r="J4811" s="31" t="s">
        <v>17707</v>
      </c>
      <c r="K4811" s="31" t="s">
        <v>41</v>
      </c>
      <c r="L4811" s="31" t="s">
        <v>34</v>
      </c>
      <c r="M4811" s="31">
        <v>590</v>
      </c>
      <c r="N4811" s="31">
        <v>2024</v>
      </c>
      <c r="O4811" s="31">
        <v>687</v>
      </c>
      <c r="P4811" s="31"/>
      <c r="Q4811" s="31"/>
      <c r="R4811" s="33" t="s">
        <v>17708</v>
      </c>
      <c r="S4811" s="34" t="str">
        <f>HYPERLINK("http://www.cnpol.ru/covers/21195.jpg","фото на сайте")</f>
        <v>фото на сайте</v>
      </c>
    </row>
    <row r="4812" spans="1:19" ht="50.1" customHeight="1">
      <c r="A4812" s="31"/>
      <c r="B4812" s="32" t="s">
        <v>17709</v>
      </c>
      <c r="C4812" s="31" t="s">
        <v>818</v>
      </c>
      <c r="D4812" s="31" t="s">
        <v>8854</v>
      </c>
      <c r="E4812" s="31" t="s">
        <v>17710</v>
      </c>
      <c r="F4812" s="31" t="s">
        <v>31</v>
      </c>
      <c r="G4812" s="31">
        <v>81</v>
      </c>
      <c r="H4812" s="31">
        <v>10</v>
      </c>
      <c r="I4812" s="31">
        <v>40</v>
      </c>
      <c r="J4812" s="31" t="s">
        <v>17711</v>
      </c>
      <c r="K4812" s="31" t="s">
        <v>55</v>
      </c>
      <c r="L4812" s="31" t="s">
        <v>56</v>
      </c>
      <c r="M4812" s="31">
        <v>156</v>
      </c>
      <c r="N4812" s="31">
        <v>2004</v>
      </c>
      <c r="O4812" s="31">
        <v>72</v>
      </c>
      <c r="P4812" s="31"/>
      <c r="Q4812" s="31"/>
      <c r="R4812" s="33"/>
      <c r="S4812" s="34" t="str">
        <f>HYPERLINK("http://www.cnpol.ru/covers/5344.jpg","фото на сайте")</f>
        <v>фото на сайте</v>
      </c>
    </row>
    <row r="4813" spans="1:19" ht="50.1" customHeight="1">
      <c r="A4813" s="31"/>
      <c r="B4813" s="32" t="s">
        <v>17712</v>
      </c>
      <c r="C4813" s="31" t="s">
        <v>528</v>
      </c>
      <c r="D4813" s="31" t="s">
        <v>70</v>
      </c>
      <c r="E4813" s="31" t="s">
        <v>17713</v>
      </c>
      <c r="F4813" s="31" t="s">
        <v>31</v>
      </c>
      <c r="G4813" s="31">
        <v>137</v>
      </c>
      <c r="H4813" s="31">
        <v>10</v>
      </c>
      <c r="I4813" s="31">
        <v>60</v>
      </c>
      <c r="J4813" s="31" t="s">
        <v>17714</v>
      </c>
      <c r="K4813" s="31" t="s">
        <v>55</v>
      </c>
      <c r="L4813" s="31" t="s">
        <v>56</v>
      </c>
      <c r="M4813" s="31">
        <v>157</v>
      </c>
      <c r="N4813" s="31">
        <v>2010</v>
      </c>
      <c r="O4813" s="31">
        <v>70</v>
      </c>
      <c r="P4813" s="31"/>
      <c r="Q4813" s="31"/>
      <c r="R4813" s="33"/>
      <c r="S4813" s="34" t="str">
        <f>HYPERLINK("http://www.cnpol.ru/covers/12214.jpg","фото на сайте")</f>
        <v>фото на сайте</v>
      </c>
    </row>
    <row r="4814" spans="1:19" ht="50.1" customHeight="1">
      <c r="A4814" s="31"/>
      <c r="B4814" s="32" t="s">
        <v>17715</v>
      </c>
      <c r="C4814" s="31" t="s">
        <v>17716</v>
      </c>
      <c r="D4814" s="31" t="s">
        <v>17717</v>
      </c>
      <c r="E4814" s="31" t="s">
        <v>17718</v>
      </c>
      <c r="F4814" s="31" t="s">
        <v>31</v>
      </c>
      <c r="G4814" s="31">
        <v>461</v>
      </c>
      <c r="H4814" s="31">
        <v>10</v>
      </c>
      <c r="I4814" s="31">
        <v>10</v>
      </c>
      <c r="J4814" s="31" t="s">
        <v>17719</v>
      </c>
      <c r="K4814" s="31" t="s">
        <v>158</v>
      </c>
      <c r="L4814" s="31" t="s">
        <v>34</v>
      </c>
      <c r="M4814" s="31">
        <v>384</v>
      </c>
      <c r="N4814" s="31">
        <v>2013</v>
      </c>
      <c r="O4814" s="31">
        <v>268</v>
      </c>
      <c r="P4814" s="31"/>
      <c r="Q4814" s="31"/>
      <c r="R4814" s="33"/>
      <c r="S4814" s="34" t="str">
        <f>HYPERLINK("http://www.cnpol.ru/covers/14295.jpg","фото на сайте")</f>
        <v>фото на сайте</v>
      </c>
    </row>
    <row r="4815" spans="1:19" ht="50.1" customHeight="1">
      <c r="A4815" s="31"/>
      <c r="B4815" s="32" t="s">
        <v>17720</v>
      </c>
      <c r="C4815" s="31" t="s">
        <v>297</v>
      </c>
      <c r="D4815" s="31" t="s">
        <v>17721</v>
      </c>
      <c r="E4815" s="31" t="s">
        <v>17722</v>
      </c>
      <c r="F4815" s="31" t="s">
        <v>31</v>
      </c>
      <c r="G4815" s="31">
        <v>300</v>
      </c>
      <c r="H4815" s="31">
        <v>10</v>
      </c>
      <c r="I4815" s="31">
        <v>16</v>
      </c>
      <c r="J4815" s="31" t="s">
        <v>17723</v>
      </c>
      <c r="K4815" s="31" t="s">
        <v>300</v>
      </c>
      <c r="L4815" s="31" t="s">
        <v>56</v>
      </c>
      <c r="M4815" s="31">
        <v>416</v>
      </c>
      <c r="N4815" s="31">
        <v>2019</v>
      </c>
      <c r="O4815" s="31">
        <v>208</v>
      </c>
      <c r="P4815" s="31"/>
      <c r="Q4815" s="31"/>
      <c r="R4815" s="33"/>
      <c r="S4815" s="34" t="str">
        <f>HYPERLINK("http://www.cnpol.ru/covers/18943.jpg","фото на сайте")</f>
        <v>фото на сайте</v>
      </c>
    </row>
    <row r="4816" spans="1:19" ht="50.1" customHeight="1">
      <c r="A4816" s="31"/>
      <c r="B4816" s="32" t="s">
        <v>17724</v>
      </c>
      <c r="C4816" s="31" t="s">
        <v>302</v>
      </c>
      <c r="D4816" s="31" t="s">
        <v>17721</v>
      </c>
      <c r="E4816" s="31" t="s">
        <v>17722</v>
      </c>
      <c r="F4816" s="31" t="s">
        <v>31</v>
      </c>
      <c r="G4816" s="31">
        <v>917</v>
      </c>
      <c r="H4816" s="31">
        <v>10</v>
      </c>
      <c r="I4816" s="31">
        <v>10</v>
      </c>
      <c r="J4816" s="31" t="s">
        <v>17725</v>
      </c>
      <c r="K4816" s="31" t="s">
        <v>41</v>
      </c>
      <c r="L4816" s="31" t="s">
        <v>304</v>
      </c>
      <c r="M4816" s="31">
        <v>448</v>
      </c>
      <c r="N4816" s="31">
        <v>2017</v>
      </c>
      <c r="O4816" s="31">
        <v>562</v>
      </c>
      <c r="P4816" s="31"/>
      <c r="Q4816" s="31"/>
      <c r="R4816" s="33"/>
      <c r="S4816" s="34" t="str">
        <f>HYPERLINK("http://www.cnpol.ru/covers/17580.jpg","фото на сайте")</f>
        <v>фото на сайте</v>
      </c>
    </row>
    <row r="4817" spans="1:19" ht="50.1" customHeight="1">
      <c r="A4817" s="31" t="s">
        <v>43</v>
      </c>
      <c r="B4817" s="32" t="s">
        <v>17726</v>
      </c>
      <c r="C4817" s="31" t="s">
        <v>37</v>
      </c>
      <c r="D4817" s="31" t="s">
        <v>17727</v>
      </c>
      <c r="E4817" s="31" t="s">
        <v>17728</v>
      </c>
      <c r="F4817" s="31" t="s">
        <v>31</v>
      </c>
      <c r="G4817" s="31">
        <v>539</v>
      </c>
      <c r="H4817" s="31">
        <v>10</v>
      </c>
      <c r="I4817" s="31">
        <v>14</v>
      </c>
      <c r="J4817" s="31" t="s">
        <v>17729</v>
      </c>
      <c r="K4817" s="31" t="s">
        <v>33</v>
      </c>
      <c r="L4817" s="31" t="s">
        <v>34</v>
      </c>
      <c r="M4817" s="31">
        <v>319</v>
      </c>
      <c r="N4817" s="31">
        <v>2024</v>
      </c>
      <c r="O4817" s="31">
        <v>251</v>
      </c>
      <c r="P4817" s="31"/>
      <c r="Q4817" s="31"/>
      <c r="R4817" s="33" t="s">
        <v>17730</v>
      </c>
      <c r="S4817" s="34" t="str">
        <f>HYPERLINK("http://www.cnpol.ru/covers/21289.jpg","фото на сайте")</f>
        <v>фото на сайте</v>
      </c>
    </row>
    <row r="4818" spans="1:19" ht="50.1" customHeight="1">
      <c r="A4818" s="31" t="s">
        <v>43</v>
      </c>
      <c r="B4818" s="32" t="s">
        <v>17731</v>
      </c>
      <c r="C4818" s="31" t="s">
        <v>37</v>
      </c>
      <c r="D4818" s="31" t="s">
        <v>17732</v>
      </c>
      <c r="E4818" s="31" t="s">
        <v>17733</v>
      </c>
      <c r="F4818" s="31" t="s">
        <v>31</v>
      </c>
      <c r="G4818" s="31">
        <v>575</v>
      </c>
      <c r="H4818" s="31">
        <v>10</v>
      </c>
      <c r="I4818" s="31">
        <v>10</v>
      </c>
      <c r="J4818" s="31" t="s">
        <v>17734</v>
      </c>
      <c r="K4818" s="31" t="s">
        <v>33</v>
      </c>
      <c r="L4818" s="31" t="s">
        <v>34</v>
      </c>
      <c r="M4818" s="31">
        <v>479</v>
      </c>
      <c r="N4818" s="31">
        <v>2024</v>
      </c>
      <c r="O4818" s="31">
        <v>367</v>
      </c>
      <c r="P4818" s="31"/>
      <c r="Q4818" s="31"/>
      <c r="R4818" s="33" t="s">
        <v>17735</v>
      </c>
      <c r="S4818" s="34" t="str">
        <f>HYPERLINK("http://www.cnpol.ru/covers/21163.jpg","фото на сайте")</f>
        <v>фото на сайте</v>
      </c>
    </row>
    <row r="4819" spans="1:19" ht="50.1" customHeight="1">
      <c r="A4819" s="31"/>
      <c r="B4819" s="32" t="s">
        <v>17736</v>
      </c>
      <c r="C4819" s="31" t="s">
        <v>400</v>
      </c>
      <c r="D4819" s="31" t="s">
        <v>17737</v>
      </c>
      <c r="E4819" s="31" t="s">
        <v>17738</v>
      </c>
      <c r="F4819" s="31" t="s">
        <v>31</v>
      </c>
      <c r="G4819" s="31">
        <v>503</v>
      </c>
      <c r="H4819" s="31">
        <v>10</v>
      </c>
      <c r="I4819" s="31">
        <v>14</v>
      </c>
      <c r="J4819" s="31" t="s">
        <v>17739</v>
      </c>
      <c r="K4819" s="31" t="s">
        <v>33</v>
      </c>
      <c r="L4819" s="31" t="s">
        <v>34</v>
      </c>
      <c r="M4819" s="31">
        <v>288</v>
      </c>
      <c r="N4819" s="31">
        <v>2019</v>
      </c>
      <c r="O4819" s="31">
        <v>252</v>
      </c>
      <c r="P4819" s="31"/>
      <c r="Q4819" s="31"/>
      <c r="R4819" s="33"/>
      <c r="S4819" s="34" t="str">
        <f>HYPERLINK("http://www.cnpol.ru/covers/18486.jpg","фото на сайте")</f>
        <v>фото на сайте</v>
      </c>
    </row>
    <row r="4820" spans="1:19" ht="50.1" customHeight="1">
      <c r="A4820" s="31"/>
      <c r="B4820" s="32" t="s">
        <v>17740</v>
      </c>
      <c r="C4820" s="31" t="s">
        <v>28</v>
      </c>
      <c r="D4820" s="31" t="s">
        <v>1898</v>
      </c>
      <c r="E4820" s="31" t="s">
        <v>17741</v>
      </c>
      <c r="F4820" s="31" t="s">
        <v>31</v>
      </c>
      <c r="G4820" s="31">
        <v>593</v>
      </c>
      <c r="H4820" s="31">
        <v>10</v>
      </c>
      <c r="I4820" s="31">
        <v>12</v>
      </c>
      <c r="J4820" s="31" t="s">
        <v>17742</v>
      </c>
      <c r="K4820" s="31" t="s">
        <v>33</v>
      </c>
      <c r="L4820" s="31" t="s">
        <v>34</v>
      </c>
      <c r="M4820" s="31">
        <v>319</v>
      </c>
      <c r="N4820" s="31">
        <v>2021</v>
      </c>
      <c r="O4820" s="31">
        <v>274</v>
      </c>
      <c r="P4820" s="31"/>
      <c r="Q4820" s="31"/>
      <c r="R4820" s="33"/>
      <c r="S4820" s="34" t="str">
        <f>HYPERLINK("http://www.cnpol.ru/covers/19840.jpg","фото на сайте")</f>
        <v>фото на сайте</v>
      </c>
    </row>
    <row r="4821" spans="1:19" ht="50.1" customHeight="1">
      <c r="A4821" s="31" t="s">
        <v>35</v>
      </c>
      <c r="B4821" s="32" t="s">
        <v>17743</v>
      </c>
      <c r="C4821" s="31" t="s">
        <v>1390</v>
      </c>
      <c r="D4821" s="31" t="s">
        <v>17744</v>
      </c>
      <c r="E4821" s="31" t="s">
        <v>17745</v>
      </c>
      <c r="F4821" s="31" t="s">
        <v>31</v>
      </c>
      <c r="G4821" s="31">
        <v>249</v>
      </c>
      <c r="H4821" s="31">
        <v>10</v>
      </c>
      <c r="I4821" s="31">
        <v>9</v>
      </c>
      <c r="J4821" s="31" t="s">
        <v>17746</v>
      </c>
      <c r="K4821" s="31" t="s">
        <v>130</v>
      </c>
      <c r="L4821" s="31" t="s">
        <v>56</v>
      </c>
      <c r="M4821" s="31">
        <v>319</v>
      </c>
      <c r="N4821" s="31">
        <v>2025</v>
      </c>
      <c r="O4821" s="31" t="s">
        <v>220</v>
      </c>
      <c r="P4821" s="31"/>
      <c r="Q4821" s="31"/>
      <c r="R4821" s="33" t="s">
        <v>17747</v>
      </c>
      <c r="S4821" s="34" t="str">
        <f>HYPERLINK("http://www.cnpol.ru/covers/21708.jpg","фото на сайте")</f>
        <v>фото на сайте</v>
      </c>
    </row>
    <row r="4822" spans="1:19" ht="50.1" customHeight="1">
      <c r="A4822" s="31" t="s">
        <v>35</v>
      </c>
      <c r="B4822" s="32" t="s">
        <v>17748</v>
      </c>
      <c r="C4822" s="31" t="s">
        <v>434</v>
      </c>
      <c r="D4822" s="31" t="s">
        <v>913</v>
      </c>
      <c r="E4822" s="31" t="s">
        <v>17749</v>
      </c>
      <c r="F4822" s="31" t="s">
        <v>31</v>
      </c>
      <c r="G4822" s="31">
        <v>887</v>
      </c>
      <c r="H4822" s="31">
        <v>10</v>
      </c>
      <c r="I4822" s="31">
        <v>12</v>
      </c>
      <c r="J4822" s="31" t="s">
        <v>17750</v>
      </c>
      <c r="K4822" s="31" t="s">
        <v>33</v>
      </c>
      <c r="L4822" s="31" t="s">
        <v>34</v>
      </c>
      <c r="M4822" s="31">
        <v>301</v>
      </c>
      <c r="N4822" s="31">
        <v>2024</v>
      </c>
      <c r="O4822" s="31">
        <v>360</v>
      </c>
      <c r="P4822" s="31"/>
      <c r="Q4822" s="31"/>
      <c r="R4822" s="33" t="s">
        <v>17751</v>
      </c>
      <c r="S4822" s="34" t="str">
        <f>HYPERLINK("http://www.cnpol.ru/covers/21148.jpg","фото на сайте")</f>
        <v>фото на сайте</v>
      </c>
    </row>
    <row r="4823" spans="1:19" ht="50.1" customHeight="1">
      <c r="A4823" s="31" t="s">
        <v>43</v>
      </c>
      <c r="B4823" s="32" t="s">
        <v>17752</v>
      </c>
      <c r="C4823" s="31" t="s">
        <v>37</v>
      </c>
      <c r="D4823" s="31" t="s">
        <v>17753</v>
      </c>
      <c r="E4823" s="31" t="s">
        <v>17754</v>
      </c>
      <c r="F4823" s="31" t="s">
        <v>31</v>
      </c>
      <c r="G4823" s="31">
        <v>800</v>
      </c>
      <c r="H4823" s="31">
        <v>10</v>
      </c>
      <c r="I4823" s="31">
        <v>16</v>
      </c>
      <c r="J4823" s="31" t="s">
        <v>17755</v>
      </c>
      <c r="K4823" s="31" t="s">
        <v>33</v>
      </c>
      <c r="L4823" s="31" t="s">
        <v>34</v>
      </c>
      <c r="M4823" s="31">
        <v>221</v>
      </c>
      <c r="N4823" s="31">
        <v>2025</v>
      </c>
      <c r="O4823" s="31">
        <v>402</v>
      </c>
      <c r="P4823" s="31"/>
      <c r="Q4823" s="31"/>
      <c r="R4823" s="33" t="s">
        <v>17756</v>
      </c>
      <c r="S4823" s="34" t="str">
        <f>HYPERLINK("http://www.cnpol.ru/covers/21551.jpg","фото на сайте")</f>
        <v>фото на сайте</v>
      </c>
    </row>
    <row r="4824" spans="1:19" ht="50.1" customHeight="1">
      <c r="A4824" s="31"/>
      <c r="B4824" s="32" t="s">
        <v>17757</v>
      </c>
      <c r="C4824" s="31" t="s">
        <v>400</v>
      </c>
      <c r="D4824" s="31" t="s">
        <v>2412</v>
      </c>
      <c r="E4824" s="31" t="s">
        <v>17758</v>
      </c>
      <c r="F4824" s="31" t="s">
        <v>31</v>
      </c>
      <c r="G4824" s="31">
        <v>503</v>
      </c>
      <c r="H4824" s="31">
        <v>10</v>
      </c>
      <c r="I4824" s="31">
        <v>14</v>
      </c>
      <c r="J4824" s="31" t="s">
        <v>17759</v>
      </c>
      <c r="K4824" s="31" t="s">
        <v>33</v>
      </c>
      <c r="L4824" s="31" t="s">
        <v>34</v>
      </c>
      <c r="M4824" s="31">
        <v>320</v>
      </c>
      <c r="N4824" s="31">
        <v>2018</v>
      </c>
      <c r="O4824" s="31">
        <v>270</v>
      </c>
      <c r="P4824" s="31"/>
      <c r="Q4824" s="31"/>
      <c r="R4824" s="33"/>
      <c r="S4824" s="34" t="str">
        <f>HYPERLINK("http://www.cnpol.ru/covers/18035.jpg","фото на сайте")</f>
        <v>фото на сайте</v>
      </c>
    </row>
    <row r="4825" spans="1:19" ht="50.1" customHeight="1">
      <c r="A4825" s="31"/>
      <c r="B4825" s="32" t="s">
        <v>17760</v>
      </c>
      <c r="C4825" s="31" t="s">
        <v>1338</v>
      </c>
      <c r="D4825" s="31" t="s">
        <v>15768</v>
      </c>
      <c r="E4825" s="31" t="s">
        <v>17761</v>
      </c>
      <c r="F4825" s="31" t="s">
        <v>31</v>
      </c>
      <c r="G4825" s="31">
        <v>154</v>
      </c>
      <c r="H4825" s="31">
        <v>10</v>
      </c>
      <c r="I4825" s="31">
        <v>32</v>
      </c>
      <c r="J4825" s="31" t="s">
        <v>17762</v>
      </c>
      <c r="K4825" s="31" t="s">
        <v>55</v>
      </c>
      <c r="L4825" s="31" t="s">
        <v>56</v>
      </c>
      <c r="M4825" s="31">
        <v>286</v>
      </c>
      <c r="N4825" s="31">
        <v>2010</v>
      </c>
      <c r="O4825" s="31">
        <v>122</v>
      </c>
      <c r="P4825" s="31"/>
      <c r="Q4825" s="31"/>
      <c r="R4825" s="33"/>
      <c r="S4825" s="34" t="str">
        <f>HYPERLINK("http://www.cnpol.ru/covers/12208.jpg","фото на сайте")</f>
        <v>фото на сайте</v>
      </c>
    </row>
    <row r="4826" spans="1:19" ht="50.1" customHeight="1">
      <c r="A4826" s="31"/>
      <c r="B4826" s="32" t="s">
        <v>17763</v>
      </c>
      <c r="C4826" s="31" t="s">
        <v>528</v>
      </c>
      <c r="D4826" s="31" t="s">
        <v>529</v>
      </c>
      <c r="E4826" s="31" t="s">
        <v>17764</v>
      </c>
      <c r="F4826" s="31" t="s">
        <v>31</v>
      </c>
      <c r="G4826" s="31">
        <v>137</v>
      </c>
      <c r="H4826" s="31">
        <v>10</v>
      </c>
      <c r="I4826" s="31">
        <v>60</v>
      </c>
      <c r="J4826" s="31" t="s">
        <v>17765</v>
      </c>
      <c r="K4826" s="31" t="s">
        <v>55</v>
      </c>
      <c r="L4826" s="31" t="s">
        <v>56</v>
      </c>
      <c r="M4826" s="31">
        <v>157</v>
      </c>
      <c r="N4826" s="31">
        <v>2011</v>
      </c>
      <c r="O4826" s="31">
        <v>70</v>
      </c>
      <c r="P4826" s="31"/>
      <c r="Q4826" s="31"/>
      <c r="R4826" s="33"/>
      <c r="S4826" s="34" t="str">
        <f>HYPERLINK("http://www.cnpol.ru/covers/12730.jpg","фото на сайте")</f>
        <v>фото на сайте</v>
      </c>
    </row>
    <row r="4827" spans="1:19" ht="50.1" customHeight="1">
      <c r="A4827" s="31"/>
      <c r="B4827" s="32" t="s">
        <v>17766</v>
      </c>
      <c r="C4827" s="31" t="s">
        <v>10295</v>
      </c>
      <c r="D4827" s="31" t="s">
        <v>17767</v>
      </c>
      <c r="E4827" s="31" t="s">
        <v>17768</v>
      </c>
      <c r="F4827" s="31" t="s">
        <v>31</v>
      </c>
      <c r="G4827" s="31">
        <v>169</v>
      </c>
      <c r="H4827" s="31">
        <v>10</v>
      </c>
      <c r="I4827" s="31">
        <v>30</v>
      </c>
      <c r="J4827" s="31" t="s">
        <v>17769</v>
      </c>
      <c r="K4827" s="31" t="s">
        <v>130</v>
      </c>
      <c r="L4827" s="31" t="s">
        <v>56</v>
      </c>
      <c r="M4827" s="31">
        <v>138</v>
      </c>
      <c r="N4827" s="31">
        <v>2004</v>
      </c>
      <c r="O4827" s="31">
        <v>90</v>
      </c>
      <c r="P4827" s="31"/>
      <c r="Q4827" s="31"/>
      <c r="R4827" s="33"/>
      <c r="S4827" s="34" t="str">
        <f>HYPERLINK("http://www.cnpol.ru/covers/5158.jpg","фото на сайте")</f>
        <v>фото на сайте</v>
      </c>
    </row>
    <row r="4828" spans="1:19" ht="50.1" customHeight="1">
      <c r="A4828" s="31" t="s">
        <v>43</v>
      </c>
      <c r="B4828" s="32" t="s">
        <v>17770</v>
      </c>
      <c r="C4828" s="31" t="s">
        <v>1390</v>
      </c>
      <c r="D4828" s="31" t="s">
        <v>236</v>
      </c>
      <c r="E4828" s="31" t="s">
        <v>17771</v>
      </c>
      <c r="F4828" s="31" t="s">
        <v>31</v>
      </c>
      <c r="G4828" s="31">
        <v>411</v>
      </c>
      <c r="H4828" s="31">
        <v>10</v>
      </c>
      <c r="I4828" s="31">
        <v>20</v>
      </c>
      <c r="J4828" s="31" t="s">
        <v>17772</v>
      </c>
      <c r="K4828" s="31" t="s">
        <v>33</v>
      </c>
      <c r="L4828" s="31" t="s">
        <v>34</v>
      </c>
      <c r="M4828" s="31">
        <v>191</v>
      </c>
      <c r="N4828" s="31">
        <v>2025</v>
      </c>
      <c r="O4828" s="31">
        <v>199</v>
      </c>
      <c r="P4828" s="31"/>
      <c r="Q4828" s="31"/>
      <c r="R4828" s="33" t="s">
        <v>17773</v>
      </c>
      <c r="S4828" s="34" t="str">
        <f>HYPERLINK("http://www.cnpol.ru/covers/21467.jpg","фото на сайте")</f>
        <v>фото на сайте</v>
      </c>
    </row>
    <row r="4829" spans="1:19" ht="50.1" customHeight="1">
      <c r="A4829" s="31"/>
      <c r="B4829" s="32" t="s">
        <v>17774</v>
      </c>
      <c r="C4829" s="31" t="s">
        <v>143</v>
      </c>
      <c r="D4829" s="31" t="s">
        <v>17775</v>
      </c>
      <c r="E4829" s="31" t="s">
        <v>17776</v>
      </c>
      <c r="F4829" s="31" t="s">
        <v>31</v>
      </c>
      <c r="G4829" s="31">
        <v>917</v>
      </c>
      <c r="H4829" s="31">
        <v>10</v>
      </c>
      <c r="I4829" s="31">
        <v>10</v>
      </c>
      <c r="J4829" s="31" t="s">
        <v>17777</v>
      </c>
      <c r="K4829" s="31" t="s">
        <v>33</v>
      </c>
      <c r="L4829" s="31" t="s">
        <v>34</v>
      </c>
      <c r="M4829" s="31">
        <v>318</v>
      </c>
      <c r="N4829" s="31">
        <v>2023</v>
      </c>
      <c r="O4829" s="31">
        <v>272</v>
      </c>
      <c r="P4829" s="31"/>
      <c r="Q4829" s="31"/>
      <c r="R4829" s="33" t="s">
        <v>17778</v>
      </c>
      <c r="S4829" s="34" t="str">
        <f>HYPERLINK("http://www.cnpol.ru/covers/20483.jpg","фото на сайте")</f>
        <v>фото на сайте</v>
      </c>
    </row>
    <row r="4830" spans="1:19" ht="50.1" customHeight="1">
      <c r="A4830" s="31"/>
      <c r="B4830" s="32" t="s">
        <v>17779</v>
      </c>
      <c r="C4830" s="31" t="s">
        <v>17780</v>
      </c>
      <c r="D4830" s="31" t="s">
        <v>17781</v>
      </c>
      <c r="E4830" s="31" t="s">
        <v>17782</v>
      </c>
      <c r="F4830" s="31" t="s">
        <v>31</v>
      </c>
      <c r="G4830" s="31">
        <v>162</v>
      </c>
      <c r="H4830" s="31">
        <v>10</v>
      </c>
      <c r="I4830" s="31">
        <v>20</v>
      </c>
      <c r="J4830" s="31" t="s">
        <v>17783</v>
      </c>
      <c r="K4830" s="31" t="s">
        <v>130</v>
      </c>
      <c r="L4830" s="31" t="s">
        <v>56</v>
      </c>
      <c r="M4830" s="31">
        <v>282</v>
      </c>
      <c r="N4830" s="31">
        <v>2010</v>
      </c>
      <c r="O4830" s="31">
        <v>176</v>
      </c>
      <c r="P4830" s="31"/>
      <c r="Q4830" s="31"/>
      <c r="R4830" s="33"/>
      <c r="S4830" s="34" t="str">
        <f>HYPERLINK("http://www.cnpol.ru/covers/12068.jpg","фото на сайте")</f>
        <v>фото на сайте</v>
      </c>
    </row>
    <row r="4831" spans="1:19" ht="50.1" customHeight="1">
      <c r="A4831" s="31"/>
      <c r="B4831" s="32" t="s">
        <v>17784</v>
      </c>
      <c r="C4831" s="31" t="s">
        <v>479</v>
      </c>
      <c r="D4831" s="31" t="s">
        <v>17785</v>
      </c>
      <c r="E4831" s="31" t="s">
        <v>17786</v>
      </c>
      <c r="F4831" s="31" t="s">
        <v>31</v>
      </c>
      <c r="G4831" s="31">
        <v>461</v>
      </c>
      <c r="H4831" s="31">
        <v>10</v>
      </c>
      <c r="I4831" s="31">
        <v>12</v>
      </c>
      <c r="J4831" s="31" t="s">
        <v>17787</v>
      </c>
      <c r="K4831" s="31" t="s">
        <v>158</v>
      </c>
      <c r="L4831" s="31" t="s">
        <v>34</v>
      </c>
      <c r="M4831" s="31">
        <v>287</v>
      </c>
      <c r="N4831" s="31">
        <v>2020</v>
      </c>
      <c r="O4831" s="31">
        <v>264</v>
      </c>
      <c r="P4831" s="31"/>
      <c r="Q4831" s="31"/>
      <c r="R4831" s="33"/>
      <c r="S4831" s="34" t="str">
        <f>HYPERLINK("http://www.cnpol.ru/covers/19232.jpg","фото на сайте")</f>
        <v>фото на сайте</v>
      </c>
    </row>
    <row r="4832" spans="1:19" ht="50.1" customHeight="1">
      <c r="A4832" s="31"/>
      <c r="B4832" s="32" t="s">
        <v>17788</v>
      </c>
      <c r="C4832" s="31" t="s">
        <v>479</v>
      </c>
      <c r="D4832" s="31" t="s">
        <v>236</v>
      </c>
      <c r="E4832" s="31" t="s">
        <v>17789</v>
      </c>
      <c r="F4832" s="31" t="s">
        <v>31</v>
      </c>
      <c r="G4832" s="31">
        <v>461</v>
      </c>
      <c r="H4832" s="31">
        <v>10</v>
      </c>
      <c r="I4832" s="31">
        <v>12</v>
      </c>
      <c r="J4832" s="31" t="s">
        <v>17790</v>
      </c>
      <c r="K4832" s="31" t="s">
        <v>33</v>
      </c>
      <c r="L4832" s="31" t="s">
        <v>34</v>
      </c>
      <c r="M4832" s="31">
        <v>288</v>
      </c>
      <c r="N4832" s="31">
        <v>2017</v>
      </c>
      <c r="O4832" s="31">
        <v>244</v>
      </c>
      <c r="P4832" s="31"/>
      <c r="Q4832" s="31"/>
      <c r="R4832" s="33"/>
      <c r="S4832" s="34" t="str">
        <f>HYPERLINK("http://www.cnpol.ru/covers/17756.jpg","фото на сайте")</f>
        <v>фото на сайте</v>
      </c>
    </row>
    <row r="4833" spans="1:19" ht="50.1" customHeight="1">
      <c r="A4833" s="31"/>
      <c r="B4833" s="32" t="s">
        <v>17791</v>
      </c>
      <c r="C4833" s="31" t="s">
        <v>390</v>
      </c>
      <c r="D4833" s="31" t="s">
        <v>1454</v>
      </c>
      <c r="E4833" s="31" t="s">
        <v>17792</v>
      </c>
      <c r="F4833" s="31">
        <v>584</v>
      </c>
      <c r="G4833" s="31">
        <v>86</v>
      </c>
      <c r="H4833" s="31">
        <v>10</v>
      </c>
      <c r="I4833" s="31">
        <v>30</v>
      </c>
      <c r="J4833" s="31" t="s">
        <v>17793</v>
      </c>
      <c r="K4833" s="31" t="s">
        <v>123</v>
      </c>
      <c r="L4833" s="31" t="s">
        <v>56</v>
      </c>
      <c r="M4833" s="31">
        <v>158</v>
      </c>
      <c r="N4833" s="31">
        <v>2016</v>
      </c>
      <c r="O4833" s="31">
        <v>76</v>
      </c>
      <c r="P4833" s="31"/>
      <c r="Q4833" s="31"/>
      <c r="R4833" s="33"/>
      <c r="S4833" s="34" t="str">
        <f>HYPERLINK("http://www.cnpol.ru/covers/16468.jpg","фото на сайте")</f>
        <v>фото на сайте</v>
      </c>
    </row>
    <row r="4834" spans="1:19" ht="50.1" customHeight="1">
      <c r="A4834" s="31"/>
      <c r="B4834" s="32" t="s">
        <v>17794</v>
      </c>
      <c r="C4834" s="31" t="s">
        <v>385</v>
      </c>
      <c r="D4834" s="31" t="s">
        <v>386</v>
      </c>
      <c r="E4834" s="31" t="s">
        <v>17795</v>
      </c>
      <c r="F4834" s="31" t="s">
        <v>31</v>
      </c>
      <c r="G4834" s="31">
        <v>162</v>
      </c>
      <c r="H4834" s="31">
        <v>10</v>
      </c>
      <c r="I4834" s="31">
        <v>32</v>
      </c>
      <c r="J4834" s="31" t="s">
        <v>17796</v>
      </c>
      <c r="K4834" s="31" t="s">
        <v>55</v>
      </c>
      <c r="L4834" s="31" t="s">
        <v>56</v>
      </c>
      <c r="M4834" s="31">
        <v>256</v>
      </c>
      <c r="N4834" s="31">
        <v>2016</v>
      </c>
      <c r="O4834" s="31">
        <v>112</v>
      </c>
      <c r="P4834" s="31"/>
      <c r="Q4834" s="31"/>
      <c r="R4834" s="33"/>
      <c r="S4834" s="34" t="str">
        <f>HYPERLINK("http://www.cnpol.ru/covers/0117.jpg","фото на сайте")</f>
        <v>фото на сайте</v>
      </c>
    </row>
    <row r="4835" spans="1:19" ht="50.1" customHeight="1">
      <c r="A4835" s="31"/>
      <c r="B4835" s="32" t="s">
        <v>17797</v>
      </c>
      <c r="C4835" s="31" t="s">
        <v>390</v>
      </c>
      <c r="D4835" s="31" t="s">
        <v>10036</v>
      </c>
      <c r="E4835" s="31" t="s">
        <v>17798</v>
      </c>
      <c r="F4835" s="31">
        <v>498</v>
      </c>
      <c r="G4835" s="31">
        <v>86</v>
      </c>
      <c r="H4835" s="31">
        <v>10</v>
      </c>
      <c r="I4835" s="31">
        <v>30</v>
      </c>
      <c r="J4835" s="31" t="s">
        <v>17799</v>
      </c>
      <c r="K4835" s="31" t="s">
        <v>194</v>
      </c>
      <c r="L4835" s="31" t="s">
        <v>56</v>
      </c>
      <c r="M4835" s="31">
        <v>158</v>
      </c>
      <c r="N4835" s="31">
        <v>2015</v>
      </c>
      <c r="O4835" s="31">
        <v>76</v>
      </c>
      <c r="P4835" s="31"/>
      <c r="Q4835" s="31"/>
      <c r="R4835" s="33"/>
      <c r="S4835" s="34" t="str">
        <f>HYPERLINK("http://www.cnpol.ru/covers/15873.jpg","фото на сайте")</f>
        <v>фото на сайте</v>
      </c>
    </row>
    <row r="4836" spans="1:19" ht="50.1" customHeight="1">
      <c r="A4836" s="31"/>
      <c r="B4836" s="32" t="s">
        <v>17800</v>
      </c>
      <c r="C4836" s="31" t="s">
        <v>390</v>
      </c>
      <c r="D4836" s="31" t="s">
        <v>1801</v>
      </c>
      <c r="E4836" s="31" t="s">
        <v>17801</v>
      </c>
      <c r="F4836" s="31">
        <v>459</v>
      </c>
      <c r="G4836" s="31">
        <v>86</v>
      </c>
      <c r="H4836" s="31">
        <v>10</v>
      </c>
      <c r="I4836" s="31">
        <v>30</v>
      </c>
      <c r="J4836" s="31" t="s">
        <v>17802</v>
      </c>
      <c r="K4836" s="31" t="s">
        <v>123</v>
      </c>
      <c r="L4836" s="31" t="s">
        <v>56</v>
      </c>
      <c r="M4836" s="31">
        <v>158</v>
      </c>
      <c r="N4836" s="31">
        <v>2014</v>
      </c>
      <c r="O4836" s="31">
        <v>74</v>
      </c>
      <c r="P4836" s="31"/>
      <c r="Q4836" s="31"/>
      <c r="R4836" s="33"/>
      <c r="S4836" s="34" t="str">
        <f>HYPERLINK("http://www.cnpol.ru/covers/15527.jpg","фото на сайте")</f>
        <v>фото на сайте</v>
      </c>
    </row>
    <row r="4837" spans="1:19" ht="50.1" customHeight="1">
      <c r="A4837" s="31"/>
      <c r="B4837" s="32" t="s">
        <v>17803</v>
      </c>
      <c r="C4837" s="31" t="s">
        <v>390</v>
      </c>
      <c r="D4837" s="31" t="s">
        <v>4824</v>
      </c>
      <c r="E4837" s="31" t="s">
        <v>17804</v>
      </c>
      <c r="F4837" s="31">
        <v>660</v>
      </c>
      <c r="G4837" s="31">
        <v>86</v>
      </c>
      <c r="H4837" s="31">
        <v>10</v>
      </c>
      <c r="I4837" s="31">
        <v>30</v>
      </c>
      <c r="J4837" s="31" t="s">
        <v>17805</v>
      </c>
      <c r="K4837" s="31" t="s">
        <v>123</v>
      </c>
      <c r="L4837" s="31" t="s">
        <v>56</v>
      </c>
      <c r="M4837" s="31">
        <v>160</v>
      </c>
      <c r="N4837" s="31">
        <v>2016</v>
      </c>
      <c r="O4837" s="31">
        <v>76</v>
      </c>
      <c r="P4837" s="31"/>
      <c r="Q4837" s="31"/>
      <c r="R4837" s="33"/>
      <c r="S4837" s="34" t="str">
        <f>HYPERLINK("http://www.cnpol.ru/covers/17080.jpg","фото на сайте")</f>
        <v>фото на сайте</v>
      </c>
    </row>
    <row r="4838" spans="1:19" ht="50.1" customHeight="1">
      <c r="A4838" s="31"/>
      <c r="B4838" s="32" t="s">
        <v>17806</v>
      </c>
      <c r="C4838" s="31" t="s">
        <v>390</v>
      </c>
      <c r="D4838" s="31" t="s">
        <v>2253</v>
      </c>
      <c r="E4838" s="31" t="s">
        <v>17807</v>
      </c>
      <c r="F4838" s="31">
        <v>363</v>
      </c>
      <c r="G4838" s="31">
        <v>86</v>
      </c>
      <c r="H4838" s="31">
        <v>10</v>
      </c>
      <c r="I4838" s="31">
        <v>30</v>
      </c>
      <c r="J4838" s="31" t="s">
        <v>17808</v>
      </c>
      <c r="K4838" s="31" t="s">
        <v>123</v>
      </c>
      <c r="L4838" s="31" t="s">
        <v>56</v>
      </c>
      <c r="M4838" s="31">
        <v>158</v>
      </c>
      <c r="N4838" s="31">
        <v>2013</v>
      </c>
      <c r="O4838" s="31">
        <v>78</v>
      </c>
      <c r="P4838" s="31"/>
      <c r="Q4838" s="31"/>
      <c r="R4838" s="33"/>
      <c r="S4838" s="34" t="str">
        <f>HYPERLINK("http://www.cnpol.ru/covers/14671.jpg","фото на сайте")</f>
        <v>фото на сайте</v>
      </c>
    </row>
    <row r="4839" spans="1:19" ht="50.1" customHeight="1">
      <c r="A4839" s="31"/>
      <c r="B4839" s="32" t="s">
        <v>17809</v>
      </c>
      <c r="C4839" s="31" t="s">
        <v>390</v>
      </c>
      <c r="D4839" s="31" t="s">
        <v>649</v>
      </c>
      <c r="E4839" s="31" t="s">
        <v>17810</v>
      </c>
      <c r="F4839" s="31">
        <v>1052</v>
      </c>
      <c r="G4839" s="31">
        <v>86</v>
      </c>
      <c r="H4839" s="31">
        <v>10</v>
      </c>
      <c r="I4839" s="31">
        <v>30</v>
      </c>
      <c r="J4839" s="31" t="s">
        <v>17811</v>
      </c>
      <c r="K4839" s="31" t="s">
        <v>123</v>
      </c>
      <c r="L4839" s="31" t="s">
        <v>56</v>
      </c>
      <c r="M4839" s="31">
        <v>159</v>
      </c>
      <c r="N4839" s="31">
        <v>2021</v>
      </c>
      <c r="O4839" s="31">
        <v>76</v>
      </c>
      <c r="P4839" s="31"/>
      <c r="Q4839" s="31"/>
      <c r="R4839" s="33"/>
      <c r="S4839" s="34" t="str">
        <f>HYPERLINK("http://www.cnpol.ru/covers/19858.jpg","фото на сайте")</f>
        <v>фото на сайте</v>
      </c>
    </row>
    <row r="4840" spans="1:19" ht="50.1" customHeight="1">
      <c r="A4840" s="31"/>
      <c r="B4840" s="32" t="s">
        <v>17812</v>
      </c>
      <c r="C4840" s="31" t="s">
        <v>390</v>
      </c>
      <c r="D4840" s="31" t="s">
        <v>3095</v>
      </c>
      <c r="E4840" s="31" t="s">
        <v>17813</v>
      </c>
      <c r="F4840" s="31">
        <v>359</v>
      </c>
      <c r="G4840" s="31">
        <v>86</v>
      </c>
      <c r="H4840" s="31">
        <v>10</v>
      </c>
      <c r="I4840" s="31">
        <v>30</v>
      </c>
      <c r="J4840" s="31" t="s">
        <v>17814</v>
      </c>
      <c r="K4840" s="31" t="s">
        <v>123</v>
      </c>
      <c r="L4840" s="31" t="s">
        <v>56</v>
      </c>
      <c r="M4840" s="31">
        <v>158</v>
      </c>
      <c r="N4840" s="31">
        <v>2013</v>
      </c>
      <c r="O4840" s="31">
        <v>78</v>
      </c>
      <c r="P4840" s="31"/>
      <c r="Q4840" s="31"/>
      <c r="R4840" s="33"/>
      <c r="S4840" s="34" t="str">
        <f>HYPERLINK("http://www.cnpol.ru/covers/14642.jpg","фото на сайте")</f>
        <v>фото на сайте</v>
      </c>
    </row>
    <row r="4841" spans="1:19" ht="50.1" customHeight="1">
      <c r="A4841" s="31"/>
      <c r="B4841" s="32" t="s">
        <v>17815</v>
      </c>
      <c r="C4841" s="31" t="s">
        <v>390</v>
      </c>
      <c r="D4841" s="31" t="s">
        <v>4721</v>
      </c>
      <c r="E4841" s="31" t="s">
        <v>17816</v>
      </c>
      <c r="F4841" s="31">
        <v>617</v>
      </c>
      <c r="G4841" s="31">
        <v>86</v>
      </c>
      <c r="H4841" s="31">
        <v>10</v>
      </c>
      <c r="I4841" s="31">
        <v>30</v>
      </c>
      <c r="J4841" s="31" t="s">
        <v>17817</v>
      </c>
      <c r="K4841" s="31" t="s">
        <v>123</v>
      </c>
      <c r="L4841" s="31" t="s">
        <v>56</v>
      </c>
      <c r="M4841" s="31">
        <v>160</v>
      </c>
      <c r="N4841" s="31">
        <v>2016</v>
      </c>
      <c r="O4841" s="31">
        <v>76</v>
      </c>
      <c r="P4841" s="31"/>
      <c r="Q4841" s="31"/>
      <c r="R4841" s="33"/>
      <c r="S4841" s="34" t="str">
        <f>HYPERLINK("http://www.cnpol.ru/covers/16748.jpg","фото на сайте")</f>
        <v>фото на сайте</v>
      </c>
    </row>
    <row r="4842" spans="1:19" ht="50.1" customHeight="1">
      <c r="A4842" s="31"/>
      <c r="B4842" s="32" t="s">
        <v>17818</v>
      </c>
      <c r="C4842" s="31" t="s">
        <v>315</v>
      </c>
      <c r="D4842" s="31" t="s">
        <v>316</v>
      </c>
      <c r="E4842" s="31" t="s">
        <v>17819</v>
      </c>
      <c r="F4842" s="31" t="s">
        <v>31</v>
      </c>
      <c r="G4842" s="31">
        <v>801</v>
      </c>
      <c r="H4842" s="31">
        <v>10</v>
      </c>
      <c r="I4842" s="31">
        <v>10</v>
      </c>
      <c r="J4842" s="31" t="s">
        <v>17820</v>
      </c>
      <c r="K4842" s="31" t="s">
        <v>216</v>
      </c>
      <c r="L4842" s="31" t="s">
        <v>210</v>
      </c>
      <c r="M4842" s="31">
        <v>96</v>
      </c>
      <c r="N4842" s="31">
        <v>2022</v>
      </c>
      <c r="O4842" s="31">
        <v>410</v>
      </c>
      <c r="P4842" s="31"/>
      <c r="Q4842" s="31"/>
      <c r="R4842" s="33"/>
      <c r="S4842" s="34" t="str">
        <f>HYPERLINK("http://www.cnpol.ru/covers/20086.jpg","фото на сайте")</f>
        <v>фото на сайте</v>
      </c>
    </row>
    <row r="4843" spans="1:19" ht="50.1" customHeight="1">
      <c r="A4843" s="31"/>
      <c r="B4843" s="32" t="s">
        <v>17821</v>
      </c>
      <c r="C4843" s="31" t="s">
        <v>440</v>
      </c>
      <c r="D4843" s="31" t="s">
        <v>2456</v>
      </c>
      <c r="E4843" s="31" t="s">
        <v>17822</v>
      </c>
      <c r="F4843" s="31" t="s">
        <v>31</v>
      </c>
      <c r="G4843" s="31">
        <v>503</v>
      </c>
      <c r="H4843" s="31">
        <v>10</v>
      </c>
      <c r="I4843" s="31">
        <v>16</v>
      </c>
      <c r="J4843" s="31" t="s">
        <v>17823</v>
      </c>
      <c r="K4843" s="31" t="s">
        <v>33</v>
      </c>
      <c r="L4843" s="31" t="s">
        <v>34</v>
      </c>
      <c r="M4843" s="31">
        <v>288</v>
      </c>
      <c r="N4843" s="31">
        <v>2016</v>
      </c>
      <c r="O4843" s="31">
        <v>270</v>
      </c>
      <c r="P4843" s="31"/>
      <c r="Q4843" s="31"/>
      <c r="R4843" s="33"/>
      <c r="S4843" s="34" t="str">
        <f>HYPERLINK("http://www.cnpol.ru/covers/16898.jpg","фото на сайте")</f>
        <v>фото на сайте</v>
      </c>
    </row>
    <row r="4844" spans="1:19" ht="50.1" customHeight="1">
      <c r="A4844" s="31"/>
      <c r="B4844" s="32" t="s">
        <v>17824</v>
      </c>
      <c r="C4844" s="31" t="s">
        <v>390</v>
      </c>
      <c r="D4844" s="31" t="s">
        <v>1427</v>
      </c>
      <c r="E4844" s="31" t="s">
        <v>17825</v>
      </c>
      <c r="F4844" s="31">
        <v>836</v>
      </c>
      <c r="G4844" s="31">
        <v>86</v>
      </c>
      <c r="H4844" s="31">
        <v>10</v>
      </c>
      <c r="I4844" s="31">
        <v>30</v>
      </c>
      <c r="J4844" s="31" t="s">
        <v>17826</v>
      </c>
      <c r="K4844" s="31" t="s">
        <v>123</v>
      </c>
      <c r="L4844" s="31" t="s">
        <v>56</v>
      </c>
      <c r="M4844" s="31">
        <v>160</v>
      </c>
      <c r="N4844" s="31">
        <v>2018</v>
      </c>
      <c r="O4844" s="31">
        <v>76</v>
      </c>
      <c r="P4844" s="31"/>
      <c r="Q4844" s="31"/>
      <c r="R4844" s="33"/>
      <c r="S4844" s="34" t="str">
        <f>HYPERLINK("http://www.cnpol.ru/covers/18315.jpg","фото на сайте")</f>
        <v>фото на сайте</v>
      </c>
    </row>
    <row r="4845" spans="1:19" ht="50.1" customHeight="1">
      <c r="A4845" s="31"/>
      <c r="B4845" s="32" t="s">
        <v>17827</v>
      </c>
      <c r="C4845" s="31" t="s">
        <v>6650</v>
      </c>
      <c r="D4845" s="31" t="s">
        <v>6651</v>
      </c>
      <c r="E4845" s="31" t="s">
        <v>17828</v>
      </c>
      <c r="F4845" s="31" t="s">
        <v>31</v>
      </c>
      <c r="G4845" s="31">
        <v>185</v>
      </c>
      <c r="H4845" s="31">
        <v>10</v>
      </c>
      <c r="I4845" s="31">
        <v>24</v>
      </c>
      <c r="J4845" s="31" t="s">
        <v>17829</v>
      </c>
      <c r="K4845" s="31" t="s">
        <v>130</v>
      </c>
      <c r="L4845" s="31" t="s">
        <v>56</v>
      </c>
      <c r="M4845" s="31">
        <v>192</v>
      </c>
      <c r="N4845" s="31">
        <v>2020</v>
      </c>
      <c r="O4845" s="31">
        <v>120</v>
      </c>
      <c r="P4845" s="31"/>
      <c r="Q4845" s="31"/>
      <c r="R4845" s="33"/>
      <c r="S4845" s="34" t="str">
        <f>HYPERLINK("http://www.cnpol.ru/covers/19409.jpg","фото на сайте")</f>
        <v>фото на сайте</v>
      </c>
    </row>
    <row r="4846" spans="1:19" ht="50.1" customHeight="1">
      <c r="A4846" s="31" t="s">
        <v>35</v>
      </c>
      <c r="B4846" s="32" t="s">
        <v>17830</v>
      </c>
      <c r="C4846" s="31" t="s">
        <v>8389</v>
      </c>
      <c r="D4846" s="31" t="s">
        <v>8390</v>
      </c>
      <c r="E4846" s="31" t="s">
        <v>17831</v>
      </c>
      <c r="F4846" s="31" t="s">
        <v>31</v>
      </c>
      <c r="G4846" s="31">
        <v>222</v>
      </c>
      <c r="H4846" s="31">
        <v>10</v>
      </c>
      <c r="I4846" s="31">
        <v>12</v>
      </c>
      <c r="J4846" s="31" t="s">
        <v>17832</v>
      </c>
      <c r="K4846" s="31" t="s">
        <v>123</v>
      </c>
      <c r="L4846" s="31" t="s">
        <v>56</v>
      </c>
      <c r="M4846" s="31">
        <v>159</v>
      </c>
      <c r="N4846" s="31">
        <v>2025</v>
      </c>
      <c r="O4846" s="31" t="s">
        <v>220</v>
      </c>
      <c r="P4846" s="31"/>
      <c r="Q4846" s="31"/>
      <c r="R4846" s="33" t="s">
        <v>17833</v>
      </c>
      <c r="S4846" s="34" t="str">
        <f>HYPERLINK("http://www.cnpol.ru/covers/21615.jpg","фото на сайте")</f>
        <v>фото на сайте</v>
      </c>
    </row>
    <row r="4847" spans="1:19" ht="50.1" customHeight="1">
      <c r="A4847" s="31"/>
      <c r="B4847" s="32" t="s">
        <v>17834</v>
      </c>
      <c r="C4847" s="31" t="s">
        <v>589</v>
      </c>
      <c r="D4847" s="31" t="s">
        <v>590</v>
      </c>
      <c r="E4847" s="31" t="s">
        <v>17835</v>
      </c>
      <c r="F4847" s="31" t="s">
        <v>31</v>
      </c>
      <c r="G4847" s="31">
        <v>258</v>
      </c>
      <c r="H4847" s="31">
        <v>10</v>
      </c>
      <c r="I4847" s="31">
        <v>26</v>
      </c>
      <c r="J4847" s="31" t="s">
        <v>17836</v>
      </c>
      <c r="K4847" s="31" t="s">
        <v>130</v>
      </c>
      <c r="L4847" s="31" t="s">
        <v>56</v>
      </c>
      <c r="M4847" s="31">
        <v>255</v>
      </c>
      <c r="N4847" s="31">
        <v>2021</v>
      </c>
      <c r="O4847" s="31">
        <v>240</v>
      </c>
      <c r="P4847" s="31"/>
      <c r="Q4847" s="31"/>
      <c r="R4847" s="33"/>
      <c r="S4847" s="34" t="str">
        <f>HYPERLINK("http://www.cnpol.ru/covers/19991.jpg","фото на сайте")</f>
        <v>фото на сайте</v>
      </c>
    </row>
    <row r="4848" spans="1:19" ht="50.1" customHeight="1">
      <c r="A4848" s="31"/>
      <c r="B4848" s="32" t="s">
        <v>17837</v>
      </c>
      <c r="C4848" s="31" t="s">
        <v>11269</v>
      </c>
      <c r="D4848" s="31" t="s">
        <v>5935</v>
      </c>
      <c r="E4848" s="31" t="s">
        <v>17838</v>
      </c>
      <c r="F4848" s="31" t="s">
        <v>31</v>
      </c>
      <c r="G4848" s="31">
        <v>325</v>
      </c>
      <c r="H4848" s="31">
        <v>10</v>
      </c>
      <c r="I4848" s="31">
        <v>14</v>
      </c>
      <c r="J4848" s="31" t="s">
        <v>17839</v>
      </c>
      <c r="K4848" s="31" t="s">
        <v>33</v>
      </c>
      <c r="L4848" s="31" t="s">
        <v>34</v>
      </c>
      <c r="M4848" s="31">
        <v>317</v>
      </c>
      <c r="N4848" s="31">
        <v>2004</v>
      </c>
      <c r="O4848" s="31">
        <v>302</v>
      </c>
      <c r="P4848" s="31"/>
      <c r="Q4848" s="31"/>
      <c r="R4848" s="33"/>
      <c r="S4848" s="34" t="str">
        <f>HYPERLINK("http://www.cnpol.ru/covers/4565.jpg","фото на сайте")</f>
        <v>фото на сайте</v>
      </c>
    </row>
    <row r="4849" spans="1:19" ht="50.1" customHeight="1">
      <c r="A4849" s="31"/>
      <c r="B4849" s="32" t="s">
        <v>17840</v>
      </c>
      <c r="C4849" s="31" t="s">
        <v>5934</v>
      </c>
      <c r="D4849" s="31" t="s">
        <v>5935</v>
      </c>
      <c r="E4849" s="31" t="s">
        <v>17838</v>
      </c>
      <c r="F4849" s="31" t="s">
        <v>31</v>
      </c>
      <c r="G4849" s="31">
        <v>154</v>
      </c>
      <c r="H4849" s="31">
        <v>10</v>
      </c>
      <c r="I4849" s="31">
        <v>24</v>
      </c>
      <c r="J4849" s="31" t="s">
        <v>17841</v>
      </c>
      <c r="K4849" s="31" t="s">
        <v>55</v>
      </c>
      <c r="L4849" s="31" t="s">
        <v>56</v>
      </c>
      <c r="M4849" s="31">
        <v>318</v>
      </c>
      <c r="N4849" s="31">
        <v>2004</v>
      </c>
      <c r="O4849" s="31">
        <v>122</v>
      </c>
      <c r="P4849" s="31"/>
      <c r="Q4849" s="31"/>
      <c r="R4849" s="33"/>
      <c r="S4849" s="34" t="str">
        <f>HYPERLINK("http://www.cnpol.ru/covers/4906.jpg","фото на сайте")</f>
        <v>фото на сайте</v>
      </c>
    </row>
    <row r="4850" spans="1:19" ht="50.1" customHeight="1">
      <c r="A4850" s="31"/>
      <c r="B4850" s="32" t="s">
        <v>17842</v>
      </c>
      <c r="C4850" s="31" t="s">
        <v>3422</v>
      </c>
      <c r="D4850" s="31" t="s">
        <v>4849</v>
      </c>
      <c r="E4850" s="31" t="s">
        <v>17843</v>
      </c>
      <c r="F4850" s="31" t="s">
        <v>31</v>
      </c>
      <c r="G4850" s="31">
        <v>154</v>
      </c>
      <c r="H4850" s="31">
        <v>10</v>
      </c>
      <c r="I4850" s="31">
        <v>20</v>
      </c>
      <c r="J4850" s="31" t="s">
        <v>17844</v>
      </c>
      <c r="K4850" s="31" t="s">
        <v>55</v>
      </c>
      <c r="L4850" s="31" t="s">
        <v>56</v>
      </c>
      <c r="M4850" s="31">
        <v>361</v>
      </c>
      <c r="N4850" s="31">
        <v>2008</v>
      </c>
      <c r="O4850" s="31">
        <v>150</v>
      </c>
      <c r="P4850" s="31"/>
      <c r="Q4850" s="31"/>
      <c r="R4850" s="33"/>
      <c r="S4850" s="34" t="str">
        <f>HYPERLINK("http://www.cnpol.ru/covers/7923.jpg","фото на сайте")</f>
        <v>фото на сайте</v>
      </c>
    </row>
    <row r="4851" spans="1:19" ht="50.1" customHeight="1">
      <c r="A4851" s="31"/>
      <c r="B4851" s="32" t="s">
        <v>17845</v>
      </c>
      <c r="C4851" s="31" t="s">
        <v>297</v>
      </c>
      <c r="D4851" s="31" t="s">
        <v>17337</v>
      </c>
      <c r="E4851" s="31" t="s">
        <v>17846</v>
      </c>
      <c r="F4851" s="31" t="s">
        <v>31</v>
      </c>
      <c r="G4851" s="31">
        <v>300</v>
      </c>
      <c r="H4851" s="31">
        <v>10</v>
      </c>
      <c r="I4851" s="31">
        <v>20</v>
      </c>
      <c r="J4851" s="31" t="s">
        <v>17847</v>
      </c>
      <c r="K4851" s="31" t="s">
        <v>300</v>
      </c>
      <c r="L4851" s="31" t="s">
        <v>56</v>
      </c>
      <c r="M4851" s="31">
        <v>320</v>
      </c>
      <c r="N4851" s="31">
        <v>2018</v>
      </c>
      <c r="O4851" s="31">
        <v>162</v>
      </c>
      <c r="P4851" s="31"/>
      <c r="Q4851" s="31"/>
      <c r="R4851" s="33"/>
      <c r="S4851" s="34" t="str">
        <f>HYPERLINK("http://www.cnpol.ru/covers/18023.jpg","фото на сайте")</f>
        <v>фото на сайте</v>
      </c>
    </row>
    <row r="4852" spans="1:19" ht="50.1" customHeight="1">
      <c r="A4852" s="31"/>
      <c r="B4852" s="32" t="s">
        <v>17848</v>
      </c>
      <c r="C4852" s="31" t="s">
        <v>302</v>
      </c>
      <c r="D4852" s="31" t="s">
        <v>17337</v>
      </c>
      <c r="E4852" s="31" t="s">
        <v>17846</v>
      </c>
      <c r="F4852" s="31" t="s">
        <v>31</v>
      </c>
      <c r="G4852" s="31">
        <v>854</v>
      </c>
      <c r="H4852" s="31">
        <v>10</v>
      </c>
      <c r="I4852" s="31">
        <v>10</v>
      </c>
      <c r="J4852" s="31" t="s">
        <v>17849</v>
      </c>
      <c r="K4852" s="31" t="s">
        <v>41</v>
      </c>
      <c r="L4852" s="31" t="s">
        <v>304</v>
      </c>
      <c r="M4852" s="31">
        <v>352</v>
      </c>
      <c r="N4852" s="31">
        <v>2016</v>
      </c>
      <c r="O4852" s="31">
        <v>466</v>
      </c>
      <c r="P4852" s="31"/>
      <c r="Q4852" s="31"/>
      <c r="R4852" s="33"/>
      <c r="S4852" s="34" t="str">
        <f>HYPERLINK("http://www.cnpol.ru/covers/17055.jpg","фото на сайте")</f>
        <v>фото на сайте</v>
      </c>
    </row>
    <row r="4853" spans="1:19" ht="50.1" customHeight="1">
      <c r="A4853" s="31"/>
      <c r="B4853" s="32" t="s">
        <v>17850</v>
      </c>
      <c r="C4853" s="31" t="s">
        <v>418</v>
      </c>
      <c r="D4853" s="31" t="s">
        <v>10724</v>
      </c>
      <c r="E4853" s="31" t="s">
        <v>17851</v>
      </c>
      <c r="F4853" s="31">
        <v>33</v>
      </c>
      <c r="G4853" s="31">
        <v>153</v>
      </c>
      <c r="H4853" s="31">
        <v>10</v>
      </c>
      <c r="I4853" s="31">
        <v>32</v>
      </c>
      <c r="J4853" s="31" t="s">
        <v>17852</v>
      </c>
      <c r="K4853" s="31" t="s">
        <v>123</v>
      </c>
      <c r="L4853" s="31" t="s">
        <v>56</v>
      </c>
      <c r="M4853" s="31">
        <v>224</v>
      </c>
      <c r="N4853" s="31">
        <v>2013</v>
      </c>
      <c r="O4853" s="31">
        <v>106</v>
      </c>
      <c r="P4853" s="31"/>
      <c r="Q4853" s="31"/>
      <c r="R4853" s="33"/>
      <c r="S4853" s="34" t="str">
        <f>HYPERLINK("http://www.cnpol.ru/covers/14602.jpg","фото на сайте")</f>
        <v>фото на сайте</v>
      </c>
    </row>
    <row r="4854" spans="1:19" ht="50.1" customHeight="1">
      <c r="A4854" s="31" t="s">
        <v>43</v>
      </c>
      <c r="B4854" s="32" t="s">
        <v>17853</v>
      </c>
      <c r="C4854" s="31" t="s">
        <v>746</v>
      </c>
      <c r="D4854" s="31" t="s">
        <v>17854</v>
      </c>
      <c r="E4854" s="31" t="s">
        <v>17855</v>
      </c>
      <c r="F4854" s="31" t="s">
        <v>31</v>
      </c>
      <c r="G4854" s="31">
        <v>464</v>
      </c>
      <c r="H4854" s="31">
        <v>10</v>
      </c>
      <c r="I4854" s="31">
        <v>20</v>
      </c>
      <c r="J4854" s="31" t="s">
        <v>17856</v>
      </c>
      <c r="K4854" s="31" t="s">
        <v>33</v>
      </c>
      <c r="L4854" s="31" t="s">
        <v>34</v>
      </c>
      <c r="M4854" s="31">
        <v>223</v>
      </c>
      <c r="N4854" s="31">
        <v>2024</v>
      </c>
      <c r="O4854" s="31">
        <v>225</v>
      </c>
      <c r="P4854" s="31"/>
      <c r="Q4854" s="31"/>
      <c r="R4854" s="33" t="s">
        <v>17857</v>
      </c>
      <c r="S4854" s="34" t="str">
        <f>HYPERLINK("http://www.cnpol.ru/covers/21062.jpg","фото на сайте")</f>
        <v>фото на сайте</v>
      </c>
    </row>
    <row r="4855" spans="1:19" ht="50.1" customHeight="1">
      <c r="A4855" s="31"/>
      <c r="B4855" s="32" t="s">
        <v>17858</v>
      </c>
      <c r="C4855" s="31" t="s">
        <v>1338</v>
      </c>
      <c r="D4855" s="31" t="s">
        <v>14959</v>
      </c>
      <c r="E4855" s="31" t="s">
        <v>17859</v>
      </c>
      <c r="F4855" s="31" t="s">
        <v>31</v>
      </c>
      <c r="G4855" s="31">
        <v>154</v>
      </c>
      <c r="H4855" s="31">
        <v>10</v>
      </c>
      <c r="I4855" s="31">
        <v>20</v>
      </c>
      <c r="J4855" s="31" t="s">
        <v>17860</v>
      </c>
      <c r="K4855" s="31" t="s">
        <v>55</v>
      </c>
      <c r="L4855" s="31" t="s">
        <v>56</v>
      </c>
      <c r="M4855" s="31">
        <v>301</v>
      </c>
      <c r="N4855" s="31">
        <v>2008</v>
      </c>
      <c r="O4855" s="31">
        <v>126</v>
      </c>
      <c r="P4855" s="31"/>
      <c r="Q4855" s="31"/>
      <c r="R4855" s="33"/>
      <c r="S4855" s="34" t="str">
        <f>HYPERLINK("http://www.cnpol.ru/covers/8846.jpg","фото на сайте")</f>
        <v>фото на сайте</v>
      </c>
    </row>
    <row r="4856" spans="1:19" ht="50.1" customHeight="1">
      <c r="A4856" s="31"/>
      <c r="B4856" s="32" t="s">
        <v>17861</v>
      </c>
      <c r="C4856" s="31" t="s">
        <v>1323</v>
      </c>
      <c r="D4856" s="31" t="s">
        <v>9245</v>
      </c>
      <c r="E4856" s="31" t="s">
        <v>17862</v>
      </c>
      <c r="F4856" s="31" t="s">
        <v>31</v>
      </c>
      <c r="G4856" s="31">
        <v>169</v>
      </c>
      <c r="H4856" s="31">
        <v>10</v>
      </c>
      <c r="I4856" s="31">
        <v>28</v>
      </c>
      <c r="J4856" s="31" t="s">
        <v>17863</v>
      </c>
      <c r="K4856" s="31" t="s">
        <v>55</v>
      </c>
      <c r="L4856" s="31" t="s">
        <v>56</v>
      </c>
      <c r="M4856" s="31">
        <v>320</v>
      </c>
      <c r="N4856" s="31">
        <v>2020</v>
      </c>
      <c r="O4856" s="31">
        <v>140</v>
      </c>
      <c r="P4856" s="31"/>
      <c r="Q4856" s="31"/>
      <c r="R4856" s="33"/>
      <c r="S4856" s="34" t="str">
        <f>HYPERLINK("http://www.cnpol.ru/covers/19397.jpg","фото на сайте")</f>
        <v>фото на сайте</v>
      </c>
    </row>
    <row r="4857" spans="1:19" ht="50.1" customHeight="1">
      <c r="A4857" s="31"/>
      <c r="B4857" s="32" t="s">
        <v>17864</v>
      </c>
      <c r="C4857" s="31" t="s">
        <v>4218</v>
      </c>
      <c r="D4857" s="31" t="s">
        <v>10762</v>
      </c>
      <c r="E4857" s="31" t="s">
        <v>17865</v>
      </c>
      <c r="F4857" s="31" t="s">
        <v>31</v>
      </c>
      <c r="G4857" s="31">
        <v>461</v>
      </c>
      <c r="H4857" s="31">
        <v>10</v>
      </c>
      <c r="I4857" s="31">
        <v>24</v>
      </c>
      <c r="J4857" s="31" t="s">
        <v>17866</v>
      </c>
      <c r="K4857" s="31" t="s">
        <v>33</v>
      </c>
      <c r="L4857" s="31" t="s">
        <v>34</v>
      </c>
      <c r="M4857" s="31">
        <v>222</v>
      </c>
      <c r="N4857" s="31">
        <v>2008</v>
      </c>
      <c r="O4857" s="31">
        <v>250</v>
      </c>
      <c r="P4857" s="31"/>
      <c r="Q4857" s="31"/>
      <c r="R4857" s="33"/>
      <c r="S4857" s="34" t="str">
        <f>HYPERLINK("http://www.cnpol.ru/covers/10262.jpg","фото на сайте")</f>
        <v>фото на сайте</v>
      </c>
    </row>
    <row r="4858" spans="1:19" ht="50.1" customHeight="1">
      <c r="A4858" s="31"/>
      <c r="B4858" s="32" t="s">
        <v>17867</v>
      </c>
      <c r="C4858" s="31" t="s">
        <v>400</v>
      </c>
      <c r="D4858" s="31" t="s">
        <v>17868</v>
      </c>
      <c r="E4858" s="31" t="s">
        <v>17869</v>
      </c>
      <c r="F4858" s="31" t="s">
        <v>31</v>
      </c>
      <c r="G4858" s="31">
        <v>503</v>
      </c>
      <c r="H4858" s="31">
        <v>10</v>
      </c>
      <c r="I4858" s="31">
        <v>12</v>
      </c>
      <c r="J4858" s="31" t="s">
        <v>17870</v>
      </c>
      <c r="K4858" s="31" t="s">
        <v>33</v>
      </c>
      <c r="L4858" s="31" t="s">
        <v>34</v>
      </c>
      <c r="M4858" s="31">
        <v>383</v>
      </c>
      <c r="N4858" s="31">
        <v>2022</v>
      </c>
      <c r="O4858" s="31">
        <v>382</v>
      </c>
      <c r="P4858" s="31"/>
      <c r="Q4858" s="31"/>
      <c r="R4858" s="33"/>
      <c r="S4858" s="34" t="str">
        <f>HYPERLINK("http://www.cnpol.ru/covers/20186.jpg","фото на сайте")</f>
        <v>фото на сайте</v>
      </c>
    </row>
    <row r="4859" spans="1:19" ht="50.1" customHeight="1">
      <c r="A4859" s="31"/>
      <c r="B4859" s="32" t="s">
        <v>17871</v>
      </c>
      <c r="C4859" s="31" t="s">
        <v>546</v>
      </c>
      <c r="D4859" s="31" t="s">
        <v>1461</v>
      </c>
      <c r="E4859" s="31" t="s">
        <v>17872</v>
      </c>
      <c r="F4859" s="31">
        <v>92</v>
      </c>
      <c r="G4859" s="31">
        <v>93</v>
      </c>
      <c r="H4859" s="31">
        <v>10</v>
      </c>
      <c r="I4859" s="31">
        <v>30</v>
      </c>
      <c r="J4859" s="31" t="s">
        <v>17873</v>
      </c>
      <c r="K4859" s="31" t="s">
        <v>123</v>
      </c>
      <c r="L4859" s="31" t="s">
        <v>56</v>
      </c>
      <c r="M4859" s="31">
        <v>158</v>
      </c>
      <c r="N4859" s="31">
        <v>2014</v>
      </c>
      <c r="O4859" s="31">
        <v>76</v>
      </c>
      <c r="P4859" s="31"/>
      <c r="Q4859" s="31"/>
      <c r="R4859" s="33"/>
      <c r="S4859" s="34" t="str">
        <f>HYPERLINK("http://www.cnpol.ru/covers/15564.jpg","фото на сайте")</f>
        <v>фото на сайте</v>
      </c>
    </row>
    <row r="4860" spans="1:19" ht="50.1" customHeight="1">
      <c r="A4860" s="31"/>
      <c r="B4860" s="32" t="s">
        <v>17874</v>
      </c>
      <c r="C4860" s="31" t="s">
        <v>546</v>
      </c>
      <c r="D4860" s="31" t="s">
        <v>3798</v>
      </c>
      <c r="E4860" s="31" t="s">
        <v>17875</v>
      </c>
      <c r="F4860" s="31">
        <v>374</v>
      </c>
      <c r="G4860" s="31">
        <v>93</v>
      </c>
      <c r="H4860" s="31">
        <v>10</v>
      </c>
      <c r="I4860" s="31">
        <v>30</v>
      </c>
      <c r="J4860" s="31" t="s">
        <v>17876</v>
      </c>
      <c r="K4860" s="31" t="s">
        <v>123</v>
      </c>
      <c r="L4860" s="31" t="s">
        <v>56</v>
      </c>
      <c r="M4860" s="31">
        <v>160</v>
      </c>
      <c r="N4860" s="31">
        <v>2021</v>
      </c>
      <c r="O4860" s="31">
        <v>76</v>
      </c>
      <c r="P4860" s="31"/>
      <c r="Q4860" s="31"/>
      <c r="R4860" s="33"/>
      <c r="S4860" s="34" t="str">
        <f>HYPERLINK("http://www.cnpol.ru/covers/19643.jpg","фото на сайте")</f>
        <v>фото на сайте</v>
      </c>
    </row>
    <row r="4861" spans="1:19" ht="50.1" customHeight="1">
      <c r="A4861" s="31"/>
      <c r="B4861" s="32" t="s">
        <v>17877</v>
      </c>
      <c r="C4861" s="31" t="s">
        <v>528</v>
      </c>
      <c r="D4861" s="31" t="s">
        <v>529</v>
      </c>
      <c r="E4861" s="31" t="s">
        <v>17878</v>
      </c>
      <c r="F4861" s="31" t="s">
        <v>31</v>
      </c>
      <c r="G4861" s="31">
        <v>137</v>
      </c>
      <c r="H4861" s="31">
        <v>10</v>
      </c>
      <c r="I4861" s="31">
        <v>40</v>
      </c>
      <c r="J4861" s="31" t="s">
        <v>17879</v>
      </c>
      <c r="K4861" s="31" t="s">
        <v>55</v>
      </c>
      <c r="L4861" s="31" t="s">
        <v>56</v>
      </c>
      <c r="M4861" s="31">
        <v>158</v>
      </c>
      <c r="N4861" s="31">
        <v>2013</v>
      </c>
      <c r="O4861" s="31">
        <v>68</v>
      </c>
      <c r="P4861" s="31"/>
      <c r="Q4861" s="31"/>
      <c r="R4861" s="33"/>
      <c r="S4861" s="34" t="str">
        <f>HYPERLINK("http://www.cnpol.ru/covers/14469.jpg","фото на сайте")</f>
        <v>фото на сайте</v>
      </c>
    </row>
    <row r="4862" spans="1:19" ht="50.1" customHeight="1">
      <c r="A4862" s="31"/>
      <c r="B4862" s="32" t="s">
        <v>17880</v>
      </c>
      <c r="C4862" s="31" t="s">
        <v>1003</v>
      </c>
      <c r="D4862" s="31" t="s">
        <v>1004</v>
      </c>
      <c r="E4862" s="31" t="s">
        <v>17881</v>
      </c>
      <c r="F4862" s="31" t="s">
        <v>31</v>
      </c>
      <c r="G4862" s="31">
        <v>122</v>
      </c>
      <c r="H4862" s="31">
        <v>10</v>
      </c>
      <c r="I4862" s="31">
        <v>30</v>
      </c>
      <c r="J4862" s="31" t="s">
        <v>17882</v>
      </c>
      <c r="K4862" s="31" t="s">
        <v>123</v>
      </c>
      <c r="L4862" s="31" t="s">
        <v>56</v>
      </c>
      <c r="M4862" s="31">
        <v>126</v>
      </c>
      <c r="N4862" s="31">
        <v>2021</v>
      </c>
      <c r="O4862" s="31">
        <v>60</v>
      </c>
      <c r="P4862" s="31"/>
      <c r="Q4862" s="31"/>
      <c r="R4862" s="33"/>
      <c r="S4862" s="34" t="str">
        <f>HYPERLINK("http://www.cnpol.ru/covers/19554.jpg","фото на сайте")</f>
        <v>фото на сайте</v>
      </c>
    </row>
    <row r="4863" spans="1:19" ht="50.1" customHeight="1">
      <c r="A4863" s="31"/>
      <c r="B4863" s="32" t="s">
        <v>17883</v>
      </c>
      <c r="C4863" s="31" t="s">
        <v>546</v>
      </c>
      <c r="D4863" s="31" t="s">
        <v>10576</v>
      </c>
      <c r="E4863" s="31" t="s">
        <v>17884</v>
      </c>
      <c r="F4863" s="31">
        <v>391</v>
      </c>
      <c r="G4863" s="31">
        <v>93</v>
      </c>
      <c r="H4863" s="31">
        <v>10</v>
      </c>
      <c r="I4863" s="31">
        <v>30</v>
      </c>
      <c r="J4863" s="31" t="s">
        <v>17885</v>
      </c>
      <c r="K4863" s="31" t="s">
        <v>123</v>
      </c>
      <c r="L4863" s="31" t="s">
        <v>56</v>
      </c>
      <c r="M4863" s="31">
        <v>159</v>
      </c>
      <c r="N4863" s="31">
        <v>2021</v>
      </c>
      <c r="O4863" s="31">
        <v>76</v>
      </c>
      <c r="P4863" s="31"/>
      <c r="Q4863" s="31"/>
      <c r="R4863" s="33"/>
      <c r="S4863" s="34" t="str">
        <f>HYPERLINK("http://www.cnpol.ru/covers/19947.jpg","фото на сайте")</f>
        <v>фото на сайте</v>
      </c>
    </row>
    <row r="4864" spans="1:19" ht="50.1" customHeight="1">
      <c r="A4864" s="31"/>
      <c r="B4864" s="32" t="s">
        <v>17886</v>
      </c>
      <c r="C4864" s="31" t="s">
        <v>520</v>
      </c>
      <c r="D4864" s="31" t="s">
        <v>559</v>
      </c>
      <c r="E4864" s="31" t="s">
        <v>17887</v>
      </c>
      <c r="F4864" s="31">
        <v>72</v>
      </c>
      <c r="G4864" s="31">
        <v>117</v>
      </c>
      <c r="H4864" s="31">
        <v>10</v>
      </c>
      <c r="I4864" s="31">
        <v>30</v>
      </c>
      <c r="J4864" s="31" t="s">
        <v>17888</v>
      </c>
      <c r="K4864" s="31" t="s">
        <v>123</v>
      </c>
      <c r="L4864" s="31" t="s">
        <v>56</v>
      </c>
      <c r="M4864" s="31">
        <v>192</v>
      </c>
      <c r="N4864" s="31">
        <v>2019</v>
      </c>
      <c r="O4864" s="31">
        <v>90</v>
      </c>
      <c r="P4864" s="31"/>
      <c r="Q4864" s="31"/>
      <c r="R4864" s="33"/>
      <c r="S4864" s="34" t="str">
        <f>HYPERLINK("http://www.cnpol.ru/covers/18927.jpg","фото на сайте")</f>
        <v>фото на сайте</v>
      </c>
    </row>
    <row r="4865" spans="1:19" ht="50.1" customHeight="1">
      <c r="A4865" s="31"/>
      <c r="B4865" s="32" t="s">
        <v>17889</v>
      </c>
      <c r="C4865" s="31" t="s">
        <v>390</v>
      </c>
      <c r="D4865" s="31" t="s">
        <v>391</v>
      </c>
      <c r="E4865" s="31" t="s">
        <v>17890</v>
      </c>
      <c r="F4865" s="31">
        <v>949</v>
      </c>
      <c r="G4865" s="31">
        <v>86</v>
      </c>
      <c r="H4865" s="31">
        <v>10</v>
      </c>
      <c r="I4865" s="31">
        <v>30</v>
      </c>
      <c r="J4865" s="31" t="s">
        <v>17891</v>
      </c>
      <c r="K4865" s="31" t="s">
        <v>123</v>
      </c>
      <c r="L4865" s="31" t="s">
        <v>56</v>
      </c>
      <c r="M4865" s="31">
        <v>160</v>
      </c>
      <c r="N4865" s="31">
        <v>2019</v>
      </c>
      <c r="O4865" s="31">
        <v>76</v>
      </c>
      <c r="P4865" s="31"/>
      <c r="Q4865" s="31"/>
      <c r="R4865" s="33"/>
      <c r="S4865" s="34" t="str">
        <f>HYPERLINK("http://www.cnpol.ru/covers/18989.jpg","фото на сайте")</f>
        <v>фото на сайте</v>
      </c>
    </row>
    <row r="4866" spans="1:19" ht="50.1" customHeight="1">
      <c r="A4866" s="31"/>
      <c r="B4866" s="32" t="s">
        <v>17892</v>
      </c>
      <c r="C4866" s="31" t="s">
        <v>400</v>
      </c>
      <c r="D4866" s="31" t="s">
        <v>785</v>
      </c>
      <c r="E4866" s="31" t="s">
        <v>17893</v>
      </c>
      <c r="F4866" s="31" t="s">
        <v>31</v>
      </c>
      <c r="G4866" s="31">
        <v>503</v>
      </c>
      <c r="H4866" s="31">
        <v>10</v>
      </c>
      <c r="I4866" s="31">
        <v>16</v>
      </c>
      <c r="J4866" s="31" t="s">
        <v>17894</v>
      </c>
      <c r="K4866" s="31" t="s">
        <v>33</v>
      </c>
      <c r="L4866" s="31" t="s">
        <v>34</v>
      </c>
      <c r="M4866" s="31">
        <v>288</v>
      </c>
      <c r="N4866" s="31">
        <v>2018</v>
      </c>
      <c r="O4866" s="31">
        <v>256</v>
      </c>
      <c r="P4866" s="31"/>
      <c r="Q4866" s="31"/>
      <c r="R4866" s="33"/>
      <c r="S4866" s="34" t="str">
        <f>HYPERLINK("http://www.cnpol.ru/covers/18400.jpg","фото на сайте")</f>
        <v>фото на сайте</v>
      </c>
    </row>
    <row r="4867" spans="1:19" ht="50.1" customHeight="1">
      <c r="A4867" s="31"/>
      <c r="B4867" s="32" t="s">
        <v>17895</v>
      </c>
      <c r="C4867" s="31" t="s">
        <v>390</v>
      </c>
      <c r="D4867" s="31" t="s">
        <v>8525</v>
      </c>
      <c r="E4867" s="31" t="s">
        <v>17896</v>
      </c>
      <c r="F4867" s="31">
        <v>941</v>
      </c>
      <c r="G4867" s="31">
        <v>86</v>
      </c>
      <c r="H4867" s="31">
        <v>10</v>
      </c>
      <c r="I4867" s="31">
        <v>30</v>
      </c>
      <c r="J4867" s="31" t="s">
        <v>17897</v>
      </c>
      <c r="K4867" s="31" t="s">
        <v>123</v>
      </c>
      <c r="L4867" s="31" t="s">
        <v>56</v>
      </c>
      <c r="M4867" s="31">
        <v>160</v>
      </c>
      <c r="N4867" s="31">
        <v>2019</v>
      </c>
      <c r="O4867" s="31">
        <v>76</v>
      </c>
      <c r="P4867" s="31"/>
      <c r="Q4867" s="31"/>
      <c r="R4867" s="33"/>
      <c r="S4867" s="34" t="str">
        <f>HYPERLINK("http://www.cnpol.ru/covers/18939.jpg","фото на сайте")</f>
        <v>фото на сайте</v>
      </c>
    </row>
    <row r="4868" spans="1:19" ht="50.1" customHeight="1">
      <c r="A4868" s="31"/>
      <c r="B4868" s="32" t="s">
        <v>17898</v>
      </c>
      <c r="C4868" s="31" t="s">
        <v>998</v>
      </c>
      <c r="D4868" s="31" t="s">
        <v>17195</v>
      </c>
      <c r="E4868" s="31" t="s">
        <v>17899</v>
      </c>
      <c r="F4868" s="31" t="s">
        <v>31</v>
      </c>
      <c r="G4868" s="31">
        <v>389</v>
      </c>
      <c r="H4868" s="31">
        <v>10</v>
      </c>
      <c r="I4868" s="31">
        <v>20</v>
      </c>
      <c r="J4868" s="31" t="s">
        <v>17900</v>
      </c>
      <c r="K4868" s="31" t="s">
        <v>33</v>
      </c>
      <c r="L4868" s="31" t="s">
        <v>34</v>
      </c>
      <c r="M4868" s="31">
        <v>222</v>
      </c>
      <c r="N4868" s="31">
        <v>2008</v>
      </c>
      <c r="O4868" s="31">
        <v>238</v>
      </c>
      <c r="P4868" s="31"/>
      <c r="Q4868" s="31"/>
      <c r="R4868" s="33"/>
      <c r="S4868" s="34" t="str">
        <f>HYPERLINK("http://www.cnpol.ru/covers/8684.jpg","фото на сайте")</f>
        <v>фото на сайте</v>
      </c>
    </row>
    <row r="4869" spans="1:19" ht="50.1" customHeight="1">
      <c r="A4869" s="31"/>
      <c r="B4869" s="32" t="s">
        <v>17901</v>
      </c>
      <c r="C4869" s="31" t="s">
        <v>546</v>
      </c>
      <c r="D4869" s="31" t="s">
        <v>1292</v>
      </c>
      <c r="E4869" s="31" t="s">
        <v>17902</v>
      </c>
      <c r="F4869" s="31">
        <v>44</v>
      </c>
      <c r="G4869" s="31">
        <v>93</v>
      </c>
      <c r="H4869" s="31">
        <v>10</v>
      </c>
      <c r="I4869" s="31">
        <v>30</v>
      </c>
      <c r="J4869" s="31" t="s">
        <v>17903</v>
      </c>
      <c r="K4869" s="31" t="s">
        <v>123</v>
      </c>
      <c r="L4869" s="31" t="s">
        <v>56</v>
      </c>
      <c r="M4869" s="31">
        <v>159</v>
      </c>
      <c r="N4869" s="31">
        <v>2013</v>
      </c>
      <c r="O4869" s="31">
        <v>78</v>
      </c>
      <c r="P4869" s="31"/>
      <c r="Q4869" s="31"/>
      <c r="R4869" s="33"/>
      <c r="S4869" s="34" t="str">
        <f>HYPERLINK("http://www.cnpol.ru/covers/14703.jpg","фото на сайте")</f>
        <v>фото на сайте</v>
      </c>
    </row>
    <row r="4870" spans="1:19" ht="50.1" customHeight="1">
      <c r="A4870" s="31"/>
      <c r="B4870" s="32" t="s">
        <v>17904</v>
      </c>
      <c r="C4870" s="31" t="s">
        <v>464</v>
      </c>
      <c r="D4870" s="31" t="s">
        <v>1495</v>
      </c>
      <c r="E4870" s="31" t="s">
        <v>17905</v>
      </c>
      <c r="F4870" s="31" t="s">
        <v>31</v>
      </c>
      <c r="G4870" s="31">
        <v>137</v>
      </c>
      <c r="H4870" s="31">
        <v>10</v>
      </c>
      <c r="I4870" s="31">
        <v>50</v>
      </c>
      <c r="J4870" s="31" t="s">
        <v>17906</v>
      </c>
      <c r="K4870" s="31" t="s">
        <v>468</v>
      </c>
      <c r="L4870" s="31" t="s">
        <v>56</v>
      </c>
      <c r="M4870" s="31">
        <v>18</v>
      </c>
      <c r="N4870" s="31">
        <v>2005</v>
      </c>
      <c r="O4870" s="31">
        <v>88</v>
      </c>
      <c r="P4870" s="31"/>
      <c r="Q4870" s="31"/>
      <c r="R4870" s="33"/>
      <c r="S4870" s="34" t="str">
        <f>HYPERLINK("http://www.cnpol.ru/covers/6056.jpg","фото на сайте")</f>
        <v>фото на сайте</v>
      </c>
    </row>
    <row r="4871" spans="1:19" ht="50.1" customHeight="1">
      <c r="A4871" s="31"/>
      <c r="B4871" s="32" t="s">
        <v>17907</v>
      </c>
      <c r="C4871" s="31" t="s">
        <v>119</v>
      </c>
      <c r="D4871" s="31" t="s">
        <v>17908</v>
      </c>
      <c r="E4871" s="31" t="s">
        <v>17909</v>
      </c>
      <c r="F4871" s="31" t="s">
        <v>31</v>
      </c>
      <c r="G4871" s="31">
        <v>461</v>
      </c>
      <c r="H4871" s="31">
        <v>10</v>
      </c>
      <c r="I4871" s="31">
        <v>20</v>
      </c>
      <c r="J4871" s="31" t="s">
        <v>17910</v>
      </c>
      <c r="K4871" s="31" t="s">
        <v>194</v>
      </c>
      <c r="L4871" s="31" t="s">
        <v>34</v>
      </c>
      <c r="M4871" s="31">
        <v>192</v>
      </c>
      <c r="N4871" s="31">
        <v>2016</v>
      </c>
      <c r="O4871" s="31">
        <v>192</v>
      </c>
      <c r="P4871" s="31"/>
      <c r="Q4871" s="31"/>
      <c r="R4871" s="33"/>
      <c r="S4871" s="34" t="str">
        <f>HYPERLINK("http://www.cnpol.ru/covers/17243.jpg","фото на сайте")</f>
        <v>фото на сайте</v>
      </c>
    </row>
    <row r="4872" spans="1:19" ht="50.1" customHeight="1">
      <c r="A4872" s="31"/>
      <c r="B4872" s="32" t="s">
        <v>17911</v>
      </c>
      <c r="C4872" s="31" t="s">
        <v>138</v>
      </c>
      <c r="D4872" s="31" t="s">
        <v>17912</v>
      </c>
      <c r="E4872" s="31" t="s">
        <v>17913</v>
      </c>
      <c r="F4872" s="31" t="s">
        <v>31</v>
      </c>
      <c r="G4872" s="31">
        <v>162</v>
      </c>
      <c r="H4872" s="31">
        <v>10</v>
      </c>
      <c r="I4872" s="31">
        <v>20</v>
      </c>
      <c r="J4872" s="31" t="s">
        <v>17914</v>
      </c>
      <c r="K4872" s="31" t="s">
        <v>130</v>
      </c>
      <c r="L4872" s="31" t="s">
        <v>56</v>
      </c>
      <c r="M4872" s="31">
        <v>128</v>
      </c>
      <c r="N4872" s="31">
        <v>2017</v>
      </c>
      <c r="O4872" s="31">
        <v>84</v>
      </c>
      <c r="P4872" s="31"/>
      <c r="Q4872" s="31"/>
      <c r="R4872" s="33"/>
      <c r="S4872" s="34" t="str">
        <f>HYPERLINK("http://www.cnpol.ru/covers/17429.jpg","фото на сайте")</f>
        <v>фото на сайте</v>
      </c>
    </row>
    <row r="4873" spans="1:19" ht="50.1" customHeight="1">
      <c r="A4873" s="31"/>
      <c r="B4873" s="32" t="s">
        <v>17915</v>
      </c>
      <c r="C4873" s="31" t="s">
        <v>939</v>
      </c>
      <c r="D4873" s="31" t="s">
        <v>16979</v>
      </c>
      <c r="E4873" s="31" t="s">
        <v>17916</v>
      </c>
      <c r="F4873" s="31" t="s">
        <v>31</v>
      </c>
      <c r="G4873" s="31">
        <v>122</v>
      </c>
      <c r="H4873" s="31">
        <v>10</v>
      </c>
      <c r="I4873" s="31">
        <v>22</v>
      </c>
      <c r="J4873" s="31" t="s">
        <v>17917</v>
      </c>
      <c r="K4873" s="31" t="s">
        <v>130</v>
      </c>
      <c r="L4873" s="31" t="s">
        <v>56</v>
      </c>
      <c r="M4873" s="31">
        <v>189</v>
      </c>
      <c r="N4873" s="31">
        <v>2010</v>
      </c>
      <c r="O4873" s="31">
        <v>136</v>
      </c>
      <c r="P4873" s="31"/>
      <c r="Q4873" s="31"/>
      <c r="R4873" s="33"/>
      <c r="S4873" s="34" t="str">
        <f>HYPERLINK("http://www.cnpol.ru/covers/11917.jpg","фото на сайте")</f>
        <v>фото на сайте</v>
      </c>
    </row>
    <row r="4874" spans="1:19" ht="50.1" customHeight="1">
      <c r="A4874" s="31"/>
      <c r="B4874" s="32" t="s">
        <v>17918</v>
      </c>
      <c r="C4874" s="31" t="s">
        <v>939</v>
      </c>
      <c r="D4874" s="31" t="s">
        <v>16979</v>
      </c>
      <c r="E4874" s="31" t="s">
        <v>17916</v>
      </c>
      <c r="F4874" s="31" t="s">
        <v>31</v>
      </c>
      <c r="G4874" s="31">
        <v>122</v>
      </c>
      <c r="H4874" s="31">
        <v>10</v>
      </c>
      <c r="I4874" s="31">
        <v>30</v>
      </c>
      <c r="J4874" s="31" t="s">
        <v>17917</v>
      </c>
      <c r="K4874" s="31" t="s">
        <v>130</v>
      </c>
      <c r="L4874" s="31" t="s">
        <v>56</v>
      </c>
      <c r="M4874" s="31">
        <v>189</v>
      </c>
      <c r="N4874" s="31">
        <v>2010</v>
      </c>
      <c r="O4874" s="31">
        <v>146</v>
      </c>
      <c r="P4874" s="31"/>
      <c r="Q4874" s="31"/>
      <c r="R4874" s="33"/>
      <c r="S4874" s="34" t="str">
        <f>HYPERLINK("http://www.cnpol.ru/covers/12253.jpg","фото на сайте")</f>
        <v>фото на сайте</v>
      </c>
    </row>
    <row r="4875" spans="1:19" ht="50.1" customHeight="1">
      <c r="A4875" s="31"/>
      <c r="B4875" s="32" t="s">
        <v>17919</v>
      </c>
      <c r="C4875" s="31" t="s">
        <v>939</v>
      </c>
      <c r="D4875" s="31" t="s">
        <v>16979</v>
      </c>
      <c r="E4875" s="31" t="s">
        <v>17916</v>
      </c>
      <c r="F4875" s="31" t="s">
        <v>31</v>
      </c>
      <c r="G4875" s="31">
        <v>137</v>
      </c>
      <c r="H4875" s="31">
        <v>10</v>
      </c>
      <c r="I4875" s="31">
        <v>32</v>
      </c>
      <c r="J4875" s="31" t="s">
        <v>17920</v>
      </c>
      <c r="K4875" s="31" t="s">
        <v>130</v>
      </c>
      <c r="L4875" s="31" t="s">
        <v>56</v>
      </c>
      <c r="M4875" s="31">
        <v>189</v>
      </c>
      <c r="N4875" s="31">
        <v>2010</v>
      </c>
      <c r="O4875" s="31">
        <v>146</v>
      </c>
      <c r="P4875" s="31"/>
      <c r="Q4875" s="31"/>
      <c r="R4875" s="33"/>
      <c r="S4875" s="34" t="str">
        <f>HYPERLINK("http://www.cnpol.ru/covers/12392.jpg","фото на сайте")</f>
        <v>фото на сайте</v>
      </c>
    </row>
    <row r="4876" spans="1:19" ht="50.1" customHeight="1">
      <c r="A4876" s="31"/>
      <c r="B4876" s="32" t="s">
        <v>17921</v>
      </c>
      <c r="C4876" s="31" t="s">
        <v>939</v>
      </c>
      <c r="D4876" s="31" t="s">
        <v>16979</v>
      </c>
      <c r="E4876" s="31" t="s">
        <v>17916</v>
      </c>
      <c r="F4876" s="31" t="s">
        <v>31</v>
      </c>
      <c r="G4876" s="31">
        <v>122</v>
      </c>
      <c r="H4876" s="31">
        <v>10</v>
      </c>
      <c r="I4876" s="31">
        <v>32</v>
      </c>
      <c r="J4876" s="31" t="s">
        <v>17920</v>
      </c>
      <c r="K4876" s="31" t="s">
        <v>130</v>
      </c>
      <c r="L4876" s="31" t="s">
        <v>56</v>
      </c>
      <c r="M4876" s="31">
        <v>189</v>
      </c>
      <c r="N4876" s="31">
        <v>2011</v>
      </c>
      <c r="O4876" s="31">
        <v>146</v>
      </c>
      <c r="P4876" s="31"/>
      <c r="Q4876" s="31"/>
      <c r="R4876" s="33"/>
      <c r="S4876" s="34" t="str">
        <f>HYPERLINK("http://www.cnpol.ru/covers/12687.jpg","фото на сайте")</f>
        <v>фото на сайте</v>
      </c>
    </row>
    <row r="4877" spans="1:19" ht="50.1" customHeight="1">
      <c r="A4877" s="31" t="s">
        <v>35</v>
      </c>
      <c r="B4877" s="32" t="s">
        <v>17922</v>
      </c>
      <c r="C4877" s="31" t="s">
        <v>779</v>
      </c>
      <c r="D4877" s="31" t="s">
        <v>17923</v>
      </c>
      <c r="E4877" s="31" t="s">
        <v>17924</v>
      </c>
      <c r="F4877" s="31" t="s">
        <v>31</v>
      </c>
      <c r="G4877" s="31">
        <v>936</v>
      </c>
      <c r="H4877" s="31">
        <v>10</v>
      </c>
      <c r="I4877" s="31">
        <v>12</v>
      </c>
      <c r="J4877" s="31" t="s">
        <v>17925</v>
      </c>
      <c r="K4877" s="31" t="s">
        <v>33</v>
      </c>
      <c r="L4877" s="31" t="s">
        <v>34</v>
      </c>
      <c r="M4877" s="31">
        <v>331</v>
      </c>
      <c r="N4877" s="31">
        <v>2024</v>
      </c>
      <c r="O4877" s="31">
        <v>378</v>
      </c>
      <c r="P4877" s="31"/>
      <c r="Q4877" s="31"/>
      <c r="R4877" s="33" t="s">
        <v>17926</v>
      </c>
      <c r="S4877" s="34" t="str">
        <f>HYPERLINK("http://www.cnpol.ru/covers/21016.jpg","фото на сайте")</f>
        <v>фото на сайте</v>
      </c>
    </row>
    <row r="4878" spans="1:19" ht="50.1" customHeight="1">
      <c r="A4878" s="31"/>
      <c r="B4878" s="32" t="s">
        <v>17927</v>
      </c>
      <c r="C4878" s="31" t="s">
        <v>10295</v>
      </c>
      <c r="D4878" s="31" t="s">
        <v>17928</v>
      </c>
      <c r="E4878" s="31" t="s">
        <v>17929</v>
      </c>
      <c r="F4878" s="31" t="s">
        <v>31</v>
      </c>
      <c r="G4878" s="31">
        <v>154</v>
      </c>
      <c r="H4878" s="31">
        <v>10</v>
      </c>
      <c r="I4878" s="31">
        <v>40</v>
      </c>
      <c r="J4878" s="31" t="s">
        <v>17930</v>
      </c>
      <c r="K4878" s="31" t="s">
        <v>130</v>
      </c>
      <c r="L4878" s="31" t="s">
        <v>56</v>
      </c>
      <c r="M4878" s="31">
        <v>144</v>
      </c>
      <c r="N4878" s="31">
        <v>2004</v>
      </c>
      <c r="O4878" s="31">
        <v>108</v>
      </c>
      <c r="P4878" s="31"/>
      <c r="Q4878" s="31"/>
      <c r="R4878" s="33"/>
      <c r="S4878" s="34" t="str">
        <f>HYPERLINK("http://www.cnpol.ru/covers/5079.jpg","фото на сайте")</f>
        <v>фото на сайте</v>
      </c>
    </row>
    <row r="4879" spans="1:19" ht="50.1" customHeight="1">
      <c r="A4879" s="31"/>
      <c r="B4879" s="32" t="s">
        <v>17931</v>
      </c>
      <c r="C4879" s="31" t="s">
        <v>17932</v>
      </c>
      <c r="D4879" s="31" t="s">
        <v>17933</v>
      </c>
      <c r="E4879" s="31" t="s">
        <v>17934</v>
      </c>
      <c r="F4879" s="31" t="s">
        <v>31</v>
      </c>
      <c r="G4879" s="31">
        <v>353</v>
      </c>
      <c r="H4879" s="31">
        <v>10</v>
      </c>
      <c r="I4879" s="31">
        <v>16</v>
      </c>
      <c r="J4879" s="31" t="s">
        <v>17935</v>
      </c>
      <c r="K4879" s="31" t="s">
        <v>226</v>
      </c>
      <c r="L4879" s="31" t="s">
        <v>34</v>
      </c>
      <c r="M4879" s="31">
        <v>639</v>
      </c>
      <c r="N4879" s="31">
        <v>2009</v>
      </c>
      <c r="O4879" s="31">
        <v>284</v>
      </c>
      <c r="P4879" s="31"/>
      <c r="Q4879" s="31"/>
      <c r="R4879" s="33"/>
      <c r="S4879" s="34" t="str">
        <f>HYPERLINK("http://www.cnpol.ru/covers/11596.jpg","фото на сайте")</f>
        <v>фото на сайте</v>
      </c>
    </row>
    <row r="4880" spans="1:19" ht="50.1" customHeight="1">
      <c r="A4880" s="31"/>
      <c r="B4880" s="32" t="s">
        <v>17936</v>
      </c>
      <c r="C4880" s="31" t="s">
        <v>17932</v>
      </c>
      <c r="D4880" s="31" t="s">
        <v>17933</v>
      </c>
      <c r="E4880" s="31" t="s">
        <v>17934</v>
      </c>
      <c r="F4880" s="31" t="s">
        <v>31</v>
      </c>
      <c r="G4880" s="31">
        <v>441</v>
      </c>
      <c r="H4880" s="31">
        <v>10</v>
      </c>
      <c r="I4880" s="31">
        <v>24</v>
      </c>
      <c r="J4880" s="31" t="s">
        <v>17937</v>
      </c>
      <c r="K4880" s="31" t="s">
        <v>7029</v>
      </c>
      <c r="L4880" s="31" t="s">
        <v>34</v>
      </c>
      <c r="M4880" s="31">
        <v>543</v>
      </c>
      <c r="N4880" s="31">
        <v>2016</v>
      </c>
      <c r="O4880" s="31">
        <v>228</v>
      </c>
      <c r="P4880" s="31"/>
      <c r="Q4880" s="31"/>
      <c r="R4880" s="33"/>
      <c r="S4880" s="34" t="str">
        <f>HYPERLINK("http://www.cnpol.ru/covers/17038.jpg","фото на сайте")</f>
        <v>фото на сайте</v>
      </c>
    </row>
    <row r="4881" spans="1:19" ht="50.1" customHeight="1">
      <c r="A4881" s="31"/>
      <c r="B4881" s="32" t="s">
        <v>17938</v>
      </c>
      <c r="C4881" s="31" t="s">
        <v>17932</v>
      </c>
      <c r="D4881" s="31" t="s">
        <v>17939</v>
      </c>
      <c r="E4881" s="31" t="s">
        <v>17940</v>
      </c>
      <c r="F4881" s="31" t="s">
        <v>31</v>
      </c>
      <c r="G4881" s="31">
        <v>425</v>
      </c>
      <c r="H4881" s="31">
        <v>10</v>
      </c>
      <c r="I4881" s="31">
        <v>16</v>
      </c>
      <c r="J4881" s="31" t="s">
        <v>17941</v>
      </c>
      <c r="K4881" s="31" t="s">
        <v>7029</v>
      </c>
      <c r="L4881" s="31" t="s">
        <v>34</v>
      </c>
      <c r="M4881" s="31">
        <v>607</v>
      </c>
      <c r="N4881" s="31">
        <v>2010</v>
      </c>
      <c r="O4881" s="31">
        <v>296</v>
      </c>
      <c r="P4881" s="31"/>
      <c r="Q4881" s="31"/>
      <c r="R4881" s="33"/>
      <c r="S4881" s="34" t="str">
        <f>HYPERLINK("http://www.cnpol.ru/covers/12418.jpg","фото на сайте")</f>
        <v>фото на сайте</v>
      </c>
    </row>
    <row r="4882" spans="1:19" ht="50.1" customHeight="1">
      <c r="A4882" s="31"/>
      <c r="B4882" s="32" t="s">
        <v>17942</v>
      </c>
      <c r="C4882" s="31" t="s">
        <v>17932</v>
      </c>
      <c r="D4882" s="31" t="s">
        <v>120</v>
      </c>
      <c r="E4882" s="31" t="s">
        <v>17943</v>
      </c>
      <c r="F4882" s="31" t="s">
        <v>31</v>
      </c>
      <c r="G4882" s="31">
        <v>389</v>
      </c>
      <c r="H4882" s="31">
        <v>10</v>
      </c>
      <c r="I4882" s="31">
        <v>16</v>
      </c>
      <c r="J4882" s="31" t="s">
        <v>17944</v>
      </c>
      <c r="K4882" s="31" t="s">
        <v>226</v>
      </c>
      <c r="L4882" s="31" t="s">
        <v>34</v>
      </c>
      <c r="M4882" s="31">
        <v>525</v>
      </c>
      <c r="N4882" s="31">
        <v>2009</v>
      </c>
      <c r="O4882" s="31">
        <v>278</v>
      </c>
      <c r="P4882" s="31"/>
      <c r="Q4882" s="31"/>
      <c r="R4882" s="33"/>
      <c r="S4882" s="34" t="str">
        <f>HYPERLINK("http://www.cnpol.ru/covers/11266.jpg","фото на сайте")</f>
        <v>фото на сайте</v>
      </c>
    </row>
    <row r="4883" spans="1:19" ht="50.1" customHeight="1">
      <c r="A4883" s="31"/>
      <c r="B4883" s="32" t="s">
        <v>17945</v>
      </c>
      <c r="C4883" s="31" t="s">
        <v>17932</v>
      </c>
      <c r="D4883" s="31" t="s">
        <v>120</v>
      </c>
      <c r="E4883" s="31" t="s">
        <v>17946</v>
      </c>
      <c r="F4883" s="31" t="s">
        <v>31</v>
      </c>
      <c r="G4883" s="31">
        <v>389</v>
      </c>
      <c r="H4883" s="31">
        <v>10</v>
      </c>
      <c r="I4883" s="31">
        <v>16</v>
      </c>
      <c r="J4883" s="31" t="s">
        <v>17947</v>
      </c>
      <c r="K4883" s="31" t="s">
        <v>226</v>
      </c>
      <c r="L4883" s="31" t="s">
        <v>34</v>
      </c>
      <c r="M4883" s="31">
        <v>575</v>
      </c>
      <c r="N4883" s="31">
        <v>2008</v>
      </c>
      <c r="O4883" s="31">
        <v>292</v>
      </c>
      <c r="P4883" s="31"/>
      <c r="Q4883" s="31"/>
      <c r="R4883" s="33"/>
      <c r="S4883" s="34" t="str">
        <f>HYPERLINK("http://www.cnpol.ru/covers/10634.jpg","фото на сайте")</f>
        <v>фото на сайте</v>
      </c>
    </row>
    <row r="4884" spans="1:19" ht="50.1" customHeight="1">
      <c r="A4884" s="31"/>
      <c r="B4884" s="32" t="s">
        <v>17948</v>
      </c>
      <c r="C4884" s="31" t="s">
        <v>17932</v>
      </c>
      <c r="D4884" s="31" t="s">
        <v>120</v>
      </c>
      <c r="E4884" s="31" t="s">
        <v>17946</v>
      </c>
      <c r="F4884" s="31" t="s">
        <v>31</v>
      </c>
      <c r="G4884" s="31">
        <v>425</v>
      </c>
      <c r="H4884" s="31">
        <v>10</v>
      </c>
      <c r="I4884" s="31">
        <v>16</v>
      </c>
      <c r="J4884" s="31" t="s">
        <v>17949</v>
      </c>
      <c r="K4884" s="31" t="s">
        <v>226</v>
      </c>
      <c r="L4884" s="31" t="s">
        <v>34</v>
      </c>
      <c r="M4884" s="31">
        <v>575</v>
      </c>
      <c r="N4884" s="31">
        <v>2013</v>
      </c>
      <c r="O4884" s="31">
        <v>240</v>
      </c>
      <c r="P4884" s="31"/>
      <c r="Q4884" s="31"/>
      <c r="R4884" s="33"/>
      <c r="S4884" s="34" t="str">
        <f>HYPERLINK("http://www.cnpol.ru/covers/14583.jpg","фото на сайте")</f>
        <v>фото на сайте</v>
      </c>
    </row>
    <row r="4885" spans="1:19" ht="50.1" customHeight="1">
      <c r="A4885" s="31"/>
      <c r="B4885" s="32" t="s">
        <v>17950</v>
      </c>
      <c r="C4885" s="31" t="s">
        <v>17932</v>
      </c>
      <c r="D4885" s="31" t="s">
        <v>17951</v>
      </c>
      <c r="E4885" s="31" t="s">
        <v>17952</v>
      </c>
      <c r="F4885" s="31" t="s">
        <v>31</v>
      </c>
      <c r="G4885" s="31">
        <v>353</v>
      </c>
      <c r="H4885" s="31">
        <v>10</v>
      </c>
      <c r="I4885" s="31">
        <v>20</v>
      </c>
      <c r="J4885" s="31" t="s">
        <v>17953</v>
      </c>
      <c r="K4885" s="31" t="s">
        <v>226</v>
      </c>
      <c r="L4885" s="31" t="s">
        <v>34</v>
      </c>
      <c r="M4885" s="31">
        <v>511</v>
      </c>
      <c r="N4885" s="31">
        <v>2008</v>
      </c>
      <c r="O4885" s="31">
        <v>264</v>
      </c>
      <c r="P4885" s="31"/>
      <c r="Q4885" s="31"/>
      <c r="R4885" s="33"/>
      <c r="S4885" s="34" t="str">
        <f>HYPERLINK("http://www.cnpol.ru/covers/10629.jpg","фото на сайте")</f>
        <v>фото на сайте</v>
      </c>
    </row>
    <row r="4886" spans="1:19" ht="50.1" customHeight="1">
      <c r="A4886" s="31"/>
      <c r="B4886" s="32" t="s">
        <v>17954</v>
      </c>
      <c r="C4886" s="31" t="s">
        <v>17932</v>
      </c>
      <c r="D4886" s="31" t="s">
        <v>17955</v>
      </c>
      <c r="E4886" s="31" t="s">
        <v>17956</v>
      </c>
      <c r="F4886" s="31" t="s">
        <v>31</v>
      </c>
      <c r="G4886" s="31">
        <v>389</v>
      </c>
      <c r="H4886" s="31">
        <v>10</v>
      </c>
      <c r="I4886" s="31">
        <v>16</v>
      </c>
      <c r="J4886" s="31" t="s">
        <v>17957</v>
      </c>
      <c r="K4886" s="31" t="s">
        <v>226</v>
      </c>
      <c r="L4886" s="31" t="s">
        <v>34</v>
      </c>
      <c r="M4886" s="31">
        <v>543</v>
      </c>
      <c r="N4886" s="31">
        <v>2012</v>
      </c>
      <c r="O4886" s="31">
        <v>262</v>
      </c>
      <c r="P4886" s="31"/>
      <c r="Q4886" s="31"/>
      <c r="R4886" s="33"/>
      <c r="S4886" s="34" t="str">
        <f>HYPERLINK("http://www.cnpol.ru/covers/13952.jpg","фото на сайте")</f>
        <v>фото на сайте</v>
      </c>
    </row>
    <row r="4887" spans="1:19" ht="50.1" customHeight="1">
      <c r="A4887" s="31"/>
      <c r="B4887" s="32" t="s">
        <v>17958</v>
      </c>
      <c r="C4887" s="31" t="s">
        <v>17932</v>
      </c>
      <c r="D4887" s="31" t="s">
        <v>17955</v>
      </c>
      <c r="E4887" s="31" t="s">
        <v>17956</v>
      </c>
      <c r="F4887" s="31" t="s">
        <v>31</v>
      </c>
      <c r="G4887" s="31">
        <v>389</v>
      </c>
      <c r="H4887" s="31">
        <v>10</v>
      </c>
      <c r="I4887" s="31">
        <v>16</v>
      </c>
      <c r="J4887" s="31" t="s">
        <v>17957</v>
      </c>
      <c r="K4887" s="31" t="s">
        <v>226</v>
      </c>
      <c r="L4887" s="31" t="s">
        <v>34</v>
      </c>
      <c r="M4887" s="31">
        <v>543</v>
      </c>
      <c r="N4887" s="31">
        <v>2013</v>
      </c>
      <c r="O4887" s="31">
        <v>228</v>
      </c>
      <c r="P4887" s="31"/>
      <c r="Q4887" s="31"/>
      <c r="R4887" s="33"/>
      <c r="S4887" s="34" t="str">
        <f>HYPERLINK("http://www.cnpol.ru/covers/14560.jpg","фото на сайте")</f>
        <v>фото на сайте</v>
      </c>
    </row>
    <row r="4888" spans="1:19" ht="50.1" customHeight="1">
      <c r="A4888" s="31"/>
      <c r="B4888" s="32" t="s">
        <v>17959</v>
      </c>
      <c r="C4888" s="31" t="s">
        <v>17932</v>
      </c>
      <c r="D4888" s="31" t="s">
        <v>17955</v>
      </c>
      <c r="E4888" s="31" t="s">
        <v>17956</v>
      </c>
      <c r="F4888" s="31" t="s">
        <v>31</v>
      </c>
      <c r="G4888" s="31">
        <v>425</v>
      </c>
      <c r="H4888" s="31">
        <v>10</v>
      </c>
      <c r="I4888" s="31">
        <v>16</v>
      </c>
      <c r="J4888" s="31" t="s">
        <v>17960</v>
      </c>
      <c r="K4888" s="31" t="s">
        <v>226</v>
      </c>
      <c r="L4888" s="31" t="s">
        <v>34</v>
      </c>
      <c r="M4888" s="31">
        <v>543</v>
      </c>
      <c r="N4888" s="31">
        <v>2014</v>
      </c>
      <c r="O4888" s="31">
        <v>224</v>
      </c>
      <c r="P4888" s="31"/>
      <c r="Q4888" s="31"/>
      <c r="R4888" s="33"/>
      <c r="S4888" s="34" t="str">
        <f>HYPERLINK("http://www.cnpol.ru/covers/15464.jpg","фото на сайте")</f>
        <v>фото на сайте</v>
      </c>
    </row>
    <row r="4889" spans="1:19" ht="50.1" customHeight="1">
      <c r="A4889" s="31"/>
      <c r="B4889" s="32" t="s">
        <v>17961</v>
      </c>
      <c r="C4889" s="31" t="s">
        <v>17932</v>
      </c>
      <c r="D4889" s="31" t="s">
        <v>17962</v>
      </c>
      <c r="E4889" s="31" t="s">
        <v>17963</v>
      </c>
      <c r="F4889" s="31" t="s">
        <v>31</v>
      </c>
      <c r="G4889" s="31">
        <v>425</v>
      </c>
      <c r="H4889" s="31">
        <v>10</v>
      </c>
      <c r="I4889" s="31">
        <v>12</v>
      </c>
      <c r="J4889" s="31" t="s">
        <v>17964</v>
      </c>
      <c r="K4889" s="31" t="s">
        <v>7029</v>
      </c>
      <c r="L4889" s="31" t="s">
        <v>34</v>
      </c>
      <c r="M4889" s="31">
        <v>608</v>
      </c>
      <c r="N4889" s="31">
        <v>2013</v>
      </c>
      <c r="O4889" s="31">
        <v>250</v>
      </c>
      <c r="P4889" s="31"/>
      <c r="Q4889" s="31"/>
      <c r="R4889" s="33"/>
      <c r="S4889" s="34" t="str">
        <f>HYPERLINK("http://www.cnpol.ru/covers/14685.jpg","фото на сайте")</f>
        <v>фото на сайте</v>
      </c>
    </row>
    <row r="4890" spans="1:19" ht="50.1" customHeight="1">
      <c r="A4890" s="31"/>
      <c r="B4890" s="32" t="s">
        <v>17965</v>
      </c>
      <c r="C4890" s="31" t="s">
        <v>546</v>
      </c>
      <c r="D4890" s="31" t="s">
        <v>653</v>
      </c>
      <c r="E4890" s="31" t="s">
        <v>17966</v>
      </c>
      <c r="F4890" s="31">
        <v>371</v>
      </c>
      <c r="G4890" s="31">
        <v>93</v>
      </c>
      <c r="H4890" s="31">
        <v>10</v>
      </c>
      <c r="I4890" s="31">
        <v>30</v>
      </c>
      <c r="J4890" s="31" t="s">
        <v>17967</v>
      </c>
      <c r="K4890" s="31" t="s">
        <v>123</v>
      </c>
      <c r="L4890" s="31" t="s">
        <v>56</v>
      </c>
      <c r="M4890" s="31">
        <v>160</v>
      </c>
      <c r="N4890" s="31">
        <v>2021</v>
      </c>
      <c r="O4890" s="31">
        <v>76</v>
      </c>
      <c r="P4890" s="31"/>
      <c r="Q4890" s="31"/>
      <c r="R4890" s="33"/>
      <c r="S4890" s="34" t="str">
        <f>HYPERLINK("http://www.cnpol.ru/covers/19582.jpg","фото на сайте")</f>
        <v>фото на сайте</v>
      </c>
    </row>
    <row r="4891" spans="1:19" ht="50.1" customHeight="1">
      <c r="A4891" s="31"/>
      <c r="B4891" s="32" t="s">
        <v>17968</v>
      </c>
      <c r="C4891" s="31" t="s">
        <v>385</v>
      </c>
      <c r="D4891" s="31" t="s">
        <v>386</v>
      </c>
      <c r="E4891" s="31" t="s">
        <v>17969</v>
      </c>
      <c r="F4891" s="31" t="s">
        <v>31</v>
      </c>
      <c r="G4891" s="31">
        <v>162</v>
      </c>
      <c r="H4891" s="31">
        <v>10</v>
      </c>
      <c r="I4891" s="31">
        <v>32</v>
      </c>
      <c r="J4891" s="31" t="s">
        <v>17970</v>
      </c>
      <c r="K4891" s="31" t="s">
        <v>55</v>
      </c>
      <c r="L4891" s="31" t="s">
        <v>56</v>
      </c>
      <c r="M4891" s="31">
        <v>224</v>
      </c>
      <c r="N4891" s="31">
        <v>2016</v>
      </c>
      <c r="O4891" s="31">
        <v>94</v>
      </c>
      <c r="P4891" s="31"/>
      <c r="Q4891" s="31"/>
      <c r="R4891" s="33"/>
      <c r="S4891" s="34" t="str">
        <f>HYPERLINK("http://www.cnpol.ru/covers/0158.jpg","фото на сайте")</f>
        <v>фото на сайте</v>
      </c>
    </row>
    <row r="4892" spans="1:19" ht="50.1" customHeight="1">
      <c r="A4892" s="31"/>
      <c r="B4892" s="32" t="s">
        <v>17971</v>
      </c>
      <c r="C4892" s="31" t="s">
        <v>1328</v>
      </c>
      <c r="D4892" s="31" t="s">
        <v>4014</v>
      </c>
      <c r="E4892" s="31" t="s">
        <v>17972</v>
      </c>
      <c r="F4892" s="31" t="s">
        <v>31</v>
      </c>
      <c r="G4892" s="31">
        <v>398</v>
      </c>
      <c r="H4892" s="31">
        <v>10</v>
      </c>
      <c r="I4892" s="31">
        <v>20</v>
      </c>
      <c r="J4892" s="31" t="s">
        <v>17973</v>
      </c>
      <c r="K4892" s="31" t="s">
        <v>4017</v>
      </c>
      <c r="L4892" s="31" t="s">
        <v>56</v>
      </c>
      <c r="M4892" s="31">
        <v>288</v>
      </c>
      <c r="N4892" s="31">
        <v>2017</v>
      </c>
      <c r="O4892" s="31">
        <v>196</v>
      </c>
      <c r="P4892" s="31"/>
      <c r="Q4892" s="31"/>
      <c r="R4892" s="33"/>
      <c r="S4892" s="34" t="str">
        <f>HYPERLINK("http://www.cnpol.ru/covers/17407.jpg","фото на сайте")</f>
        <v>фото на сайте</v>
      </c>
    </row>
    <row r="4893" spans="1:19" ht="50.1" customHeight="1">
      <c r="A4893" s="31"/>
      <c r="B4893" s="32" t="s">
        <v>17974</v>
      </c>
      <c r="C4893" s="31" t="s">
        <v>37</v>
      </c>
      <c r="D4893" s="31" t="s">
        <v>17975</v>
      </c>
      <c r="E4893" s="31" t="s">
        <v>17976</v>
      </c>
      <c r="F4893" s="31" t="s">
        <v>31</v>
      </c>
      <c r="G4893" s="35">
        <v>1076</v>
      </c>
      <c r="H4893" s="31">
        <v>10</v>
      </c>
      <c r="I4893" s="31">
        <v>8</v>
      </c>
      <c r="J4893" s="31" t="s">
        <v>17977</v>
      </c>
      <c r="K4893" s="31" t="s">
        <v>33</v>
      </c>
      <c r="L4893" s="31" t="s">
        <v>34</v>
      </c>
      <c r="M4893" s="31">
        <v>396</v>
      </c>
      <c r="N4893" s="31">
        <v>2023</v>
      </c>
      <c r="O4893" s="31">
        <v>335</v>
      </c>
      <c r="P4893" s="31"/>
      <c r="Q4893" s="31"/>
      <c r="R4893" s="33" t="s">
        <v>17978</v>
      </c>
      <c r="S4893" s="34" t="str">
        <f>HYPERLINK("http://www.cnpol.ru/covers/20485.jpg","фото на сайте")</f>
        <v>фото на сайте</v>
      </c>
    </row>
    <row r="4894" spans="1:19" ht="50.1" customHeight="1">
      <c r="A4894" s="31"/>
      <c r="B4894" s="32" t="s">
        <v>17979</v>
      </c>
      <c r="C4894" s="31" t="s">
        <v>37</v>
      </c>
      <c r="D4894" s="31" t="s">
        <v>17980</v>
      </c>
      <c r="E4894" s="31" t="s">
        <v>17981</v>
      </c>
      <c r="F4894" s="31" t="s">
        <v>31</v>
      </c>
      <c r="G4894" s="31">
        <v>917</v>
      </c>
      <c r="H4894" s="31">
        <v>10</v>
      </c>
      <c r="I4894" s="31">
        <v>12</v>
      </c>
      <c r="J4894" s="31" t="s">
        <v>17982</v>
      </c>
      <c r="K4894" s="31" t="s">
        <v>33</v>
      </c>
      <c r="L4894" s="31" t="s">
        <v>34</v>
      </c>
      <c r="M4894" s="31">
        <v>316</v>
      </c>
      <c r="N4894" s="31">
        <v>2022</v>
      </c>
      <c r="O4894" s="31">
        <v>275</v>
      </c>
      <c r="P4894" s="31"/>
      <c r="Q4894" s="31"/>
      <c r="R4894" s="33" t="s">
        <v>17983</v>
      </c>
      <c r="S4894" s="34" t="str">
        <f>HYPERLINK("http://www.cnpol.ru/covers/20397.jpg","фото на сайте")</f>
        <v>фото на сайте</v>
      </c>
    </row>
    <row r="4895" spans="1:19" ht="50.1" customHeight="1">
      <c r="A4895" s="31" t="s">
        <v>35</v>
      </c>
      <c r="B4895" s="32" t="s">
        <v>17984</v>
      </c>
      <c r="C4895" s="31" t="s">
        <v>1540</v>
      </c>
      <c r="D4895" s="31" t="s">
        <v>17985</v>
      </c>
      <c r="E4895" s="31" t="s">
        <v>17986</v>
      </c>
      <c r="F4895" s="31" t="s">
        <v>31</v>
      </c>
      <c r="G4895" s="35">
        <v>1149</v>
      </c>
      <c r="H4895" s="31">
        <v>10</v>
      </c>
      <c r="I4895" s="31">
        <v>8</v>
      </c>
      <c r="J4895" s="31" t="s">
        <v>17987</v>
      </c>
      <c r="K4895" s="31" t="s">
        <v>33</v>
      </c>
      <c r="L4895" s="31" t="s">
        <v>34</v>
      </c>
      <c r="M4895" s="31">
        <v>462</v>
      </c>
      <c r="N4895" s="31">
        <v>2024</v>
      </c>
      <c r="O4895" s="31">
        <v>460</v>
      </c>
      <c r="P4895" s="31"/>
      <c r="Q4895" s="31"/>
      <c r="R4895" s="33" t="s">
        <v>17988</v>
      </c>
      <c r="S4895" s="34" t="str">
        <f>HYPERLINK("http://www.cnpol.ru/covers/21347.jpg","фото на сайте")</f>
        <v>фото на сайте</v>
      </c>
    </row>
    <row r="4896" spans="1:19" ht="50.1" customHeight="1">
      <c r="A4896" s="31" t="s">
        <v>43</v>
      </c>
      <c r="B4896" s="32" t="s">
        <v>17989</v>
      </c>
      <c r="C4896" s="31" t="s">
        <v>1064</v>
      </c>
      <c r="D4896" s="31" t="s">
        <v>1065</v>
      </c>
      <c r="E4896" s="31" t="s">
        <v>17990</v>
      </c>
      <c r="F4896" s="31" t="s">
        <v>31</v>
      </c>
      <c r="G4896" s="35">
        <v>1077</v>
      </c>
      <c r="H4896" s="31">
        <v>10</v>
      </c>
      <c r="I4896" s="31">
        <v>5</v>
      </c>
      <c r="J4896" s="31" t="s">
        <v>17991</v>
      </c>
      <c r="K4896" s="31" t="s">
        <v>33</v>
      </c>
      <c r="L4896" s="31" t="s">
        <v>34</v>
      </c>
      <c r="M4896" s="31">
        <v>455</v>
      </c>
      <c r="N4896" s="31">
        <v>2025</v>
      </c>
      <c r="O4896" s="31">
        <v>322</v>
      </c>
      <c r="P4896" s="31"/>
      <c r="Q4896" s="31"/>
      <c r="R4896" s="33" t="s">
        <v>17992</v>
      </c>
      <c r="S4896" s="34" t="str">
        <f>HYPERLINK("http://www.cnpol.ru/covers/21576.jpg","фото на сайте")</f>
        <v>фото на сайте</v>
      </c>
    </row>
    <row r="4897" spans="1:19" ht="50.1" customHeight="1">
      <c r="A4897" s="31" t="s">
        <v>43</v>
      </c>
      <c r="B4897" s="32" t="s">
        <v>17993</v>
      </c>
      <c r="C4897" s="31" t="s">
        <v>1064</v>
      </c>
      <c r="D4897" s="31" t="s">
        <v>1065</v>
      </c>
      <c r="E4897" s="31" t="s">
        <v>17994</v>
      </c>
      <c r="F4897" s="31" t="s">
        <v>31</v>
      </c>
      <c r="G4897" s="35">
        <v>1077</v>
      </c>
      <c r="H4897" s="31">
        <v>10</v>
      </c>
      <c r="I4897" s="31">
        <v>5</v>
      </c>
      <c r="J4897" s="31" t="s">
        <v>17995</v>
      </c>
      <c r="K4897" s="31" t="s">
        <v>33</v>
      </c>
      <c r="L4897" s="31" t="s">
        <v>34</v>
      </c>
      <c r="M4897" s="31">
        <v>454</v>
      </c>
      <c r="N4897" s="31">
        <v>2025</v>
      </c>
      <c r="O4897" s="31">
        <v>404</v>
      </c>
      <c r="P4897" s="31"/>
      <c r="Q4897" s="31"/>
      <c r="R4897" s="33" t="s">
        <v>17996</v>
      </c>
      <c r="S4897" s="34" t="str">
        <f>HYPERLINK("http://www.cnpol.ru/covers/21581.jpg","фото на сайте")</f>
        <v>фото на сайте</v>
      </c>
    </row>
    <row r="4898" spans="1:19" ht="50.1" customHeight="1">
      <c r="A4898" s="31"/>
      <c r="B4898" s="32" t="s">
        <v>17997</v>
      </c>
      <c r="C4898" s="31" t="s">
        <v>297</v>
      </c>
      <c r="D4898" s="31" t="s">
        <v>539</v>
      </c>
      <c r="E4898" s="31" t="s">
        <v>17998</v>
      </c>
      <c r="F4898" s="31" t="s">
        <v>31</v>
      </c>
      <c r="G4898" s="31">
        <v>300</v>
      </c>
      <c r="H4898" s="31">
        <v>10</v>
      </c>
      <c r="I4898" s="31">
        <v>32</v>
      </c>
      <c r="J4898" s="31" t="s">
        <v>17999</v>
      </c>
      <c r="K4898" s="31" t="s">
        <v>300</v>
      </c>
      <c r="L4898" s="31" t="s">
        <v>56</v>
      </c>
      <c r="M4898" s="31">
        <v>224</v>
      </c>
      <c r="N4898" s="31">
        <v>2018</v>
      </c>
      <c r="O4898" s="31">
        <v>116</v>
      </c>
      <c r="P4898" s="31"/>
      <c r="Q4898" s="31"/>
      <c r="R4898" s="33"/>
      <c r="S4898" s="34" t="str">
        <f>HYPERLINK("http://www.cnpol.ru/covers/18304.jpg","фото на сайте")</f>
        <v>фото на сайте</v>
      </c>
    </row>
    <row r="4899" spans="1:19" ht="50.1" customHeight="1">
      <c r="A4899" s="31"/>
      <c r="B4899" s="32" t="s">
        <v>18000</v>
      </c>
      <c r="C4899" s="31" t="s">
        <v>9034</v>
      </c>
      <c r="D4899" s="31" t="s">
        <v>539</v>
      </c>
      <c r="E4899" s="31" t="s">
        <v>17998</v>
      </c>
      <c r="F4899" s="31" t="s">
        <v>31</v>
      </c>
      <c r="G4899" s="31">
        <v>499</v>
      </c>
      <c r="H4899" s="31">
        <v>10</v>
      </c>
      <c r="I4899" s="31">
        <v>20</v>
      </c>
      <c r="J4899" s="31" t="s">
        <v>18001</v>
      </c>
      <c r="K4899" s="31" t="s">
        <v>33</v>
      </c>
      <c r="L4899" s="31" t="s">
        <v>210</v>
      </c>
      <c r="M4899" s="31">
        <v>254</v>
      </c>
      <c r="N4899" s="31">
        <v>2015</v>
      </c>
      <c r="O4899" s="31">
        <v>212</v>
      </c>
      <c r="P4899" s="31"/>
      <c r="Q4899" s="31"/>
      <c r="R4899" s="33" t="s">
        <v>18002</v>
      </c>
      <c r="S4899" s="34" t="str">
        <f>HYPERLINK("http://www.cnpol.ru/covers/15888.jpg","фото на сайте")</f>
        <v>фото на сайте</v>
      </c>
    </row>
    <row r="4900" spans="1:19" ht="50.1" customHeight="1">
      <c r="A4900" s="31"/>
      <c r="B4900" s="32" t="s">
        <v>18003</v>
      </c>
      <c r="C4900" s="31" t="s">
        <v>9034</v>
      </c>
      <c r="D4900" s="31" t="s">
        <v>539</v>
      </c>
      <c r="E4900" s="31" t="s">
        <v>17998</v>
      </c>
      <c r="F4900" s="31" t="s">
        <v>31</v>
      </c>
      <c r="G4900" s="31">
        <v>499</v>
      </c>
      <c r="H4900" s="31">
        <v>10</v>
      </c>
      <c r="I4900" s="31">
        <v>20</v>
      </c>
      <c r="J4900" s="31" t="s">
        <v>18004</v>
      </c>
      <c r="K4900" s="31" t="s">
        <v>33</v>
      </c>
      <c r="L4900" s="31" t="s">
        <v>210</v>
      </c>
      <c r="M4900" s="31">
        <v>256</v>
      </c>
      <c r="N4900" s="31">
        <v>2016</v>
      </c>
      <c r="O4900" s="31">
        <v>212</v>
      </c>
      <c r="P4900" s="31"/>
      <c r="Q4900" s="31"/>
      <c r="R4900" s="33" t="s">
        <v>18005</v>
      </c>
      <c r="S4900" s="34" t="str">
        <f>HYPERLINK("http://www.cnpol.ru/covers/16719.jpg","фото на сайте")</f>
        <v>фото на сайте</v>
      </c>
    </row>
    <row r="4901" spans="1:19" ht="50.1" customHeight="1">
      <c r="A4901" s="31" t="s">
        <v>43</v>
      </c>
      <c r="B4901" s="32" t="s">
        <v>18006</v>
      </c>
      <c r="C4901" s="31" t="s">
        <v>1064</v>
      </c>
      <c r="D4901" s="31" t="s">
        <v>1065</v>
      </c>
      <c r="E4901" s="31" t="s">
        <v>18007</v>
      </c>
      <c r="F4901" s="31" t="s">
        <v>31</v>
      </c>
      <c r="G4901" s="35">
        <v>1077</v>
      </c>
      <c r="H4901" s="31">
        <v>10</v>
      </c>
      <c r="I4901" s="31">
        <v>5</v>
      </c>
      <c r="J4901" s="31" t="s">
        <v>18008</v>
      </c>
      <c r="K4901" s="31" t="s">
        <v>33</v>
      </c>
      <c r="L4901" s="31" t="s">
        <v>34</v>
      </c>
      <c r="M4901" s="31">
        <v>486</v>
      </c>
      <c r="N4901" s="31">
        <v>2025</v>
      </c>
      <c r="O4901" s="31">
        <v>355</v>
      </c>
      <c r="P4901" s="31"/>
      <c r="Q4901" s="31"/>
      <c r="R4901" s="33" t="s">
        <v>18009</v>
      </c>
      <c r="S4901" s="34" t="str">
        <f>HYPERLINK("http://www.cnpol.ru/covers/21565.jpg","фото на сайте")</f>
        <v>фото на сайте</v>
      </c>
    </row>
    <row r="4902" spans="1:19" ht="50.1" customHeight="1">
      <c r="A4902" s="31"/>
      <c r="B4902" s="32" t="s">
        <v>18010</v>
      </c>
      <c r="C4902" s="31" t="s">
        <v>143</v>
      </c>
      <c r="D4902" s="31" t="s">
        <v>172</v>
      </c>
      <c r="E4902" s="31" t="s">
        <v>18011</v>
      </c>
      <c r="F4902" s="31" t="s">
        <v>31</v>
      </c>
      <c r="G4902" s="35">
        <v>3445</v>
      </c>
      <c r="H4902" s="31">
        <v>10</v>
      </c>
      <c r="I4902" s="31">
        <v>2</v>
      </c>
      <c r="J4902" s="31" t="s">
        <v>18012</v>
      </c>
      <c r="K4902" s="31" t="s">
        <v>319</v>
      </c>
      <c r="L4902" s="31" t="s">
        <v>34</v>
      </c>
      <c r="M4902" s="31">
        <v>992</v>
      </c>
      <c r="N4902" s="31">
        <v>2019</v>
      </c>
      <c r="O4902" s="31">
        <v>1520</v>
      </c>
      <c r="P4902" s="31"/>
      <c r="Q4902" s="31"/>
      <c r="R4902" s="33"/>
      <c r="S4902" s="34" t="str">
        <f>HYPERLINK("http://www.cnpol.ru/covers/18969.jpg","фото на сайте")</f>
        <v>фото на сайте</v>
      </c>
    </row>
    <row r="4903" spans="1:19" ht="50.1" customHeight="1">
      <c r="A4903" s="31" t="s">
        <v>43</v>
      </c>
      <c r="B4903" s="32" t="s">
        <v>18013</v>
      </c>
      <c r="C4903" s="31" t="s">
        <v>37</v>
      </c>
      <c r="D4903" s="31" t="s">
        <v>18014</v>
      </c>
      <c r="E4903" s="31" t="s">
        <v>18015</v>
      </c>
      <c r="F4903" s="31" t="s">
        <v>31</v>
      </c>
      <c r="G4903" s="31">
        <v>807</v>
      </c>
      <c r="H4903" s="31">
        <v>10</v>
      </c>
      <c r="I4903" s="31">
        <v>14</v>
      </c>
      <c r="J4903" s="31" t="s">
        <v>18016</v>
      </c>
      <c r="K4903" s="31" t="s">
        <v>33</v>
      </c>
      <c r="L4903" s="31" t="s">
        <v>34</v>
      </c>
      <c r="M4903" s="31">
        <v>383</v>
      </c>
      <c r="N4903" s="31">
        <v>2025</v>
      </c>
      <c r="O4903" s="31">
        <v>421</v>
      </c>
      <c r="P4903" s="31"/>
      <c r="Q4903" s="31"/>
      <c r="R4903" s="33" t="s">
        <v>18017</v>
      </c>
      <c r="S4903" s="34" t="str">
        <f>HYPERLINK("http://www.cnpol.ru/covers/21717.jpg","фото на сайте")</f>
        <v>фото на сайте</v>
      </c>
    </row>
    <row r="4904" spans="1:19" ht="50.1" customHeight="1">
      <c r="A4904" s="31"/>
      <c r="B4904" s="32" t="s">
        <v>18018</v>
      </c>
      <c r="C4904" s="31" t="s">
        <v>528</v>
      </c>
      <c r="D4904" s="31" t="s">
        <v>529</v>
      </c>
      <c r="E4904" s="31" t="s">
        <v>18019</v>
      </c>
      <c r="F4904" s="31" t="s">
        <v>31</v>
      </c>
      <c r="G4904" s="31">
        <v>137</v>
      </c>
      <c r="H4904" s="31">
        <v>10</v>
      </c>
      <c r="I4904" s="31">
        <v>40</v>
      </c>
      <c r="J4904" s="31" t="s">
        <v>18020</v>
      </c>
      <c r="K4904" s="31" t="s">
        <v>55</v>
      </c>
      <c r="L4904" s="31" t="s">
        <v>56</v>
      </c>
      <c r="M4904" s="31">
        <v>160</v>
      </c>
      <c r="N4904" s="31">
        <v>2017</v>
      </c>
      <c r="O4904" s="31">
        <v>68</v>
      </c>
      <c r="P4904" s="31"/>
      <c r="Q4904" s="31"/>
      <c r="R4904" s="33"/>
      <c r="S4904" s="34" t="str">
        <f>HYPERLINK("http://www.cnpol.ru/covers/17348.jpg","фото на сайте")</f>
        <v>фото на сайте</v>
      </c>
    </row>
    <row r="4905" spans="1:19" ht="50.1" customHeight="1">
      <c r="A4905" s="31"/>
      <c r="B4905" s="32" t="s">
        <v>18021</v>
      </c>
      <c r="C4905" s="31" t="s">
        <v>413</v>
      </c>
      <c r="D4905" s="31" t="s">
        <v>8716</v>
      </c>
      <c r="E4905" s="31" t="s">
        <v>18022</v>
      </c>
      <c r="F4905" s="31">
        <v>119</v>
      </c>
      <c r="G4905" s="31">
        <v>117</v>
      </c>
      <c r="H4905" s="31">
        <v>10</v>
      </c>
      <c r="I4905" s="31">
        <v>36</v>
      </c>
      <c r="J4905" s="31" t="s">
        <v>18023</v>
      </c>
      <c r="K4905" s="31" t="s">
        <v>123</v>
      </c>
      <c r="L4905" s="31" t="s">
        <v>56</v>
      </c>
      <c r="M4905" s="31">
        <v>192</v>
      </c>
      <c r="N4905" s="31">
        <v>2016</v>
      </c>
      <c r="O4905" s="31">
        <v>90</v>
      </c>
      <c r="P4905" s="31"/>
      <c r="Q4905" s="31"/>
      <c r="R4905" s="33"/>
      <c r="S4905" s="34" t="str">
        <f>HYPERLINK("http://www.cnpol.ru/covers/16966.jpg","фото на сайте")</f>
        <v>фото на сайте</v>
      </c>
    </row>
    <row r="4906" spans="1:19" ht="50.1" customHeight="1">
      <c r="A4906" s="31"/>
      <c r="B4906" s="32" t="s">
        <v>18024</v>
      </c>
      <c r="C4906" s="31" t="s">
        <v>1668</v>
      </c>
      <c r="D4906" s="31" t="s">
        <v>1669</v>
      </c>
      <c r="E4906" s="31" t="s">
        <v>18025</v>
      </c>
      <c r="F4906" s="31" t="s">
        <v>31</v>
      </c>
      <c r="G4906" s="31">
        <v>575</v>
      </c>
      <c r="H4906" s="31">
        <v>10</v>
      </c>
      <c r="I4906" s="31">
        <v>12</v>
      </c>
      <c r="J4906" s="31" t="s">
        <v>18026</v>
      </c>
      <c r="K4906" s="31" t="s">
        <v>33</v>
      </c>
      <c r="L4906" s="31" t="s">
        <v>34</v>
      </c>
      <c r="M4906" s="31">
        <v>351</v>
      </c>
      <c r="N4906" s="31">
        <v>2022</v>
      </c>
      <c r="O4906" s="31">
        <v>296</v>
      </c>
      <c r="P4906" s="31"/>
      <c r="Q4906" s="31"/>
      <c r="R4906" s="33" t="s">
        <v>18027</v>
      </c>
      <c r="S4906" s="34" t="str">
        <f>HYPERLINK("http://www.cnpol.ru/covers/20379.jpg","фото на сайте")</f>
        <v>фото на сайте</v>
      </c>
    </row>
    <row r="4907" spans="1:19" ht="50.1" customHeight="1">
      <c r="A4907" s="31"/>
      <c r="B4907" s="32" t="s">
        <v>18028</v>
      </c>
      <c r="C4907" s="31" t="s">
        <v>390</v>
      </c>
      <c r="D4907" s="31" t="s">
        <v>594</v>
      </c>
      <c r="E4907" s="31" t="s">
        <v>18029</v>
      </c>
      <c r="F4907" s="31">
        <v>534</v>
      </c>
      <c r="G4907" s="31">
        <v>86</v>
      </c>
      <c r="H4907" s="31">
        <v>10</v>
      </c>
      <c r="I4907" s="31">
        <v>30</v>
      </c>
      <c r="J4907" s="31" t="s">
        <v>18030</v>
      </c>
      <c r="K4907" s="31" t="s">
        <v>123</v>
      </c>
      <c r="L4907" s="31" t="s">
        <v>56</v>
      </c>
      <c r="M4907" s="31">
        <v>158</v>
      </c>
      <c r="N4907" s="31">
        <v>2015</v>
      </c>
      <c r="O4907" s="31">
        <v>76</v>
      </c>
      <c r="P4907" s="31"/>
      <c r="Q4907" s="31"/>
      <c r="R4907" s="33"/>
      <c r="S4907" s="34" t="str">
        <f>HYPERLINK("http://www.cnpol.ru/covers/16130.jpg","фото на сайте")</f>
        <v>фото на сайте</v>
      </c>
    </row>
    <row r="4908" spans="1:19" ht="50.1" customHeight="1">
      <c r="A4908" s="31"/>
      <c r="B4908" s="32" t="s">
        <v>18031</v>
      </c>
      <c r="C4908" s="31" t="s">
        <v>413</v>
      </c>
      <c r="D4908" s="31" t="s">
        <v>18032</v>
      </c>
      <c r="E4908" s="31" t="s">
        <v>18033</v>
      </c>
      <c r="F4908" s="31">
        <v>97</v>
      </c>
      <c r="G4908" s="31">
        <v>117</v>
      </c>
      <c r="H4908" s="31">
        <v>10</v>
      </c>
      <c r="I4908" s="31">
        <v>36</v>
      </c>
      <c r="J4908" s="31" t="s">
        <v>18034</v>
      </c>
      <c r="K4908" s="31" t="s">
        <v>123</v>
      </c>
      <c r="L4908" s="31" t="s">
        <v>56</v>
      </c>
      <c r="M4908" s="31">
        <v>192</v>
      </c>
      <c r="N4908" s="31">
        <v>2016</v>
      </c>
      <c r="O4908" s="31">
        <v>90</v>
      </c>
      <c r="P4908" s="31"/>
      <c r="Q4908" s="31"/>
      <c r="R4908" s="33"/>
      <c r="S4908" s="34" t="str">
        <f>HYPERLINK("http://www.cnpol.ru/covers/16644.jpg","фото на сайте")</f>
        <v>фото на сайте</v>
      </c>
    </row>
    <row r="4909" spans="1:19" ht="50.1" customHeight="1">
      <c r="A4909" s="31"/>
      <c r="B4909" s="32" t="s">
        <v>18035</v>
      </c>
      <c r="C4909" s="31" t="s">
        <v>418</v>
      </c>
      <c r="D4909" s="31" t="s">
        <v>12565</v>
      </c>
      <c r="E4909" s="31" t="s">
        <v>18036</v>
      </c>
      <c r="F4909" s="31">
        <v>113</v>
      </c>
      <c r="G4909" s="31">
        <v>153</v>
      </c>
      <c r="H4909" s="31">
        <v>10</v>
      </c>
      <c r="I4909" s="31">
        <v>26</v>
      </c>
      <c r="J4909" s="31" t="s">
        <v>18037</v>
      </c>
      <c r="K4909" s="31" t="s">
        <v>123</v>
      </c>
      <c r="L4909" s="31" t="s">
        <v>56</v>
      </c>
      <c r="M4909" s="31">
        <v>256</v>
      </c>
      <c r="N4909" s="31">
        <v>2021</v>
      </c>
      <c r="O4909" s="31">
        <v>118</v>
      </c>
      <c r="P4909" s="31"/>
      <c r="Q4909" s="31"/>
      <c r="R4909" s="33"/>
      <c r="S4909" s="34" t="str">
        <f>HYPERLINK("http://www.cnpol.ru/covers/19563.jpg","фото на сайте")</f>
        <v>фото на сайте</v>
      </c>
    </row>
    <row r="4910" spans="1:19" ht="50.1" customHeight="1">
      <c r="A4910" s="31"/>
      <c r="B4910" s="32" t="s">
        <v>18038</v>
      </c>
      <c r="C4910" s="31" t="s">
        <v>2228</v>
      </c>
      <c r="D4910" s="31" t="s">
        <v>213</v>
      </c>
      <c r="E4910" s="31" t="s">
        <v>18039</v>
      </c>
      <c r="F4910" s="31">
        <v>3</v>
      </c>
      <c r="G4910" s="31">
        <v>503</v>
      </c>
      <c r="H4910" s="31">
        <v>10</v>
      </c>
      <c r="I4910" s="31">
        <v>20</v>
      </c>
      <c r="J4910" s="31" t="s">
        <v>18040</v>
      </c>
      <c r="K4910" s="31" t="s">
        <v>2231</v>
      </c>
      <c r="L4910" s="31" t="s">
        <v>34</v>
      </c>
      <c r="M4910" s="31">
        <v>160</v>
      </c>
      <c r="N4910" s="31">
        <v>2020</v>
      </c>
      <c r="O4910" s="31">
        <v>324</v>
      </c>
      <c r="P4910" s="31"/>
      <c r="Q4910" s="31"/>
      <c r="R4910" s="33"/>
      <c r="S4910" s="34" t="str">
        <f>HYPERLINK("http://www.cnpol.ru/covers/19303.jpg","фото на сайте")</f>
        <v>фото на сайте</v>
      </c>
    </row>
    <row r="4911" spans="1:19" ht="50.1" customHeight="1">
      <c r="A4911" s="31"/>
      <c r="B4911" s="32" t="s">
        <v>18041</v>
      </c>
      <c r="C4911" s="31" t="s">
        <v>678</v>
      </c>
      <c r="D4911" s="31" t="s">
        <v>18042</v>
      </c>
      <c r="E4911" s="31" t="s">
        <v>18043</v>
      </c>
      <c r="F4911" s="31" t="s">
        <v>31</v>
      </c>
      <c r="G4911" s="31">
        <v>325</v>
      </c>
      <c r="H4911" s="31">
        <v>10</v>
      </c>
      <c r="I4911" s="31">
        <v>12</v>
      </c>
      <c r="J4911" s="31" t="s">
        <v>18044</v>
      </c>
      <c r="K4911" s="31" t="s">
        <v>123</v>
      </c>
      <c r="L4911" s="31" t="s">
        <v>34</v>
      </c>
      <c r="M4911" s="31">
        <v>381</v>
      </c>
      <c r="N4911" s="31">
        <v>2000</v>
      </c>
      <c r="O4911" s="31">
        <v>244</v>
      </c>
      <c r="P4911" s="31"/>
      <c r="Q4911" s="31"/>
      <c r="R4911" s="33"/>
      <c r="S4911" s="34" t="str">
        <f>HYPERLINK("http://www.cnpol.ru/covers/2163.jpg","фото на сайте")</f>
        <v>фото на сайте</v>
      </c>
    </row>
    <row r="4912" spans="1:19" ht="50.1" customHeight="1">
      <c r="A4912" s="31"/>
      <c r="B4912" s="32" t="s">
        <v>18045</v>
      </c>
      <c r="C4912" s="31" t="s">
        <v>37</v>
      </c>
      <c r="D4912" s="31" t="s">
        <v>18046</v>
      </c>
      <c r="E4912" s="31" t="s">
        <v>18047</v>
      </c>
      <c r="F4912" s="31" t="s">
        <v>31</v>
      </c>
      <c r="G4912" s="31">
        <v>917</v>
      </c>
      <c r="H4912" s="31">
        <v>10</v>
      </c>
      <c r="I4912" s="31">
        <v>10</v>
      </c>
      <c r="J4912" s="31" t="s">
        <v>18048</v>
      </c>
      <c r="K4912" s="31" t="s">
        <v>33</v>
      </c>
      <c r="L4912" s="31" t="s">
        <v>34</v>
      </c>
      <c r="M4912" s="31">
        <v>382</v>
      </c>
      <c r="N4912" s="31">
        <v>2023</v>
      </c>
      <c r="O4912" s="31">
        <v>418</v>
      </c>
      <c r="P4912" s="31"/>
      <c r="Q4912" s="31"/>
      <c r="R4912" s="33" t="s">
        <v>18049</v>
      </c>
      <c r="S4912" s="34" t="str">
        <f>HYPERLINK("http://www.cnpol.ru/covers/20748.jpg","фото на сайте")</f>
        <v>фото на сайте</v>
      </c>
    </row>
    <row r="4913" spans="1:19" ht="50.1" customHeight="1">
      <c r="A4913" s="31" t="s">
        <v>43</v>
      </c>
      <c r="B4913" s="32" t="s">
        <v>18050</v>
      </c>
      <c r="C4913" s="31" t="s">
        <v>779</v>
      </c>
      <c r="D4913" s="31" t="s">
        <v>11063</v>
      </c>
      <c r="E4913" s="31" t="s">
        <v>18051</v>
      </c>
      <c r="F4913" s="31" t="s">
        <v>31</v>
      </c>
      <c r="G4913" s="31">
        <v>820</v>
      </c>
      <c r="H4913" s="31">
        <v>10</v>
      </c>
      <c r="I4913" s="31">
        <v>14</v>
      </c>
      <c r="J4913" s="31" t="s">
        <v>18052</v>
      </c>
      <c r="K4913" s="31" t="s">
        <v>33</v>
      </c>
      <c r="L4913" s="31" t="s">
        <v>34</v>
      </c>
      <c r="M4913" s="31">
        <v>254</v>
      </c>
      <c r="N4913" s="31">
        <v>2025</v>
      </c>
      <c r="O4913" s="31">
        <v>256</v>
      </c>
      <c r="P4913" s="31"/>
      <c r="Q4913" s="31"/>
      <c r="R4913" s="33" t="s">
        <v>18053</v>
      </c>
      <c r="S4913" s="34" t="str">
        <f>HYPERLINK("http://www.cnpol.ru/covers/21679.jpg","фото на сайте")</f>
        <v>фото на сайте</v>
      </c>
    </row>
    <row r="4914" spans="1:19" ht="50.1" customHeight="1">
      <c r="A4914" s="31" t="s">
        <v>43</v>
      </c>
      <c r="B4914" s="32" t="s">
        <v>18054</v>
      </c>
      <c r="C4914" s="31" t="s">
        <v>37</v>
      </c>
      <c r="D4914" s="31" t="s">
        <v>6208</v>
      </c>
      <c r="E4914" s="31" t="s">
        <v>18055</v>
      </c>
      <c r="F4914" s="31" t="s">
        <v>31</v>
      </c>
      <c r="G4914" s="31">
        <v>850</v>
      </c>
      <c r="H4914" s="31">
        <v>10</v>
      </c>
      <c r="I4914" s="31">
        <v>14</v>
      </c>
      <c r="J4914" s="31" t="s">
        <v>18056</v>
      </c>
      <c r="K4914" s="31" t="s">
        <v>33</v>
      </c>
      <c r="L4914" s="31" t="s">
        <v>34</v>
      </c>
      <c r="M4914" s="31">
        <v>250</v>
      </c>
      <c r="N4914" s="31">
        <v>2025</v>
      </c>
      <c r="O4914" s="31">
        <v>202</v>
      </c>
      <c r="P4914" s="31"/>
      <c r="Q4914" s="31"/>
      <c r="R4914" s="33" t="s">
        <v>18057</v>
      </c>
      <c r="S4914" s="34" t="str">
        <f>HYPERLINK("http://www.cnpol.ru/covers/21436.jpg","фото на сайте")</f>
        <v>фото на сайте</v>
      </c>
    </row>
    <row r="4915" spans="1:19" ht="50.1" customHeight="1">
      <c r="A4915" s="31" t="s">
        <v>35</v>
      </c>
      <c r="B4915" s="32" t="s">
        <v>18058</v>
      </c>
      <c r="C4915" s="31" t="s">
        <v>7020</v>
      </c>
      <c r="D4915" s="31" t="s">
        <v>5169</v>
      </c>
      <c r="E4915" s="31" t="s">
        <v>18059</v>
      </c>
      <c r="F4915" s="31" t="s">
        <v>31</v>
      </c>
      <c r="G4915" s="31">
        <v>685</v>
      </c>
      <c r="H4915" s="31">
        <v>10</v>
      </c>
      <c r="I4915" s="31">
        <v>8</v>
      </c>
      <c r="J4915" s="31" t="s">
        <v>18060</v>
      </c>
      <c r="K4915" s="31" t="s">
        <v>33</v>
      </c>
      <c r="L4915" s="31" t="s">
        <v>34</v>
      </c>
      <c r="M4915" s="31">
        <v>511</v>
      </c>
      <c r="N4915" s="31">
        <v>2025</v>
      </c>
      <c r="O4915" s="31">
        <v>460</v>
      </c>
      <c r="P4915" s="31"/>
      <c r="Q4915" s="31"/>
      <c r="R4915" s="33" t="s">
        <v>18061</v>
      </c>
      <c r="S4915" s="34" t="str">
        <f>HYPERLINK("http://www.cnpol.ru/covers/21638.jpg","фото на сайте")</f>
        <v>фото на сайте</v>
      </c>
    </row>
    <row r="4916" spans="1:19" ht="50.1" customHeight="1">
      <c r="A4916" s="31"/>
      <c r="B4916" s="32" t="s">
        <v>18062</v>
      </c>
      <c r="C4916" s="31" t="s">
        <v>17199</v>
      </c>
      <c r="D4916" s="31" t="s">
        <v>17200</v>
      </c>
      <c r="E4916" s="31" t="s">
        <v>18063</v>
      </c>
      <c r="F4916" s="31" t="s">
        <v>31</v>
      </c>
      <c r="G4916" s="31">
        <v>243</v>
      </c>
      <c r="H4916" s="31">
        <v>10</v>
      </c>
      <c r="I4916" s="31">
        <v>16</v>
      </c>
      <c r="J4916" s="31" t="s">
        <v>18064</v>
      </c>
      <c r="K4916" s="31" t="s">
        <v>130</v>
      </c>
      <c r="L4916" s="31" t="s">
        <v>56</v>
      </c>
      <c r="M4916" s="31">
        <v>320</v>
      </c>
      <c r="N4916" s="31">
        <v>2019</v>
      </c>
      <c r="O4916" s="31">
        <v>186</v>
      </c>
      <c r="P4916" s="31"/>
      <c r="Q4916" s="31"/>
      <c r="R4916" s="33"/>
      <c r="S4916" s="34" t="str">
        <f>HYPERLINK("http://www.cnpol.ru/covers/18443.jpg","фото на сайте")</f>
        <v>фото на сайте</v>
      </c>
    </row>
    <row r="4917" spans="1:19" ht="50.1" customHeight="1">
      <c r="A4917" s="31"/>
      <c r="B4917" s="32" t="s">
        <v>18065</v>
      </c>
      <c r="C4917" s="31" t="s">
        <v>390</v>
      </c>
      <c r="D4917" s="31" t="s">
        <v>547</v>
      </c>
      <c r="E4917" s="31" t="s">
        <v>18066</v>
      </c>
      <c r="F4917" s="31">
        <v>714</v>
      </c>
      <c r="G4917" s="31">
        <v>86</v>
      </c>
      <c r="H4917" s="31">
        <v>10</v>
      </c>
      <c r="I4917" s="31">
        <v>30</v>
      </c>
      <c r="J4917" s="31" t="s">
        <v>18067</v>
      </c>
      <c r="K4917" s="31" t="s">
        <v>123</v>
      </c>
      <c r="L4917" s="31" t="s">
        <v>56</v>
      </c>
      <c r="M4917" s="31">
        <v>160</v>
      </c>
      <c r="N4917" s="31">
        <v>2017</v>
      </c>
      <c r="O4917" s="31">
        <v>76</v>
      </c>
      <c r="P4917" s="31"/>
      <c r="Q4917" s="31"/>
      <c r="R4917" s="33"/>
      <c r="S4917" s="34" t="str">
        <f>HYPERLINK("http://www.cnpol.ru/covers/17463.jpg","фото на сайте")</f>
        <v>фото на сайте</v>
      </c>
    </row>
    <row r="4918" spans="1:19" ht="50.1" customHeight="1">
      <c r="A4918" s="31"/>
      <c r="B4918" s="32" t="s">
        <v>18068</v>
      </c>
      <c r="C4918" s="31" t="s">
        <v>390</v>
      </c>
      <c r="D4918" s="31" t="s">
        <v>11316</v>
      </c>
      <c r="E4918" s="31" t="s">
        <v>18069</v>
      </c>
      <c r="F4918" s="31">
        <v>888</v>
      </c>
      <c r="G4918" s="31">
        <v>86</v>
      </c>
      <c r="H4918" s="31">
        <v>10</v>
      </c>
      <c r="I4918" s="31">
        <v>30</v>
      </c>
      <c r="J4918" s="31" t="s">
        <v>18070</v>
      </c>
      <c r="K4918" s="31" t="s">
        <v>123</v>
      </c>
      <c r="L4918" s="31" t="s">
        <v>56</v>
      </c>
      <c r="M4918" s="31">
        <v>160</v>
      </c>
      <c r="N4918" s="31">
        <v>2019</v>
      </c>
      <c r="O4918" s="31">
        <v>78</v>
      </c>
      <c r="P4918" s="31"/>
      <c r="Q4918" s="31"/>
      <c r="R4918" s="33"/>
      <c r="S4918" s="34" t="str">
        <f>HYPERLINK("http://www.cnpol.ru/covers/18637.jpg","фото на сайте")</f>
        <v>фото на сайте</v>
      </c>
    </row>
    <row r="4919" spans="1:19" ht="50.1" customHeight="1">
      <c r="A4919" s="31" t="s">
        <v>43</v>
      </c>
      <c r="B4919" s="32" t="s">
        <v>18071</v>
      </c>
      <c r="C4919" s="31" t="s">
        <v>37</v>
      </c>
      <c r="D4919" s="31" t="s">
        <v>18072</v>
      </c>
      <c r="E4919" s="31" t="s">
        <v>18073</v>
      </c>
      <c r="F4919" s="31" t="s">
        <v>31</v>
      </c>
      <c r="G4919" s="31">
        <v>936</v>
      </c>
      <c r="H4919" s="31">
        <v>10</v>
      </c>
      <c r="I4919" s="31">
        <v>12</v>
      </c>
      <c r="J4919" s="31" t="s">
        <v>18074</v>
      </c>
      <c r="K4919" s="31" t="s">
        <v>33</v>
      </c>
      <c r="L4919" s="31" t="s">
        <v>34</v>
      </c>
      <c r="M4919" s="31">
        <v>319</v>
      </c>
      <c r="N4919" s="31">
        <v>2025</v>
      </c>
      <c r="O4919" s="31">
        <v>255</v>
      </c>
      <c r="P4919" s="31"/>
      <c r="Q4919" s="31"/>
      <c r="R4919" s="33" t="s">
        <v>18075</v>
      </c>
      <c r="S4919" s="34" t="str">
        <f>HYPERLINK("http://www.cnpol.ru/covers/21511.jpg","фото на сайте")</f>
        <v>фото на сайте</v>
      </c>
    </row>
    <row r="4920" spans="1:19" ht="50.1" customHeight="1">
      <c r="A4920" s="31"/>
      <c r="B4920" s="32" t="s">
        <v>18076</v>
      </c>
      <c r="C4920" s="31" t="s">
        <v>11921</v>
      </c>
      <c r="D4920" s="31" t="s">
        <v>18077</v>
      </c>
      <c r="E4920" s="31" t="s">
        <v>18078</v>
      </c>
      <c r="F4920" s="31" t="s">
        <v>31</v>
      </c>
      <c r="G4920" s="31">
        <v>353</v>
      </c>
      <c r="H4920" s="31">
        <v>10</v>
      </c>
      <c r="I4920" s="31">
        <v>10</v>
      </c>
      <c r="J4920" s="31" t="s">
        <v>18079</v>
      </c>
      <c r="K4920" s="31" t="s">
        <v>33</v>
      </c>
      <c r="L4920" s="31" t="s">
        <v>34</v>
      </c>
      <c r="M4920" s="31">
        <v>351</v>
      </c>
      <c r="N4920" s="31">
        <v>2003</v>
      </c>
      <c r="O4920" s="31">
        <v>282</v>
      </c>
      <c r="P4920" s="31"/>
      <c r="Q4920" s="31"/>
      <c r="R4920" s="33"/>
      <c r="S4920" s="34" t="str">
        <f>HYPERLINK("http://www.cnpol.ru/covers/4062.jpg","фото на сайте")</f>
        <v>фото на сайте</v>
      </c>
    </row>
    <row r="4921" spans="1:19" ht="50.1" customHeight="1">
      <c r="A4921" s="31"/>
      <c r="B4921" s="32" t="s">
        <v>18080</v>
      </c>
      <c r="C4921" s="31" t="s">
        <v>390</v>
      </c>
      <c r="D4921" s="31" t="s">
        <v>1599</v>
      </c>
      <c r="E4921" s="31" t="s">
        <v>18081</v>
      </c>
      <c r="F4921" s="31">
        <v>974</v>
      </c>
      <c r="G4921" s="31">
        <v>86</v>
      </c>
      <c r="H4921" s="31">
        <v>10</v>
      </c>
      <c r="I4921" s="31">
        <v>30</v>
      </c>
      <c r="J4921" s="31" t="s">
        <v>18082</v>
      </c>
      <c r="K4921" s="31" t="s">
        <v>123</v>
      </c>
      <c r="L4921" s="31" t="s">
        <v>56</v>
      </c>
      <c r="M4921" s="31">
        <v>160</v>
      </c>
      <c r="N4921" s="31">
        <v>2020</v>
      </c>
      <c r="O4921" s="31">
        <v>76</v>
      </c>
      <c r="P4921" s="31"/>
      <c r="Q4921" s="31"/>
      <c r="R4921" s="33"/>
      <c r="S4921" s="34" t="str">
        <f>HYPERLINK("http://www.cnpol.ru/covers/19146.jpg","фото на сайте")</f>
        <v>фото на сайте</v>
      </c>
    </row>
    <row r="4922" spans="1:19" ht="50.1" customHeight="1">
      <c r="A4922" s="31"/>
      <c r="B4922" s="32" t="s">
        <v>18083</v>
      </c>
      <c r="C4922" s="31" t="s">
        <v>400</v>
      </c>
      <c r="D4922" s="31" t="s">
        <v>2366</v>
      </c>
      <c r="E4922" s="31" t="s">
        <v>18084</v>
      </c>
      <c r="F4922" s="31" t="s">
        <v>31</v>
      </c>
      <c r="G4922" s="31">
        <v>503</v>
      </c>
      <c r="H4922" s="31">
        <v>10</v>
      </c>
      <c r="I4922" s="31">
        <v>14</v>
      </c>
      <c r="J4922" s="31" t="s">
        <v>18085</v>
      </c>
      <c r="K4922" s="31" t="s">
        <v>33</v>
      </c>
      <c r="L4922" s="31" t="s">
        <v>34</v>
      </c>
      <c r="M4922" s="31">
        <v>320</v>
      </c>
      <c r="N4922" s="31">
        <v>2017</v>
      </c>
      <c r="O4922" s="31">
        <v>274</v>
      </c>
      <c r="P4922" s="31"/>
      <c r="Q4922" s="31"/>
      <c r="R4922" s="33"/>
      <c r="S4922" s="34" t="str">
        <f>HYPERLINK("http://www.cnpol.ru/covers/17376.jpg","фото на сайте")</f>
        <v>фото на сайте</v>
      </c>
    </row>
    <row r="4923" spans="1:19" ht="50.1" customHeight="1">
      <c r="A4923" s="31"/>
      <c r="B4923" s="32" t="s">
        <v>18086</v>
      </c>
      <c r="C4923" s="31" t="s">
        <v>546</v>
      </c>
      <c r="D4923" s="31" t="s">
        <v>1656</v>
      </c>
      <c r="E4923" s="31" t="s">
        <v>18087</v>
      </c>
      <c r="F4923" s="31">
        <v>316</v>
      </c>
      <c r="G4923" s="31">
        <v>93</v>
      </c>
      <c r="H4923" s="31">
        <v>10</v>
      </c>
      <c r="I4923" s="31">
        <v>30</v>
      </c>
      <c r="J4923" s="31" t="s">
        <v>18088</v>
      </c>
      <c r="K4923" s="31" t="s">
        <v>123</v>
      </c>
      <c r="L4923" s="31" t="s">
        <v>56</v>
      </c>
      <c r="M4923" s="31">
        <v>160</v>
      </c>
      <c r="N4923" s="31">
        <v>2019</v>
      </c>
      <c r="O4923" s="31">
        <v>76</v>
      </c>
      <c r="P4923" s="31"/>
      <c r="Q4923" s="31"/>
      <c r="R4923" s="33"/>
      <c r="S4923" s="34" t="str">
        <f>HYPERLINK("http://www.cnpol.ru/covers/18776.jpg","фото на сайте")</f>
        <v>фото на сайте</v>
      </c>
    </row>
    <row r="4924" spans="1:19" ht="50.1" customHeight="1">
      <c r="A4924" s="31"/>
      <c r="B4924" s="32" t="s">
        <v>18089</v>
      </c>
      <c r="C4924" s="31" t="s">
        <v>390</v>
      </c>
      <c r="D4924" s="31" t="s">
        <v>13829</v>
      </c>
      <c r="E4924" s="31" t="s">
        <v>18090</v>
      </c>
      <c r="F4924" s="31">
        <v>365</v>
      </c>
      <c r="G4924" s="31">
        <v>86</v>
      </c>
      <c r="H4924" s="31">
        <v>10</v>
      </c>
      <c r="I4924" s="31">
        <v>30</v>
      </c>
      <c r="J4924" s="31" t="s">
        <v>18091</v>
      </c>
      <c r="K4924" s="31" t="s">
        <v>300</v>
      </c>
      <c r="L4924" s="31" t="s">
        <v>56</v>
      </c>
      <c r="M4924" s="31">
        <v>158</v>
      </c>
      <c r="N4924" s="31">
        <v>2013</v>
      </c>
      <c r="O4924" s="31">
        <v>76</v>
      </c>
      <c r="P4924" s="31"/>
      <c r="Q4924" s="31"/>
      <c r="R4924" s="33"/>
      <c r="S4924" s="34" t="str">
        <f>HYPERLINK("http://www.cnpol.ru/covers/14688.jpg","фото на сайте")</f>
        <v>фото на сайте</v>
      </c>
    </row>
    <row r="4925" spans="1:19" ht="50.1" customHeight="1">
      <c r="A4925" s="31"/>
      <c r="B4925" s="32" t="s">
        <v>18092</v>
      </c>
      <c r="C4925" s="31" t="s">
        <v>1338</v>
      </c>
      <c r="D4925" s="31" t="s">
        <v>2090</v>
      </c>
      <c r="E4925" s="31" t="s">
        <v>18093</v>
      </c>
      <c r="F4925" s="31" t="s">
        <v>31</v>
      </c>
      <c r="G4925" s="31">
        <v>112</v>
      </c>
      <c r="H4925" s="31">
        <v>10</v>
      </c>
      <c r="I4925" s="31">
        <v>16</v>
      </c>
      <c r="J4925" s="31" t="s">
        <v>18094</v>
      </c>
      <c r="K4925" s="31" t="s">
        <v>55</v>
      </c>
      <c r="L4925" s="31" t="s">
        <v>56</v>
      </c>
      <c r="M4925" s="31">
        <v>459</v>
      </c>
      <c r="N4925" s="31">
        <v>2008</v>
      </c>
      <c r="O4925" s="31">
        <v>186</v>
      </c>
      <c r="P4925" s="31"/>
      <c r="Q4925" s="31"/>
      <c r="R4925" s="33"/>
      <c r="S4925" s="34" t="str">
        <f>HYPERLINK("http://www.cnpol.ru/covers/8849.jpg","фото на сайте")</f>
        <v>фото на сайте</v>
      </c>
    </row>
    <row r="4926" spans="1:19" ht="50.1" customHeight="1">
      <c r="A4926" s="31"/>
      <c r="B4926" s="32" t="s">
        <v>18095</v>
      </c>
      <c r="C4926" s="31" t="s">
        <v>546</v>
      </c>
      <c r="D4926" s="31" t="s">
        <v>18096</v>
      </c>
      <c r="E4926" s="31" t="s">
        <v>18097</v>
      </c>
      <c r="F4926" s="31">
        <v>270</v>
      </c>
      <c r="G4926" s="31">
        <v>93</v>
      </c>
      <c r="H4926" s="31">
        <v>10</v>
      </c>
      <c r="I4926" s="31">
        <v>30</v>
      </c>
      <c r="J4926" s="31" t="s">
        <v>18098</v>
      </c>
      <c r="K4926" s="31" t="s">
        <v>123</v>
      </c>
      <c r="L4926" s="31" t="s">
        <v>56</v>
      </c>
      <c r="M4926" s="31">
        <v>160</v>
      </c>
      <c r="N4926" s="31">
        <v>2018</v>
      </c>
      <c r="O4926" s="31">
        <v>76</v>
      </c>
      <c r="P4926" s="31"/>
      <c r="Q4926" s="31"/>
      <c r="R4926" s="33"/>
      <c r="S4926" s="34" t="str">
        <f>HYPERLINK("http://www.cnpol.ru/covers/18213.jpg","фото на сайте")</f>
        <v>фото на сайте</v>
      </c>
    </row>
    <row r="4927" spans="1:19" ht="50.1" customHeight="1">
      <c r="A4927" s="31"/>
      <c r="B4927" s="32" t="s">
        <v>18099</v>
      </c>
      <c r="C4927" s="31" t="s">
        <v>413</v>
      </c>
      <c r="D4927" s="31" t="s">
        <v>1435</v>
      </c>
      <c r="E4927" s="31" t="s">
        <v>18100</v>
      </c>
      <c r="F4927" s="31">
        <v>98</v>
      </c>
      <c r="G4927" s="31">
        <v>117</v>
      </c>
      <c r="H4927" s="31">
        <v>10</v>
      </c>
      <c r="I4927" s="31">
        <v>36</v>
      </c>
      <c r="J4927" s="31" t="s">
        <v>18101</v>
      </c>
      <c r="K4927" s="31" t="s">
        <v>123</v>
      </c>
      <c r="L4927" s="31" t="s">
        <v>56</v>
      </c>
      <c r="M4927" s="31">
        <v>192</v>
      </c>
      <c r="N4927" s="31">
        <v>2016</v>
      </c>
      <c r="O4927" s="31">
        <v>90</v>
      </c>
      <c r="P4927" s="31"/>
      <c r="Q4927" s="31"/>
      <c r="R4927" s="33"/>
      <c r="S4927" s="34" t="str">
        <f>HYPERLINK("http://www.cnpol.ru/covers/16654.jpg","фото на сайте")</f>
        <v>фото на сайте</v>
      </c>
    </row>
    <row r="4928" spans="1:19" ht="50.1" customHeight="1">
      <c r="A4928" s="31"/>
      <c r="B4928" s="32" t="s">
        <v>18102</v>
      </c>
      <c r="C4928" s="31" t="s">
        <v>546</v>
      </c>
      <c r="D4928" s="31" t="s">
        <v>1698</v>
      </c>
      <c r="E4928" s="31" t="s">
        <v>18103</v>
      </c>
      <c r="F4928" s="31">
        <v>179</v>
      </c>
      <c r="G4928" s="31">
        <v>93</v>
      </c>
      <c r="H4928" s="31">
        <v>10</v>
      </c>
      <c r="I4928" s="31">
        <v>30</v>
      </c>
      <c r="J4928" s="31" t="s">
        <v>18104</v>
      </c>
      <c r="K4928" s="31" t="s">
        <v>123</v>
      </c>
      <c r="L4928" s="31" t="s">
        <v>56</v>
      </c>
      <c r="M4928" s="31">
        <v>160</v>
      </c>
      <c r="N4928" s="31">
        <v>2016</v>
      </c>
      <c r="O4928" s="31">
        <v>76</v>
      </c>
      <c r="P4928" s="31"/>
      <c r="Q4928" s="31"/>
      <c r="R4928" s="33"/>
      <c r="S4928" s="34" t="str">
        <f>HYPERLINK("http://www.cnpol.ru/covers/16889.jpg","фото на сайте")</f>
        <v>фото на сайте</v>
      </c>
    </row>
    <row r="4929" spans="1:19" ht="50.1" customHeight="1">
      <c r="A4929" s="31"/>
      <c r="B4929" s="32" t="s">
        <v>18105</v>
      </c>
      <c r="C4929" s="31" t="s">
        <v>4799</v>
      </c>
      <c r="D4929" s="31" t="s">
        <v>3745</v>
      </c>
      <c r="E4929" s="31" t="s">
        <v>18106</v>
      </c>
      <c r="F4929" s="31" t="s">
        <v>31</v>
      </c>
      <c r="G4929" s="31">
        <v>194</v>
      </c>
      <c r="H4929" s="31">
        <v>10</v>
      </c>
      <c r="I4929" s="31">
        <v>10</v>
      </c>
      <c r="J4929" s="31" t="s">
        <v>18107</v>
      </c>
      <c r="K4929" s="31" t="s">
        <v>300</v>
      </c>
      <c r="L4929" s="31" t="s">
        <v>56</v>
      </c>
      <c r="M4929" s="31">
        <v>415</v>
      </c>
      <c r="N4929" s="31">
        <v>2011</v>
      </c>
      <c r="O4929" s="31">
        <v>200</v>
      </c>
      <c r="P4929" s="31"/>
      <c r="Q4929" s="31"/>
      <c r="R4929" s="33"/>
      <c r="S4929" s="34" t="str">
        <f>HYPERLINK("http://www.cnpol.ru/covers/13094.jpg","фото на сайте")</f>
        <v>фото на сайте</v>
      </c>
    </row>
    <row r="4930" spans="1:19" ht="50.1" customHeight="1">
      <c r="A4930" s="31"/>
      <c r="B4930" s="32" t="s">
        <v>18108</v>
      </c>
      <c r="C4930" s="31" t="s">
        <v>400</v>
      </c>
      <c r="D4930" s="31" t="s">
        <v>18109</v>
      </c>
      <c r="E4930" s="31" t="s">
        <v>18110</v>
      </c>
      <c r="F4930" s="31" t="s">
        <v>31</v>
      </c>
      <c r="G4930" s="31">
        <v>503</v>
      </c>
      <c r="H4930" s="31">
        <v>10</v>
      </c>
      <c r="I4930" s="31">
        <v>14</v>
      </c>
      <c r="J4930" s="31" t="s">
        <v>18111</v>
      </c>
      <c r="K4930" s="31" t="s">
        <v>33</v>
      </c>
      <c r="L4930" s="31" t="s">
        <v>34</v>
      </c>
      <c r="M4930" s="31">
        <v>319</v>
      </c>
      <c r="N4930" s="31">
        <v>2021</v>
      </c>
      <c r="O4930" s="31">
        <v>272</v>
      </c>
      <c r="P4930" s="31"/>
      <c r="Q4930" s="31"/>
      <c r="R4930" s="33"/>
      <c r="S4930" s="34" t="str">
        <f>HYPERLINK("http://www.cnpol.ru/covers/19452.jpg","фото на сайте")</f>
        <v>фото на сайте</v>
      </c>
    </row>
    <row r="4931" spans="1:19" ht="50.1" customHeight="1">
      <c r="A4931" s="31" t="s">
        <v>35</v>
      </c>
      <c r="B4931" s="32" t="s">
        <v>18112</v>
      </c>
      <c r="C4931" s="31" t="s">
        <v>1363</v>
      </c>
      <c r="D4931" s="31" t="s">
        <v>1364</v>
      </c>
      <c r="E4931" s="31" t="s">
        <v>18113</v>
      </c>
      <c r="F4931" s="31" t="s">
        <v>31</v>
      </c>
      <c r="G4931" s="35">
        <v>1033</v>
      </c>
      <c r="H4931" s="31">
        <v>10</v>
      </c>
      <c r="I4931" s="31">
        <v>12</v>
      </c>
      <c r="J4931" s="31" t="s">
        <v>18114</v>
      </c>
      <c r="K4931" s="31" t="s">
        <v>33</v>
      </c>
      <c r="L4931" s="31" t="s">
        <v>34</v>
      </c>
      <c r="M4931" s="31">
        <v>383</v>
      </c>
      <c r="N4931" s="31">
        <v>2025</v>
      </c>
      <c r="O4931" s="31">
        <v>382</v>
      </c>
      <c r="P4931" s="31"/>
      <c r="Q4931" s="31"/>
      <c r="R4931" s="33" t="s">
        <v>18115</v>
      </c>
      <c r="S4931" s="34" t="str">
        <f>HYPERLINK("http://www.cnpol.ru/covers/21822.jpg","фото на сайте")</f>
        <v>фото на сайте</v>
      </c>
    </row>
    <row r="4932" spans="1:19" ht="50.1" customHeight="1">
      <c r="A4932" s="31"/>
      <c r="B4932" s="32" t="s">
        <v>18116</v>
      </c>
      <c r="C4932" s="31" t="s">
        <v>1390</v>
      </c>
      <c r="D4932" s="31" t="s">
        <v>18117</v>
      </c>
      <c r="E4932" s="31" t="s">
        <v>18118</v>
      </c>
      <c r="F4932" s="31" t="s">
        <v>31</v>
      </c>
      <c r="G4932" s="31">
        <v>710</v>
      </c>
      <c r="H4932" s="31">
        <v>10</v>
      </c>
      <c r="I4932" s="31">
        <v>5</v>
      </c>
      <c r="J4932" s="31" t="s">
        <v>18119</v>
      </c>
      <c r="K4932" s="31" t="s">
        <v>319</v>
      </c>
      <c r="L4932" s="31" t="s">
        <v>34</v>
      </c>
      <c r="M4932" s="31">
        <v>368</v>
      </c>
      <c r="N4932" s="31">
        <v>2016</v>
      </c>
      <c r="O4932" s="31">
        <v>614</v>
      </c>
      <c r="P4932" s="31"/>
      <c r="Q4932" s="31"/>
      <c r="R4932" s="33"/>
      <c r="S4932" s="34" t="str">
        <f>HYPERLINK("http://www.cnpol.ru/covers/16779.jpg","фото на сайте")</f>
        <v>фото на сайте</v>
      </c>
    </row>
    <row r="4933" spans="1:19" ht="50.1" customHeight="1">
      <c r="A4933" s="31" t="s">
        <v>43</v>
      </c>
      <c r="B4933" s="32" t="s">
        <v>18120</v>
      </c>
      <c r="C4933" s="31" t="s">
        <v>18121</v>
      </c>
      <c r="D4933" s="31" t="s">
        <v>18122</v>
      </c>
      <c r="E4933" s="31" t="s">
        <v>18123</v>
      </c>
      <c r="F4933" s="31" t="s">
        <v>31</v>
      </c>
      <c r="G4933" s="31">
        <v>917</v>
      </c>
      <c r="H4933" s="31">
        <v>10</v>
      </c>
      <c r="I4933" s="31">
        <v>9</v>
      </c>
      <c r="J4933" s="31" t="s">
        <v>18124</v>
      </c>
      <c r="K4933" s="31" t="s">
        <v>33</v>
      </c>
      <c r="L4933" s="31" t="s">
        <v>34</v>
      </c>
      <c r="M4933" s="31">
        <v>318</v>
      </c>
      <c r="N4933" s="31">
        <v>2025</v>
      </c>
      <c r="O4933" s="31">
        <v>288</v>
      </c>
      <c r="P4933" s="31"/>
      <c r="Q4933" s="31"/>
      <c r="R4933" s="33" t="s">
        <v>18125</v>
      </c>
      <c r="S4933" s="34" t="str">
        <f>HYPERLINK("http://www.cnpol.ru/covers/21691.jpg","фото на сайте")</f>
        <v>фото на сайте</v>
      </c>
    </row>
    <row r="4934" spans="1:19" ht="50.1" customHeight="1">
      <c r="A4934" s="31"/>
      <c r="B4934" s="32" t="s">
        <v>18126</v>
      </c>
      <c r="C4934" s="31" t="s">
        <v>3072</v>
      </c>
      <c r="D4934" s="31" t="s">
        <v>1560</v>
      </c>
      <c r="E4934" s="31" t="s">
        <v>18127</v>
      </c>
      <c r="F4934" s="31" t="s">
        <v>31</v>
      </c>
      <c r="G4934" s="31">
        <v>380</v>
      </c>
      <c r="H4934" s="31">
        <v>10</v>
      </c>
      <c r="I4934" s="31">
        <v>10</v>
      </c>
      <c r="J4934" s="31" t="s">
        <v>18128</v>
      </c>
      <c r="K4934" s="31" t="s">
        <v>123</v>
      </c>
      <c r="L4934" s="31" t="s">
        <v>34</v>
      </c>
      <c r="M4934" s="31">
        <v>283</v>
      </c>
      <c r="N4934" s="31">
        <v>2008</v>
      </c>
      <c r="O4934" s="31">
        <v>518</v>
      </c>
      <c r="P4934" s="31"/>
      <c r="Q4934" s="31"/>
      <c r="R4934" s="33"/>
      <c r="S4934" s="34" t="str">
        <f>HYPERLINK("http://www.cnpol.ru/covers/7949.jpg","фото на сайте")</f>
        <v>фото на сайте</v>
      </c>
    </row>
    <row r="4935" spans="1:19" ht="50.1" customHeight="1">
      <c r="A4935" s="31"/>
      <c r="B4935" s="32" t="s">
        <v>18129</v>
      </c>
      <c r="C4935" s="31" t="s">
        <v>138</v>
      </c>
      <c r="D4935" s="31" t="s">
        <v>9256</v>
      </c>
      <c r="E4935" s="31" t="s">
        <v>18130</v>
      </c>
      <c r="F4935" s="31" t="s">
        <v>31</v>
      </c>
      <c r="G4935" s="31">
        <v>325</v>
      </c>
      <c r="H4935" s="31">
        <v>10</v>
      </c>
      <c r="I4935" s="31">
        <v>12</v>
      </c>
      <c r="J4935" s="31" t="s">
        <v>18131</v>
      </c>
      <c r="K4935" s="31" t="s">
        <v>33</v>
      </c>
      <c r="L4935" s="31" t="s">
        <v>34</v>
      </c>
      <c r="M4935" s="31">
        <v>414</v>
      </c>
      <c r="N4935" s="31">
        <v>2009</v>
      </c>
      <c r="O4935" s="31">
        <v>326</v>
      </c>
      <c r="P4935" s="31"/>
      <c r="Q4935" s="31"/>
      <c r="R4935" s="33"/>
      <c r="S4935" s="34" t="str">
        <f>HYPERLINK("http://www.cnpol.ru/covers/11626.jpg","фото на сайте")</f>
        <v>фото на сайте</v>
      </c>
    </row>
    <row r="4936" spans="1:19" ht="50.1" customHeight="1">
      <c r="A4936" s="31" t="s">
        <v>35</v>
      </c>
      <c r="B4936" s="32" t="s">
        <v>18132</v>
      </c>
      <c r="C4936" s="31" t="s">
        <v>18133</v>
      </c>
      <c r="D4936" s="31" t="s">
        <v>4006</v>
      </c>
      <c r="E4936" s="31" t="s">
        <v>18134</v>
      </c>
      <c r="F4936" s="31" t="s">
        <v>31</v>
      </c>
      <c r="G4936" s="31">
        <v>916</v>
      </c>
      <c r="H4936" s="31">
        <v>10</v>
      </c>
      <c r="I4936" s="31">
        <v>7</v>
      </c>
      <c r="J4936" s="31" t="s">
        <v>18135</v>
      </c>
      <c r="K4936" s="31" t="s">
        <v>33</v>
      </c>
      <c r="L4936" s="31" t="s">
        <v>34</v>
      </c>
      <c r="M4936" s="31">
        <v>349</v>
      </c>
      <c r="N4936" s="31">
        <v>2025</v>
      </c>
      <c r="O4936" s="31">
        <v>320</v>
      </c>
      <c r="P4936" s="31"/>
      <c r="Q4936" s="31"/>
      <c r="R4936" s="33" t="s">
        <v>18136</v>
      </c>
      <c r="S4936" s="34" t="str">
        <f>HYPERLINK("http://www.cnpol.ru/covers/21651.jpg","фото на сайте")</f>
        <v>фото на сайте</v>
      </c>
    </row>
    <row r="4937" spans="1:19" ht="50.1" customHeight="1">
      <c r="A4937" s="31" t="s">
        <v>43</v>
      </c>
      <c r="B4937" s="32" t="s">
        <v>18137</v>
      </c>
      <c r="C4937" s="31" t="s">
        <v>37</v>
      </c>
      <c r="D4937" s="31" t="s">
        <v>18138</v>
      </c>
      <c r="E4937" s="31" t="s">
        <v>18139</v>
      </c>
      <c r="F4937" s="31" t="s">
        <v>31</v>
      </c>
      <c r="G4937" s="31">
        <v>489</v>
      </c>
      <c r="H4937" s="31">
        <v>10</v>
      </c>
      <c r="I4937" s="31">
        <v>12</v>
      </c>
      <c r="J4937" s="31" t="s">
        <v>18140</v>
      </c>
      <c r="K4937" s="31" t="s">
        <v>33</v>
      </c>
      <c r="L4937" s="31" t="s">
        <v>34</v>
      </c>
      <c r="M4937" s="31">
        <v>351</v>
      </c>
      <c r="N4937" s="31">
        <v>2024</v>
      </c>
      <c r="O4937" s="31">
        <v>276</v>
      </c>
      <c r="P4937" s="31"/>
      <c r="Q4937" s="31"/>
      <c r="R4937" s="33" t="s">
        <v>18141</v>
      </c>
      <c r="S4937" s="34" t="str">
        <f>HYPERLINK("http://www.cnpol.ru/covers/21335.jpg","фото на сайте")</f>
        <v>фото на сайте</v>
      </c>
    </row>
    <row r="4938" spans="1:19" ht="50.1" customHeight="1">
      <c r="A4938" s="31"/>
      <c r="B4938" s="32" t="s">
        <v>18142</v>
      </c>
      <c r="C4938" s="31" t="s">
        <v>37</v>
      </c>
      <c r="D4938" s="31" t="s">
        <v>18143</v>
      </c>
      <c r="E4938" s="31" t="s">
        <v>18144</v>
      </c>
      <c r="F4938" s="31" t="s">
        <v>31</v>
      </c>
      <c r="G4938" s="31">
        <v>640</v>
      </c>
      <c r="H4938" s="31">
        <v>10</v>
      </c>
      <c r="I4938" s="31">
        <v>8</v>
      </c>
      <c r="J4938" s="31" t="s">
        <v>18145</v>
      </c>
      <c r="K4938" s="31" t="s">
        <v>33</v>
      </c>
      <c r="L4938" s="31" t="s">
        <v>34</v>
      </c>
      <c r="M4938" s="31">
        <v>608</v>
      </c>
      <c r="N4938" s="31">
        <v>2020</v>
      </c>
      <c r="O4938" s="31">
        <v>436</v>
      </c>
      <c r="P4938" s="31"/>
      <c r="Q4938" s="31"/>
      <c r="R4938" s="33"/>
      <c r="S4938" s="34" t="str">
        <f>HYPERLINK("http://www.cnpol.ru/covers/19355.jpg","фото на сайте")</f>
        <v>фото на сайте</v>
      </c>
    </row>
    <row r="4939" spans="1:19" ht="50.1" customHeight="1">
      <c r="A4939" s="31"/>
      <c r="B4939" s="32" t="s">
        <v>18146</v>
      </c>
      <c r="C4939" s="31" t="s">
        <v>479</v>
      </c>
      <c r="D4939" s="31" t="s">
        <v>13362</v>
      </c>
      <c r="E4939" s="31" t="s">
        <v>18147</v>
      </c>
      <c r="F4939" s="31" t="s">
        <v>31</v>
      </c>
      <c r="G4939" s="31">
        <v>425</v>
      </c>
      <c r="H4939" s="31">
        <v>10</v>
      </c>
      <c r="I4939" s="31">
        <v>24</v>
      </c>
      <c r="J4939" s="31" t="s">
        <v>18148</v>
      </c>
      <c r="K4939" s="31" t="s">
        <v>33</v>
      </c>
      <c r="L4939" s="31" t="s">
        <v>34</v>
      </c>
      <c r="M4939" s="31">
        <v>224</v>
      </c>
      <c r="N4939" s="31">
        <v>2018</v>
      </c>
      <c r="O4939" s="31">
        <v>368</v>
      </c>
      <c r="P4939" s="31"/>
      <c r="Q4939" s="31"/>
      <c r="R4939" s="33"/>
      <c r="S4939" s="34" t="str">
        <f>HYPERLINK("http://www.cnpol.ru/covers/17992.jpg","фото на сайте")</f>
        <v>фото на сайте</v>
      </c>
    </row>
    <row r="4940" spans="1:19" ht="50.1" customHeight="1">
      <c r="A4940" s="31"/>
      <c r="B4940" s="32" t="s">
        <v>18149</v>
      </c>
      <c r="C4940" s="31" t="s">
        <v>479</v>
      </c>
      <c r="D4940" s="31" t="s">
        <v>4359</v>
      </c>
      <c r="E4940" s="31" t="s">
        <v>18150</v>
      </c>
      <c r="F4940" s="31" t="s">
        <v>31</v>
      </c>
      <c r="G4940" s="31">
        <v>925</v>
      </c>
      <c r="H4940" s="31">
        <v>10</v>
      </c>
      <c r="I4940" s="31">
        <v>10</v>
      </c>
      <c r="J4940" s="31" t="s">
        <v>18151</v>
      </c>
      <c r="K4940" s="31" t="s">
        <v>41</v>
      </c>
      <c r="L4940" s="31" t="s">
        <v>34</v>
      </c>
      <c r="M4940" s="31">
        <v>480</v>
      </c>
      <c r="N4940" s="31">
        <v>2016</v>
      </c>
      <c r="O4940" s="31">
        <v>530</v>
      </c>
      <c r="P4940" s="31"/>
      <c r="Q4940" s="31"/>
      <c r="R4940" s="33"/>
      <c r="S4940" s="34" t="str">
        <f>HYPERLINK("http://www.cnpol.ru/covers/17194.jpg","фото на сайте")</f>
        <v>фото на сайте</v>
      </c>
    </row>
    <row r="4941" spans="1:19" ht="50.1" customHeight="1">
      <c r="A4941" s="31" t="s">
        <v>35</v>
      </c>
      <c r="B4941" s="32" t="s">
        <v>18152</v>
      </c>
      <c r="C4941" s="31" t="s">
        <v>37</v>
      </c>
      <c r="D4941" s="31" t="s">
        <v>4435</v>
      </c>
      <c r="E4941" s="31" t="s">
        <v>18153</v>
      </c>
      <c r="F4941" s="31" t="s">
        <v>31</v>
      </c>
      <c r="G4941" s="35">
        <v>1174</v>
      </c>
      <c r="H4941" s="31">
        <v>10</v>
      </c>
      <c r="I4941" s="31">
        <v>8</v>
      </c>
      <c r="J4941" s="31" t="s">
        <v>18154</v>
      </c>
      <c r="K4941" s="31" t="s">
        <v>33</v>
      </c>
      <c r="L4941" s="31" t="s">
        <v>34</v>
      </c>
      <c r="M4941" s="31">
        <v>448</v>
      </c>
      <c r="N4941" s="31">
        <v>2024</v>
      </c>
      <c r="O4941" s="31">
        <v>503</v>
      </c>
      <c r="P4941" s="31"/>
      <c r="Q4941" s="31"/>
      <c r="R4941" s="33" t="s">
        <v>18155</v>
      </c>
      <c r="S4941" s="34" t="str">
        <f>HYPERLINK("http://www.cnpol.ru/covers/21230.jpg","фото на сайте")</f>
        <v>фото на сайте</v>
      </c>
    </row>
    <row r="4942" spans="1:19" ht="50.1" customHeight="1">
      <c r="A4942" s="31"/>
      <c r="B4942" s="32" t="s">
        <v>18156</v>
      </c>
      <c r="C4942" s="31" t="s">
        <v>400</v>
      </c>
      <c r="D4942" s="31" t="s">
        <v>8982</v>
      </c>
      <c r="E4942" s="31" t="s">
        <v>18157</v>
      </c>
      <c r="F4942" s="31" t="s">
        <v>31</v>
      </c>
      <c r="G4942" s="31">
        <v>503</v>
      </c>
      <c r="H4942" s="31">
        <v>10</v>
      </c>
      <c r="I4942" s="31">
        <v>14</v>
      </c>
      <c r="J4942" s="31" t="s">
        <v>18158</v>
      </c>
      <c r="K4942" s="31" t="s">
        <v>33</v>
      </c>
      <c r="L4942" s="31" t="s">
        <v>34</v>
      </c>
      <c r="M4942" s="31">
        <v>319</v>
      </c>
      <c r="N4942" s="31">
        <v>2012</v>
      </c>
      <c r="O4942" s="31">
        <v>262</v>
      </c>
      <c r="P4942" s="31"/>
      <c r="Q4942" s="31"/>
      <c r="R4942" s="33"/>
      <c r="S4942" s="34" t="str">
        <f>HYPERLINK("http://www.cnpol.ru/covers/13401.jpg","фото на сайте")</f>
        <v>фото на сайте</v>
      </c>
    </row>
    <row r="4943" spans="1:19" ht="50.1" customHeight="1">
      <c r="A4943" s="31" t="s">
        <v>43</v>
      </c>
      <c r="B4943" s="32" t="s">
        <v>18159</v>
      </c>
      <c r="C4943" s="31" t="s">
        <v>251</v>
      </c>
      <c r="D4943" s="31" t="s">
        <v>3293</v>
      </c>
      <c r="E4943" s="31" t="s">
        <v>18160</v>
      </c>
      <c r="F4943" s="31" t="s">
        <v>31</v>
      </c>
      <c r="G4943" s="31">
        <v>759</v>
      </c>
      <c r="H4943" s="31">
        <v>10</v>
      </c>
      <c r="I4943" s="31">
        <v>16</v>
      </c>
      <c r="J4943" s="31" t="s">
        <v>18161</v>
      </c>
      <c r="K4943" s="31" t="s">
        <v>33</v>
      </c>
      <c r="L4943" s="31" t="s">
        <v>34</v>
      </c>
      <c r="M4943" s="31">
        <v>223</v>
      </c>
      <c r="N4943" s="31">
        <v>2025</v>
      </c>
      <c r="O4943" s="31">
        <v>270</v>
      </c>
      <c r="P4943" s="31"/>
      <c r="Q4943" s="31"/>
      <c r="R4943" s="33" t="s">
        <v>18162</v>
      </c>
      <c r="S4943" s="34" t="str">
        <f>HYPERLINK("http://www.cnpol.ru/covers/21663.jpg","фото на сайте")</f>
        <v>фото на сайте</v>
      </c>
    </row>
    <row r="4944" spans="1:19" ht="50.1" customHeight="1">
      <c r="A4944" s="31"/>
      <c r="B4944" s="32" t="s">
        <v>18163</v>
      </c>
      <c r="C4944" s="31" t="s">
        <v>390</v>
      </c>
      <c r="D4944" s="31" t="s">
        <v>2177</v>
      </c>
      <c r="E4944" s="31" t="s">
        <v>18164</v>
      </c>
      <c r="F4944" s="31">
        <v>582</v>
      </c>
      <c r="G4944" s="31">
        <v>86</v>
      </c>
      <c r="H4944" s="31">
        <v>10</v>
      </c>
      <c r="I4944" s="31">
        <v>30</v>
      </c>
      <c r="J4944" s="31" t="s">
        <v>18165</v>
      </c>
      <c r="K4944" s="31" t="s">
        <v>123</v>
      </c>
      <c r="L4944" s="31" t="s">
        <v>56</v>
      </c>
      <c r="M4944" s="31">
        <v>158</v>
      </c>
      <c r="N4944" s="31">
        <v>2016</v>
      </c>
      <c r="O4944" s="31">
        <v>76</v>
      </c>
      <c r="P4944" s="31"/>
      <c r="Q4944" s="31"/>
      <c r="R4944" s="33"/>
      <c r="S4944" s="34" t="str">
        <f>HYPERLINK("http://www.cnpol.ru/covers/16466.jpg","фото на сайте")</f>
        <v>фото на сайте</v>
      </c>
    </row>
    <row r="4945" spans="1:19" ht="50.1" customHeight="1">
      <c r="A4945" s="31"/>
      <c r="B4945" s="32" t="s">
        <v>18166</v>
      </c>
      <c r="C4945" s="31" t="s">
        <v>3229</v>
      </c>
      <c r="D4945" s="31" t="s">
        <v>18167</v>
      </c>
      <c r="E4945" s="31" t="s">
        <v>18168</v>
      </c>
      <c r="F4945" s="31" t="s">
        <v>31</v>
      </c>
      <c r="G4945" s="31">
        <v>693</v>
      </c>
      <c r="H4945" s="31">
        <v>10</v>
      </c>
      <c r="I4945" s="31">
        <v>16</v>
      </c>
      <c r="J4945" s="31" t="s">
        <v>18169</v>
      </c>
      <c r="K4945" s="31" t="s">
        <v>33</v>
      </c>
      <c r="L4945" s="31" t="s">
        <v>34</v>
      </c>
      <c r="M4945" s="31">
        <v>352</v>
      </c>
      <c r="N4945" s="31">
        <v>2016</v>
      </c>
      <c r="O4945" s="31">
        <v>354</v>
      </c>
      <c r="P4945" s="31"/>
      <c r="Q4945" s="31"/>
      <c r="R4945" s="33"/>
      <c r="S4945" s="34" t="str">
        <f>HYPERLINK("http://www.cnpol.ru/covers/16729.jpg","фото на сайте")</f>
        <v>фото на сайте</v>
      </c>
    </row>
    <row r="4946" spans="1:19" ht="50.1" customHeight="1">
      <c r="A4946" s="31"/>
      <c r="B4946" s="32" t="s">
        <v>18170</v>
      </c>
      <c r="C4946" s="31" t="s">
        <v>385</v>
      </c>
      <c r="D4946" s="31" t="s">
        <v>386</v>
      </c>
      <c r="E4946" s="31" t="s">
        <v>18171</v>
      </c>
      <c r="F4946" s="31" t="s">
        <v>31</v>
      </c>
      <c r="G4946" s="31">
        <v>162</v>
      </c>
      <c r="H4946" s="31">
        <v>10</v>
      </c>
      <c r="I4946" s="31">
        <v>32</v>
      </c>
      <c r="J4946" s="31" t="s">
        <v>18172</v>
      </c>
      <c r="K4946" s="31" t="s">
        <v>55</v>
      </c>
      <c r="L4946" s="31" t="s">
        <v>56</v>
      </c>
      <c r="M4946" s="31">
        <v>256</v>
      </c>
      <c r="N4946" s="31">
        <v>2016</v>
      </c>
      <c r="O4946" s="31">
        <v>100</v>
      </c>
      <c r="P4946" s="31"/>
      <c r="Q4946" s="31"/>
      <c r="R4946" s="33"/>
      <c r="S4946" s="34" t="str">
        <f>HYPERLINK("http://www.cnpol.ru/covers/0118.jpg","фото на сайте")</f>
        <v>фото на сайте</v>
      </c>
    </row>
    <row r="4947" spans="1:19" ht="50.1" customHeight="1">
      <c r="A4947" s="31"/>
      <c r="B4947" s="32" t="s">
        <v>18173</v>
      </c>
      <c r="C4947" s="31" t="s">
        <v>385</v>
      </c>
      <c r="D4947" s="31" t="s">
        <v>386</v>
      </c>
      <c r="E4947" s="31" t="s">
        <v>18174</v>
      </c>
      <c r="F4947" s="31" t="s">
        <v>31</v>
      </c>
      <c r="G4947" s="31">
        <v>162</v>
      </c>
      <c r="H4947" s="31">
        <v>10</v>
      </c>
      <c r="I4947" s="31">
        <v>32</v>
      </c>
      <c r="J4947" s="31" t="s">
        <v>18175</v>
      </c>
      <c r="K4947" s="31" t="s">
        <v>55</v>
      </c>
      <c r="L4947" s="31" t="s">
        <v>56</v>
      </c>
      <c r="M4947" s="31">
        <v>256</v>
      </c>
      <c r="N4947" s="31">
        <v>2016</v>
      </c>
      <c r="O4947" s="31">
        <v>108</v>
      </c>
      <c r="P4947" s="31"/>
      <c r="Q4947" s="31"/>
      <c r="R4947" s="33"/>
      <c r="S4947" s="34" t="str">
        <f>HYPERLINK("http://www.cnpol.ru/covers/0136.jpg","фото на сайте")</f>
        <v>фото на сайте</v>
      </c>
    </row>
    <row r="4948" spans="1:19" ht="50.1" customHeight="1">
      <c r="A4948" s="31"/>
      <c r="B4948" s="32" t="s">
        <v>18176</v>
      </c>
      <c r="C4948" s="31" t="s">
        <v>390</v>
      </c>
      <c r="D4948" s="31" t="s">
        <v>2294</v>
      </c>
      <c r="E4948" s="31" t="s">
        <v>18177</v>
      </c>
      <c r="F4948" s="31">
        <v>501</v>
      </c>
      <c r="G4948" s="31">
        <v>86</v>
      </c>
      <c r="H4948" s="31">
        <v>10</v>
      </c>
      <c r="I4948" s="31">
        <v>30</v>
      </c>
      <c r="J4948" s="31" t="s">
        <v>18178</v>
      </c>
      <c r="K4948" s="31" t="s">
        <v>123</v>
      </c>
      <c r="L4948" s="31" t="s">
        <v>56</v>
      </c>
      <c r="M4948" s="31">
        <v>158</v>
      </c>
      <c r="N4948" s="31">
        <v>2015</v>
      </c>
      <c r="O4948" s="31">
        <v>78</v>
      </c>
      <c r="P4948" s="31"/>
      <c r="Q4948" s="31"/>
      <c r="R4948" s="33"/>
      <c r="S4948" s="34" t="str">
        <f>HYPERLINK("http://www.cnpol.ru/covers/15876.jpg","фото на сайте")</f>
        <v>фото на сайте</v>
      </c>
    </row>
    <row r="4949" spans="1:19" ht="50.1" customHeight="1">
      <c r="A4949" s="31"/>
      <c r="B4949" s="32" t="s">
        <v>18179</v>
      </c>
      <c r="C4949" s="31" t="s">
        <v>1830</v>
      </c>
      <c r="D4949" s="31" t="s">
        <v>7142</v>
      </c>
      <c r="E4949" s="31" t="s">
        <v>18180</v>
      </c>
      <c r="F4949" s="31" t="s">
        <v>31</v>
      </c>
      <c r="G4949" s="31">
        <v>370</v>
      </c>
      <c r="H4949" s="31">
        <v>10</v>
      </c>
      <c r="I4949" s="31">
        <v>14</v>
      </c>
      <c r="J4949" s="31" t="s">
        <v>18181</v>
      </c>
      <c r="K4949" s="31" t="s">
        <v>33</v>
      </c>
      <c r="L4949" s="31" t="s">
        <v>34</v>
      </c>
      <c r="M4949" s="31">
        <v>335</v>
      </c>
      <c r="N4949" s="31">
        <v>2004</v>
      </c>
      <c r="O4949" s="31">
        <v>300</v>
      </c>
      <c r="P4949" s="31"/>
      <c r="Q4949" s="31"/>
      <c r="R4949" s="33"/>
      <c r="S4949" s="34" t="str">
        <f>HYPERLINK("http://www.cnpol.ru/covers/5260.jpg","фото на сайте")</f>
        <v>фото на сайте</v>
      </c>
    </row>
    <row r="4950" spans="1:19" ht="50.1" customHeight="1">
      <c r="A4950" s="31"/>
      <c r="B4950" s="32" t="s">
        <v>18182</v>
      </c>
      <c r="C4950" s="31" t="s">
        <v>18183</v>
      </c>
      <c r="D4950" s="31" t="s">
        <v>18184</v>
      </c>
      <c r="E4950" s="31" t="s">
        <v>18185</v>
      </c>
      <c r="F4950" s="31" t="s">
        <v>31</v>
      </c>
      <c r="G4950" s="31">
        <v>122</v>
      </c>
      <c r="H4950" s="31">
        <v>10</v>
      </c>
      <c r="I4950" s="31">
        <v>30</v>
      </c>
      <c r="J4950" s="31" t="s">
        <v>18186</v>
      </c>
      <c r="K4950" s="31" t="s">
        <v>130</v>
      </c>
      <c r="L4950" s="31" t="s">
        <v>56</v>
      </c>
      <c r="M4950" s="31">
        <v>189</v>
      </c>
      <c r="N4950" s="31">
        <v>2009</v>
      </c>
      <c r="O4950" s="31">
        <v>120</v>
      </c>
      <c r="P4950" s="31"/>
      <c r="Q4950" s="31"/>
      <c r="R4950" s="33"/>
      <c r="S4950" s="34" t="str">
        <f>HYPERLINK("http://www.cnpol.ru/covers/11550.jpg","фото на сайте")</f>
        <v>фото на сайте</v>
      </c>
    </row>
    <row r="4951" spans="1:19" ht="50.1" customHeight="1">
      <c r="A4951" s="31" t="s">
        <v>43</v>
      </c>
      <c r="B4951" s="32" t="s">
        <v>18187</v>
      </c>
      <c r="C4951" s="31" t="s">
        <v>434</v>
      </c>
      <c r="D4951" s="31" t="s">
        <v>2040</v>
      </c>
      <c r="E4951" s="31" t="s">
        <v>18188</v>
      </c>
      <c r="F4951" s="31" t="s">
        <v>31</v>
      </c>
      <c r="G4951" s="31">
        <v>692</v>
      </c>
      <c r="H4951" s="31">
        <v>10</v>
      </c>
      <c r="I4951" s="31">
        <v>12</v>
      </c>
      <c r="J4951" s="31" t="s">
        <v>18189</v>
      </c>
      <c r="K4951" s="31" t="s">
        <v>33</v>
      </c>
      <c r="L4951" s="31" t="s">
        <v>34</v>
      </c>
      <c r="M4951" s="31">
        <v>191</v>
      </c>
      <c r="N4951" s="31">
        <v>2026</v>
      </c>
      <c r="O4951" s="31" t="s">
        <v>220</v>
      </c>
      <c r="P4951" s="31"/>
      <c r="Q4951" s="31"/>
      <c r="R4951" s="33" t="s">
        <v>18190</v>
      </c>
      <c r="S4951" s="34" t="str">
        <f>HYPERLINK("http://www.cnpol.ru/covers/21876.jpg","фото на сайте")</f>
        <v>фото на сайте</v>
      </c>
    </row>
    <row r="4952" spans="1:19" ht="50.1" customHeight="1">
      <c r="A4952" s="31"/>
      <c r="B4952" s="32" t="s">
        <v>18191</v>
      </c>
      <c r="C4952" s="31" t="s">
        <v>413</v>
      </c>
      <c r="D4952" s="31" t="s">
        <v>1599</v>
      </c>
      <c r="E4952" s="31" t="s">
        <v>18192</v>
      </c>
      <c r="F4952" s="31">
        <v>191</v>
      </c>
      <c r="G4952" s="31">
        <v>117</v>
      </c>
      <c r="H4952" s="31">
        <v>10</v>
      </c>
      <c r="I4952" s="31">
        <v>24</v>
      </c>
      <c r="J4952" s="31" t="s">
        <v>18193</v>
      </c>
      <c r="K4952" s="31" t="s">
        <v>123</v>
      </c>
      <c r="L4952" s="31" t="s">
        <v>56</v>
      </c>
      <c r="M4952" s="31">
        <v>191</v>
      </c>
      <c r="N4952" s="31">
        <v>2023</v>
      </c>
      <c r="O4952" s="31">
        <v>76</v>
      </c>
      <c r="P4952" s="31"/>
      <c r="Q4952" s="31"/>
      <c r="R4952" s="33" t="s">
        <v>18194</v>
      </c>
      <c r="S4952" s="34" t="str">
        <f>HYPERLINK("http://www.cnpol.ru/covers/20866.jpg","фото на сайте")</f>
        <v>фото на сайте</v>
      </c>
    </row>
    <row r="4953" spans="1:19" ht="50.1" customHeight="1">
      <c r="A4953" s="31"/>
      <c r="B4953" s="32" t="s">
        <v>18195</v>
      </c>
      <c r="C4953" s="31" t="s">
        <v>1237</v>
      </c>
      <c r="D4953" s="31" t="s">
        <v>1238</v>
      </c>
      <c r="E4953" s="31" t="s">
        <v>18196</v>
      </c>
      <c r="F4953" s="31" t="s">
        <v>31</v>
      </c>
      <c r="G4953" s="31">
        <v>961</v>
      </c>
      <c r="H4953" s="31">
        <v>10</v>
      </c>
      <c r="I4953" s="31">
        <v>8</v>
      </c>
      <c r="J4953" s="31" t="s">
        <v>18197</v>
      </c>
      <c r="K4953" s="31" t="s">
        <v>33</v>
      </c>
      <c r="L4953" s="31" t="s">
        <v>34</v>
      </c>
      <c r="M4953" s="31">
        <v>576</v>
      </c>
      <c r="N4953" s="31">
        <v>2020</v>
      </c>
      <c r="O4953" s="31">
        <v>564</v>
      </c>
      <c r="P4953" s="31"/>
      <c r="Q4953" s="31"/>
      <c r="R4953" s="33"/>
      <c r="S4953" s="34" t="str">
        <f>HYPERLINK("http://www.cnpol.ru/covers/19134.jpg","фото на сайте")</f>
        <v>фото на сайте</v>
      </c>
    </row>
    <row r="4954" spans="1:19" ht="50.1" customHeight="1">
      <c r="A4954" s="31"/>
      <c r="B4954" s="32" t="s">
        <v>18198</v>
      </c>
      <c r="C4954" s="31" t="s">
        <v>375</v>
      </c>
      <c r="D4954" s="31" t="s">
        <v>10014</v>
      </c>
      <c r="E4954" s="31" t="s">
        <v>18199</v>
      </c>
      <c r="F4954" s="31" t="s">
        <v>31</v>
      </c>
      <c r="G4954" s="31">
        <v>321</v>
      </c>
      <c r="H4954" s="31">
        <v>10</v>
      </c>
      <c r="I4954" s="31">
        <v>24</v>
      </c>
      <c r="J4954" s="31" t="s">
        <v>18200</v>
      </c>
      <c r="K4954" s="31" t="s">
        <v>123</v>
      </c>
      <c r="L4954" s="31" t="s">
        <v>210</v>
      </c>
      <c r="M4954" s="31">
        <v>220</v>
      </c>
      <c r="N4954" s="31">
        <v>2008</v>
      </c>
      <c r="O4954" s="31">
        <v>152</v>
      </c>
      <c r="P4954" s="31"/>
      <c r="Q4954" s="31"/>
      <c r="R4954" s="33"/>
      <c r="S4954" s="34" t="str">
        <f>HYPERLINK("http://www.cnpol.ru/covers/10683.jpg","фото на сайте")</f>
        <v>фото на сайте</v>
      </c>
    </row>
    <row r="4955" spans="1:19" ht="50.1" customHeight="1">
      <c r="A4955" s="31" t="s">
        <v>35</v>
      </c>
      <c r="B4955" s="32" t="s">
        <v>18201</v>
      </c>
      <c r="C4955" s="31" t="s">
        <v>503</v>
      </c>
      <c r="D4955" s="31" t="s">
        <v>1191</v>
      </c>
      <c r="E4955" s="31" t="s">
        <v>18202</v>
      </c>
      <c r="F4955" s="31" t="s">
        <v>31</v>
      </c>
      <c r="G4955" s="35">
        <v>2218</v>
      </c>
      <c r="H4955" s="31">
        <v>10</v>
      </c>
      <c r="I4955" s="31">
        <v>3</v>
      </c>
      <c r="J4955" s="31" t="s">
        <v>18203</v>
      </c>
      <c r="K4955" s="31" t="s">
        <v>41</v>
      </c>
      <c r="L4955" s="31" t="s">
        <v>34</v>
      </c>
      <c r="M4955" s="31">
        <v>766</v>
      </c>
      <c r="N4955" s="31">
        <v>2025</v>
      </c>
      <c r="O4955" s="31">
        <v>940</v>
      </c>
      <c r="P4955" s="31"/>
      <c r="Q4955" s="31"/>
      <c r="R4955" s="33" t="s">
        <v>18204</v>
      </c>
      <c r="S4955" s="34" t="str">
        <f>HYPERLINK("http://www.cnpol.ru/covers/21527.jpg","фото на сайте")</f>
        <v>фото на сайте</v>
      </c>
    </row>
    <row r="4956" spans="1:19" ht="50.1" customHeight="1">
      <c r="A4956" s="31" t="s">
        <v>43</v>
      </c>
      <c r="B4956" s="32" t="s">
        <v>18205</v>
      </c>
      <c r="C4956" s="31" t="s">
        <v>37</v>
      </c>
      <c r="D4956" s="31" t="s">
        <v>6022</v>
      </c>
      <c r="E4956" s="31" t="s">
        <v>18206</v>
      </c>
      <c r="F4956" s="31" t="s">
        <v>31</v>
      </c>
      <c r="G4956" s="31">
        <v>966</v>
      </c>
      <c r="H4956" s="31">
        <v>10</v>
      </c>
      <c r="I4956" s="31">
        <v>5</v>
      </c>
      <c r="J4956" s="31" t="s">
        <v>18207</v>
      </c>
      <c r="K4956" s="31" t="s">
        <v>33</v>
      </c>
      <c r="L4956" s="31" t="s">
        <v>34</v>
      </c>
      <c r="M4956" s="31">
        <v>350</v>
      </c>
      <c r="N4956" s="31">
        <v>2025</v>
      </c>
      <c r="O4956" s="31" t="s">
        <v>220</v>
      </c>
      <c r="P4956" s="31"/>
      <c r="Q4956" s="31"/>
      <c r="R4956" s="33" t="s">
        <v>18208</v>
      </c>
      <c r="S4956" s="34" t="str">
        <f>HYPERLINK("http://www.cnpol.ru/covers/21796.jpg","фото на сайте")</f>
        <v>фото на сайте</v>
      </c>
    </row>
    <row r="4957" spans="1:19" ht="50.1" customHeight="1">
      <c r="A4957" s="31"/>
      <c r="B4957" s="32" t="s">
        <v>18209</v>
      </c>
      <c r="C4957" s="31" t="s">
        <v>495</v>
      </c>
      <c r="D4957" s="31" t="s">
        <v>18210</v>
      </c>
      <c r="E4957" s="31" t="s">
        <v>18211</v>
      </c>
      <c r="F4957" s="31" t="s">
        <v>31</v>
      </c>
      <c r="G4957" s="35">
        <v>3258</v>
      </c>
      <c r="H4957" s="31">
        <v>10</v>
      </c>
      <c r="I4957" s="31">
        <v>5</v>
      </c>
      <c r="J4957" s="31" t="s">
        <v>18212</v>
      </c>
      <c r="K4957" s="31" t="s">
        <v>319</v>
      </c>
      <c r="L4957" s="31" t="s">
        <v>34</v>
      </c>
      <c r="M4957" s="31">
        <v>288</v>
      </c>
      <c r="N4957" s="31">
        <v>2016</v>
      </c>
      <c r="O4957" s="31">
        <v>1208</v>
      </c>
      <c r="P4957" s="31"/>
      <c r="Q4957" s="31"/>
      <c r="R4957" s="33"/>
      <c r="S4957" s="34" t="str">
        <f>HYPERLINK("http://www.cnpol.ru/covers/16448.jpg","фото на сайте")</f>
        <v>фото на сайте</v>
      </c>
    </row>
    <row r="4958" spans="1:19" ht="50.1" customHeight="1">
      <c r="A4958" s="31"/>
      <c r="B4958" s="32" t="s">
        <v>18213</v>
      </c>
      <c r="C4958" s="31" t="s">
        <v>479</v>
      </c>
      <c r="D4958" s="31" t="s">
        <v>18214</v>
      </c>
      <c r="E4958" s="31" t="s">
        <v>18215</v>
      </c>
      <c r="F4958" s="31" t="s">
        <v>31</v>
      </c>
      <c r="G4958" s="31">
        <v>675</v>
      </c>
      <c r="H4958" s="31">
        <v>10</v>
      </c>
      <c r="I4958" s="31">
        <v>12</v>
      </c>
      <c r="J4958" s="31" t="s">
        <v>18216</v>
      </c>
      <c r="K4958" s="31" t="s">
        <v>33</v>
      </c>
      <c r="L4958" s="31" t="s">
        <v>34</v>
      </c>
      <c r="M4958" s="31">
        <v>256</v>
      </c>
      <c r="N4958" s="31">
        <v>2016</v>
      </c>
      <c r="O4958" s="31">
        <v>350</v>
      </c>
      <c r="P4958" s="31"/>
      <c r="Q4958" s="31"/>
      <c r="R4958" s="33"/>
      <c r="S4958" s="34" t="str">
        <f>HYPERLINK("http://www.cnpol.ru/covers/16828.jpg","фото на сайте")</f>
        <v>фото на сайте</v>
      </c>
    </row>
    <row r="4959" spans="1:19" ht="50.1" customHeight="1">
      <c r="A4959" s="31"/>
      <c r="B4959" s="32" t="s">
        <v>18217</v>
      </c>
      <c r="C4959" s="31" t="s">
        <v>297</v>
      </c>
      <c r="D4959" s="31" t="s">
        <v>872</v>
      </c>
      <c r="E4959" s="31" t="s">
        <v>18218</v>
      </c>
      <c r="F4959" s="31" t="s">
        <v>31</v>
      </c>
      <c r="G4959" s="31">
        <v>300</v>
      </c>
      <c r="H4959" s="31">
        <v>10</v>
      </c>
      <c r="I4959" s="31">
        <v>20</v>
      </c>
      <c r="J4959" s="31" t="s">
        <v>18219</v>
      </c>
      <c r="K4959" s="31" t="s">
        <v>300</v>
      </c>
      <c r="L4959" s="31" t="s">
        <v>56</v>
      </c>
      <c r="M4959" s="31">
        <v>320</v>
      </c>
      <c r="N4959" s="31">
        <v>2020</v>
      </c>
      <c r="O4959" s="31">
        <v>164</v>
      </c>
      <c r="P4959" s="31"/>
      <c r="Q4959" s="31"/>
      <c r="R4959" s="33"/>
      <c r="S4959" s="34" t="str">
        <f>HYPERLINK("http://www.cnpol.ru/covers/19502.jpg","фото на сайте")</f>
        <v>фото на сайте</v>
      </c>
    </row>
    <row r="4960" spans="1:19" ht="50.1" customHeight="1">
      <c r="A4960" s="31" t="s">
        <v>35</v>
      </c>
      <c r="B4960" s="32" t="s">
        <v>18220</v>
      </c>
      <c r="C4960" s="31" t="s">
        <v>668</v>
      </c>
      <c r="D4960" s="31" t="s">
        <v>18221</v>
      </c>
      <c r="E4960" s="31" t="s">
        <v>18222</v>
      </c>
      <c r="F4960" s="31" t="s">
        <v>31</v>
      </c>
      <c r="G4960" s="31">
        <v>489</v>
      </c>
      <c r="H4960" s="31">
        <v>10</v>
      </c>
      <c r="I4960" s="31">
        <v>16</v>
      </c>
      <c r="J4960" s="31" t="s">
        <v>18223</v>
      </c>
      <c r="K4960" s="31" t="s">
        <v>158</v>
      </c>
      <c r="L4960" s="31" t="s">
        <v>34</v>
      </c>
      <c r="M4960" s="31">
        <v>191</v>
      </c>
      <c r="N4960" s="31">
        <v>2024</v>
      </c>
      <c r="O4960" s="31">
        <v>190</v>
      </c>
      <c r="P4960" s="31"/>
      <c r="Q4960" s="31"/>
      <c r="R4960" s="33" t="s">
        <v>18224</v>
      </c>
      <c r="S4960" s="34" t="str">
        <f>HYPERLINK("http://www.cnpol.ru/covers/21259.jpg","фото на сайте")</f>
        <v>фото на сайте</v>
      </c>
    </row>
    <row r="4961" spans="1:19" ht="50.1" customHeight="1">
      <c r="A4961" s="31"/>
      <c r="B4961" s="32" t="s">
        <v>18225</v>
      </c>
      <c r="C4961" s="31" t="s">
        <v>613</v>
      </c>
      <c r="D4961" s="31" t="s">
        <v>614</v>
      </c>
      <c r="E4961" s="31" t="s">
        <v>18226</v>
      </c>
      <c r="F4961" s="31" t="s">
        <v>31</v>
      </c>
      <c r="G4961" s="31">
        <v>593</v>
      </c>
      <c r="H4961" s="31">
        <v>10</v>
      </c>
      <c r="I4961" s="31">
        <v>16</v>
      </c>
      <c r="J4961" s="31" t="s">
        <v>18227</v>
      </c>
      <c r="K4961" s="31" t="s">
        <v>33</v>
      </c>
      <c r="L4961" s="31" t="s">
        <v>34</v>
      </c>
      <c r="M4961" s="31">
        <v>367</v>
      </c>
      <c r="N4961" s="31">
        <v>2016</v>
      </c>
      <c r="O4961" s="31">
        <v>372</v>
      </c>
      <c r="P4961" s="31"/>
      <c r="Q4961" s="31"/>
      <c r="R4961" s="33"/>
      <c r="S4961" s="34" t="str">
        <f>HYPERLINK("http://www.cnpol.ru/covers/17149.jpg","фото на сайте")</f>
        <v>фото на сайте</v>
      </c>
    </row>
    <row r="4962" spans="1:19" ht="50.1" customHeight="1">
      <c r="A4962" s="31"/>
      <c r="B4962" s="32" t="s">
        <v>18228</v>
      </c>
      <c r="C4962" s="31" t="s">
        <v>6922</v>
      </c>
      <c r="D4962" s="31" t="s">
        <v>18229</v>
      </c>
      <c r="E4962" s="31" t="s">
        <v>18230</v>
      </c>
      <c r="F4962" s="31" t="s">
        <v>31</v>
      </c>
      <c r="G4962" s="31">
        <v>389</v>
      </c>
      <c r="H4962" s="31">
        <v>10</v>
      </c>
      <c r="I4962" s="31">
        <v>16</v>
      </c>
      <c r="J4962" s="31" t="s">
        <v>18231</v>
      </c>
      <c r="K4962" s="31" t="s">
        <v>55</v>
      </c>
      <c r="L4962" s="31" t="s">
        <v>34</v>
      </c>
      <c r="M4962" s="31">
        <v>320</v>
      </c>
      <c r="N4962" s="31">
        <v>2021</v>
      </c>
      <c r="O4962" s="31">
        <v>230</v>
      </c>
      <c r="P4962" s="31"/>
      <c r="Q4962" s="31"/>
      <c r="R4962" s="33"/>
      <c r="S4962" s="34" t="str">
        <f>HYPERLINK("http://www.cnpol.ru/covers/19571.jpg","фото на сайте")</f>
        <v>фото на сайте</v>
      </c>
    </row>
    <row r="4963" spans="1:19" ht="50.1" customHeight="1">
      <c r="A4963" s="31" t="s">
        <v>35</v>
      </c>
      <c r="B4963" s="32" t="s">
        <v>18232</v>
      </c>
      <c r="C4963" s="31" t="s">
        <v>6922</v>
      </c>
      <c r="D4963" s="31" t="s">
        <v>18233</v>
      </c>
      <c r="E4963" s="31" t="s">
        <v>18234</v>
      </c>
      <c r="F4963" s="31" t="s">
        <v>31</v>
      </c>
      <c r="G4963" s="31">
        <v>466</v>
      </c>
      <c r="H4963" s="31">
        <v>10</v>
      </c>
      <c r="I4963" s="31">
        <v>18</v>
      </c>
      <c r="J4963" s="31" t="s">
        <v>18235</v>
      </c>
      <c r="K4963" s="31" t="s">
        <v>55</v>
      </c>
      <c r="L4963" s="31" t="s">
        <v>34</v>
      </c>
      <c r="M4963" s="31">
        <v>288</v>
      </c>
      <c r="N4963" s="31">
        <v>2024</v>
      </c>
      <c r="O4963" s="31">
        <v>220</v>
      </c>
      <c r="P4963" s="31"/>
      <c r="Q4963" s="31"/>
      <c r="R4963" s="33" t="s">
        <v>18236</v>
      </c>
      <c r="S4963" s="34" t="str">
        <f>HYPERLINK("http://www.cnpol.ru/covers/21037.jpg","фото на сайте")</f>
        <v>фото на сайте</v>
      </c>
    </row>
    <row r="4964" spans="1:19" ht="50.1" customHeight="1">
      <c r="A4964" s="31"/>
      <c r="B4964" s="32" t="s">
        <v>18237</v>
      </c>
      <c r="C4964" s="31" t="s">
        <v>3497</v>
      </c>
      <c r="D4964" s="31" t="s">
        <v>3498</v>
      </c>
      <c r="E4964" s="31" t="s">
        <v>18238</v>
      </c>
      <c r="F4964" s="31" t="s">
        <v>31</v>
      </c>
      <c r="G4964" s="31">
        <v>539</v>
      </c>
      <c r="H4964" s="31">
        <v>10</v>
      </c>
      <c r="I4964" s="31">
        <v>12</v>
      </c>
      <c r="J4964" s="31" t="s">
        <v>18239</v>
      </c>
      <c r="K4964" s="31" t="s">
        <v>158</v>
      </c>
      <c r="L4964" s="31" t="s">
        <v>34</v>
      </c>
      <c r="M4964" s="31">
        <v>258</v>
      </c>
      <c r="N4964" s="31">
        <v>2021</v>
      </c>
      <c r="O4964" s="31">
        <v>270</v>
      </c>
      <c r="P4964" s="31"/>
      <c r="Q4964" s="31"/>
      <c r="R4964" s="33"/>
      <c r="S4964" s="34" t="str">
        <f>HYPERLINK("http://www.cnpol.ru/covers/19734.jpg","фото на сайте")</f>
        <v>фото на сайте</v>
      </c>
    </row>
    <row r="4965" spans="1:19" ht="50.1" customHeight="1">
      <c r="A4965" s="31"/>
      <c r="B4965" s="32" t="s">
        <v>18240</v>
      </c>
      <c r="C4965" s="31" t="s">
        <v>413</v>
      </c>
      <c r="D4965" s="31" t="s">
        <v>7366</v>
      </c>
      <c r="E4965" s="31" t="s">
        <v>18241</v>
      </c>
      <c r="F4965" s="31">
        <v>10</v>
      </c>
      <c r="G4965" s="31">
        <v>117</v>
      </c>
      <c r="H4965" s="31">
        <v>10</v>
      </c>
      <c r="I4965" s="31">
        <v>36</v>
      </c>
      <c r="J4965" s="31" t="s">
        <v>18242</v>
      </c>
      <c r="K4965" s="31" t="s">
        <v>123</v>
      </c>
      <c r="L4965" s="31" t="s">
        <v>56</v>
      </c>
      <c r="M4965" s="31">
        <v>190</v>
      </c>
      <c r="N4965" s="31">
        <v>2014</v>
      </c>
      <c r="O4965" s="31">
        <v>92</v>
      </c>
      <c r="P4965" s="31"/>
      <c r="Q4965" s="31"/>
      <c r="R4965" s="33"/>
      <c r="S4965" s="34" t="str">
        <f>HYPERLINK("http://www.cnpol.ru/covers/15278.jpg","фото на сайте")</f>
        <v>фото на сайте</v>
      </c>
    </row>
    <row r="4966" spans="1:19" ht="50.1" customHeight="1">
      <c r="A4966" s="31"/>
      <c r="B4966" s="32" t="s">
        <v>18243</v>
      </c>
      <c r="C4966" s="31" t="s">
        <v>6824</v>
      </c>
      <c r="D4966" s="31" t="s">
        <v>5394</v>
      </c>
      <c r="E4966" s="31" t="s">
        <v>18244</v>
      </c>
      <c r="F4966" s="31" t="s">
        <v>31</v>
      </c>
      <c r="G4966" s="31">
        <v>88</v>
      </c>
      <c r="H4966" s="31">
        <v>10</v>
      </c>
      <c r="I4966" s="31">
        <v>40</v>
      </c>
      <c r="J4966" s="31" t="s">
        <v>18245</v>
      </c>
      <c r="K4966" s="31" t="s">
        <v>130</v>
      </c>
      <c r="L4966" s="31" t="s">
        <v>56</v>
      </c>
      <c r="M4966" s="31">
        <v>95</v>
      </c>
      <c r="N4966" s="31">
        <v>2008</v>
      </c>
      <c r="O4966" s="31">
        <v>62</v>
      </c>
      <c r="P4966" s="31"/>
      <c r="Q4966" s="31"/>
      <c r="R4966" s="33"/>
      <c r="S4966" s="34" t="str">
        <f>HYPERLINK("http://www.cnpol.ru/covers/10875.jpg","фото на сайте")</f>
        <v>фото на сайте</v>
      </c>
    </row>
    <row r="4967" spans="1:19" ht="50.1" customHeight="1">
      <c r="A4967" s="31"/>
      <c r="B4967" s="32" t="s">
        <v>18246</v>
      </c>
      <c r="C4967" s="31" t="s">
        <v>6824</v>
      </c>
      <c r="D4967" s="31" t="s">
        <v>198</v>
      </c>
      <c r="E4967" s="31" t="s">
        <v>18247</v>
      </c>
      <c r="F4967" s="31" t="s">
        <v>31</v>
      </c>
      <c r="G4967" s="31">
        <v>88</v>
      </c>
      <c r="H4967" s="31">
        <v>10</v>
      </c>
      <c r="I4967" s="31">
        <v>56</v>
      </c>
      <c r="J4967" s="31" t="s">
        <v>18248</v>
      </c>
      <c r="K4967" s="31" t="s">
        <v>130</v>
      </c>
      <c r="L4967" s="31" t="s">
        <v>56</v>
      </c>
      <c r="M4967" s="31">
        <v>95</v>
      </c>
      <c r="N4967" s="31">
        <v>2008</v>
      </c>
      <c r="O4967" s="31">
        <v>62</v>
      </c>
      <c r="P4967" s="31"/>
      <c r="Q4967" s="31"/>
      <c r="R4967" s="33"/>
      <c r="S4967" s="34" t="str">
        <f>HYPERLINK("http://www.cnpol.ru/covers/10675.jpg","фото на сайте")</f>
        <v>фото на сайте</v>
      </c>
    </row>
    <row r="4968" spans="1:19" ht="50.1" customHeight="1">
      <c r="A4968" s="31"/>
      <c r="B4968" s="32" t="s">
        <v>18249</v>
      </c>
      <c r="C4968" s="31" t="s">
        <v>154</v>
      </c>
      <c r="D4968" s="31" t="s">
        <v>18250</v>
      </c>
      <c r="E4968" s="31" t="s">
        <v>18251</v>
      </c>
      <c r="F4968" s="31" t="s">
        <v>31</v>
      </c>
      <c r="G4968" s="31">
        <v>640</v>
      </c>
      <c r="H4968" s="31">
        <v>10</v>
      </c>
      <c r="I4968" s="31">
        <v>18</v>
      </c>
      <c r="J4968" s="31" t="s">
        <v>18252</v>
      </c>
      <c r="K4968" s="31" t="s">
        <v>158</v>
      </c>
      <c r="L4968" s="31" t="s">
        <v>34</v>
      </c>
      <c r="M4968" s="31">
        <v>256</v>
      </c>
      <c r="N4968" s="31">
        <v>2016</v>
      </c>
      <c r="O4968" s="31">
        <v>238</v>
      </c>
      <c r="P4968" s="31"/>
      <c r="Q4968" s="31"/>
      <c r="R4968" s="33"/>
      <c r="S4968" s="34" t="str">
        <f>HYPERLINK("http://www.cnpol.ru/covers/17224.jpg","фото на сайте")</f>
        <v>фото на сайте</v>
      </c>
    </row>
    <row r="4969" spans="1:19" ht="50.1" customHeight="1">
      <c r="A4969" s="31"/>
      <c r="B4969" s="32" t="s">
        <v>18253</v>
      </c>
      <c r="C4969" s="31" t="s">
        <v>400</v>
      </c>
      <c r="D4969" s="31" t="s">
        <v>18254</v>
      </c>
      <c r="E4969" s="31" t="s">
        <v>18255</v>
      </c>
      <c r="F4969" s="31" t="s">
        <v>31</v>
      </c>
      <c r="G4969" s="31">
        <v>503</v>
      </c>
      <c r="H4969" s="31">
        <v>10</v>
      </c>
      <c r="I4969" s="31">
        <v>12</v>
      </c>
      <c r="J4969" s="31" t="s">
        <v>18256</v>
      </c>
      <c r="K4969" s="31" t="s">
        <v>33</v>
      </c>
      <c r="L4969" s="31" t="s">
        <v>34</v>
      </c>
      <c r="M4969" s="31">
        <v>384</v>
      </c>
      <c r="N4969" s="31">
        <v>2018</v>
      </c>
      <c r="O4969" s="31">
        <v>300</v>
      </c>
      <c r="P4969" s="31"/>
      <c r="Q4969" s="31"/>
      <c r="R4969" s="33"/>
      <c r="S4969" s="34" t="str">
        <f>HYPERLINK("http://www.cnpol.ru/covers/17950.jpg","фото на сайте")</f>
        <v>фото на сайте</v>
      </c>
    </row>
    <row r="4970" spans="1:19" ht="50.1" customHeight="1">
      <c r="A4970" s="31"/>
      <c r="B4970" s="32" t="s">
        <v>18257</v>
      </c>
      <c r="C4970" s="31" t="s">
        <v>385</v>
      </c>
      <c r="D4970" s="31" t="s">
        <v>386</v>
      </c>
      <c r="E4970" s="31" t="s">
        <v>18258</v>
      </c>
      <c r="F4970" s="31" t="s">
        <v>31</v>
      </c>
      <c r="G4970" s="31">
        <v>162</v>
      </c>
      <c r="H4970" s="31">
        <v>10</v>
      </c>
      <c r="I4970" s="31">
        <v>32</v>
      </c>
      <c r="J4970" s="31" t="s">
        <v>18259</v>
      </c>
      <c r="K4970" s="31" t="s">
        <v>55</v>
      </c>
      <c r="L4970" s="31" t="s">
        <v>56</v>
      </c>
      <c r="M4970" s="31">
        <v>256</v>
      </c>
      <c r="N4970" s="31">
        <v>2016</v>
      </c>
      <c r="O4970" s="31">
        <v>108</v>
      </c>
      <c r="P4970" s="31"/>
      <c r="Q4970" s="31"/>
      <c r="R4970" s="33"/>
      <c r="S4970" s="34" t="str">
        <f>HYPERLINK("http://www.cnpol.ru/covers/0119.jpg","фото на сайте")</f>
        <v>фото на сайте</v>
      </c>
    </row>
    <row r="4971" spans="1:19" ht="50.1" customHeight="1">
      <c r="A4971" s="31"/>
      <c r="B4971" s="32" t="s">
        <v>18260</v>
      </c>
      <c r="C4971" s="31" t="s">
        <v>464</v>
      </c>
      <c r="D4971" s="31" t="s">
        <v>18261</v>
      </c>
      <c r="E4971" s="31" t="s">
        <v>18262</v>
      </c>
      <c r="F4971" s="31" t="s">
        <v>31</v>
      </c>
      <c r="G4971" s="31">
        <v>137</v>
      </c>
      <c r="H4971" s="31">
        <v>10</v>
      </c>
      <c r="I4971" s="31">
        <v>40</v>
      </c>
      <c r="J4971" s="31" t="s">
        <v>18263</v>
      </c>
      <c r="K4971" s="31" t="s">
        <v>468</v>
      </c>
      <c r="L4971" s="31" t="s">
        <v>56</v>
      </c>
      <c r="M4971" s="31">
        <v>18</v>
      </c>
      <c r="N4971" s="31">
        <v>2005</v>
      </c>
      <c r="O4971" s="31">
        <v>88</v>
      </c>
      <c r="P4971" s="31"/>
      <c r="Q4971" s="31"/>
      <c r="R4971" s="33"/>
      <c r="S4971" s="34" t="str">
        <f>HYPERLINK("http://www.cnpol.ru/covers/6006.jpg","фото на сайте")</f>
        <v>фото на сайте</v>
      </c>
    </row>
    <row r="4972" spans="1:19" ht="50.1" customHeight="1">
      <c r="A4972" s="31"/>
      <c r="B4972" s="32" t="s">
        <v>18264</v>
      </c>
      <c r="C4972" s="31" t="s">
        <v>390</v>
      </c>
      <c r="D4972" s="31" t="s">
        <v>2294</v>
      </c>
      <c r="E4972" s="31" t="s">
        <v>18265</v>
      </c>
      <c r="F4972" s="31">
        <v>544</v>
      </c>
      <c r="G4972" s="31">
        <v>86</v>
      </c>
      <c r="H4972" s="31">
        <v>10</v>
      </c>
      <c r="I4972" s="31">
        <v>30</v>
      </c>
      <c r="J4972" s="31" t="s">
        <v>18266</v>
      </c>
      <c r="K4972" s="31" t="s">
        <v>123</v>
      </c>
      <c r="L4972" s="31" t="s">
        <v>56</v>
      </c>
      <c r="M4972" s="31">
        <v>158</v>
      </c>
      <c r="N4972" s="31">
        <v>2015</v>
      </c>
      <c r="O4972" s="31">
        <v>76</v>
      </c>
      <c r="P4972" s="31"/>
      <c r="Q4972" s="31"/>
      <c r="R4972" s="33"/>
      <c r="S4972" s="34" t="str">
        <f>HYPERLINK("http://www.cnpol.ru/covers/16168.jpg","фото на сайте")</f>
        <v>фото на сайте</v>
      </c>
    </row>
    <row r="4973" spans="1:19" ht="50.1" customHeight="1">
      <c r="A4973" s="31"/>
      <c r="B4973" s="32" t="s">
        <v>18267</v>
      </c>
      <c r="C4973" s="31" t="s">
        <v>546</v>
      </c>
      <c r="D4973" s="31" t="s">
        <v>1454</v>
      </c>
      <c r="E4973" s="31" t="s">
        <v>18268</v>
      </c>
      <c r="F4973" s="31">
        <v>385</v>
      </c>
      <c r="G4973" s="31">
        <v>93</v>
      </c>
      <c r="H4973" s="31">
        <v>10</v>
      </c>
      <c r="I4973" s="31">
        <v>30</v>
      </c>
      <c r="J4973" s="31" t="s">
        <v>18269</v>
      </c>
      <c r="K4973" s="31" t="s">
        <v>123</v>
      </c>
      <c r="L4973" s="31" t="s">
        <v>56</v>
      </c>
      <c r="M4973" s="31">
        <v>159</v>
      </c>
      <c r="N4973" s="31">
        <v>2021</v>
      </c>
      <c r="O4973" s="31">
        <v>76</v>
      </c>
      <c r="P4973" s="31"/>
      <c r="Q4973" s="31"/>
      <c r="R4973" s="33"/>
      <c r="S4973" s="34" t="str">
        <f>HYPERLINK("http://www.cnpol.ru/covers/19865.jpg","фото на сайте")</f>
        <v>фото на сайте</v>
      </c>
    </row>
    <row r="4974" spans="1:19" ht="50.1" customHeight="1">
      <c r="A4974" s="31"/>
      <c r="B4974" s="32" t="s">
        <v>18270</v>
      </c>
      <c r="C4974" s="31" t="s">
        <v>18271</v>
      </c>
      <c r="D4974" s="31" t="s">
        <v>18272</v>
      </c>
      <c r="E4974" s="31" t="s">
        <v>18273</v>
      </c>
      <c r="F4974" s="31" t="s">
        <v>31</v>
      </c>
      <c r="G4974" s="31">
        <v>503</v>
      </c>
      <c r="H4974" s="31">
        <v>10</v>
      </c>
      <c r="I4974" s="31">
        <v>18</v>
      </c>
      <c r="J4974" s="31" t="s">
        <v>18274</v>
      </c>
      <c r="K4974" s="31" t="s">
        <v>33</v>
      </c>
      <c r="L4974" s="31" t="s">
        <v>34</v>
      </c>
      <c r="M4974" s="31">
        <v>271</v>
      </c>
      <c r="N4974" s="31">
        <v>2008</v>
      </c>
      <c r="O4974" s="31">
        <v>330</v>
      </c>
      <c r="P4974" s="31"/>
      <c r="Q4974" s="31"/>
      <c r="R4974" s="33"/>
      <c r="S4974" s="34" t="str">
        <f>HYPERLINK("http://www.cnpol.ru/covers/7753.jpg","фото на сайте")</f>
        <v>фото на сайте</v>
      </c>
    </row>
    <row r="4975" spans="1:19" ht="50.1" customHeight="1">
      <c r="A4975" s="31"/>
      <c r="B4975" s="32" t="s">
        <v>18275</v>
      </c>
      <c r="C4975" s="31" t="s">
        <v>688</v>
      </c>
      <c r="D4975" s="31" t="s">
        <v>18276</v>
      </c>
      <c r="E4975" s="31" t="s">
        <v>18277</v>
      </c>
      <c r="F4975" s="31" t="s">
        <v>31</v>
      </c>
      <c r="G4975" s="31">
        <v>486</v>
      </c>
      <c r="H4975" s="31">
        <v>10</v>
      </c>
      <c r="I4975" s="31">
        <v>24</v>
      </c>
      <c r="J4975" s="31" t="s">
        <v>18278</v>
      </c>
      <c r="K4975" s="31" t="s">
        <v>33</v>
      </c>
      <c r="L4975" s="31" t="s">
        <v>34</v>
      </c>
      <c r="M4975" s="31">
        <v>159</v>
      </c>
      <c r="N4975" s="31">
        <v>2010</v>
      </c>
      <c r="O4975" s="31">
        <v>212</v>
      </c>
      <c r="P4975" s="31"/>
      <c r="Q4975" s="31"/>
      <c r="R4975" s="33"/>
      <c r="S4975" s="34" t="str">
        <f>HYPERLINK("http://www.cnpol.ru/covers/12168.jpg","фото на сайте")</f>
        <v>фото на сайте</v>
      </c>
    </row>
    <row r="4976" spans="1:19" ht="50.1" customHeight="1">
      <c r="A4976" s="31"/>
      <c r="B4976" s="32" t="s">
        <v>18279</v>
      </c>
      <c r="C4976" s="31" t="s">
        <v>3446</v>
      </c>
      <c r="D4976" s="31" t="s">
        <v>1324</v>
      </c>
      <c r="E4976" s="31" t="s">
        <v>18280</v>
      </c>
      <c r="F4976" s="31" t="s">
        <v>31</v>
      </c>
      <c r="G4976" s="31">
        <v>664</v>
      </c>
      <c r="H4976" s="31">
        <v>10</v>
      </c>
      <c r="I4976" s="31">
        <v>12</v>
      </c>
      <c r="J4976" s="31" t="s">
        <v>18281</v>
      </c>
      <c r="K4976" s="31" t="s">
        <v>33</v>
      </c>
      <c r="L4976" s="31" t="s">
        <v>34</v>
      </c>
      <c r="M4976" s="31">
        <v>352</v>
      </c>
      <c r="N4976" s="31">
        <v>2020</v>
      </c>
      <c r="O4976" s="31">
        <v>378</v>
      </c>
      <c r="P4976" s="31"/>
      <c r="Q4976" s="31"/>
      <c r="R4976" s="33"/>
      <c r="S4976" s="34" t="str">
        <f>HYPERLINK("http://www.cnpol.ru/covers/19509.jpg","фото на сайте")</f>
        <v>фото на сайте</v>
      </c>
    </row>
    <row r="4977" spans="1:19" ht="50.1" customHeight="1">
      <c r="A4977" s="31"/>
      <c r="B4977" s="32" t="s">
        <v>18282</v>
      </c>
      <c r="C4977" s="31" t="s">
        <v>400</v>
      </c>
      <c r="D4977" s="31" t="s">
        <v>18283</v>
      </c>
      <c r="E4977" s="31" t="s">
        <v>18284</v>
      </c>
      <c r="F4977" s="31" t="s">
        <v>31</v>
      </c>
      <c r="G4977" s="31">
        <v>503</v>
      </c>
      <c r="H4977" s="31">
        <v>10</v>
      </c>
      <c r="I4977" s="31">
        <v>10</v>
      </c>
      <c r="J4977" s="31" t="s">
        <v>18285</v>
      </c>
      <c r="K4977" s="31" t="s">
        <v>33</v>
      </c>
      <c r="L4977" s="31" t="s">
        <v>34</v>
      </c>
      <c r="M4977" s="31">
        <v>384</v>
      </c>
      <c r="N4977" s="31">
        <v>2016</v>
      </c>
      <c r="O4977" s="31">
        <v>284</v>
      </c>
      <c r="P4977" s="31"/>
      <c r="Q4977" s="31"/>
      <c r="R4977" s="33"/>
      <c r="S4977" s="34" t="str">
        <f>HYPERLINK("http://www.cnpol.ru/covers/17241.jpg","фото на сайте")</f>
        <v>фото на сайте</v>
      </c>
    </row>
    <row r="4978" spans="1:19" ht="50.1" customHeight="1">
      <c r="A4978" s="31"/>
      <c r="B4978" s="32" t="s">
        <v>18286</v>
      </c>
      <c r="C4978" s="31" t="s">
        <v>528</v>
      </c>
      <c r="D4978" s="31" t="s">
        <v>529</v>
      </c>
      <c r="E4978" s="31" t="s">
        <v>18287</v>
      </c>
      <c r="F4978" s="31" t="s">
        <v>31</v>
      </c>
      <c r="G4978" s="31">
        <v>137</v>
      </c>
      <c r="H4978" s="31">
        <v>10</v>
      </c>
      <c r="I4978" s="31">
        <v>40</v>
      </c>
      <c r="J4978" s="31" t="s">
        <v>18288</v>
      </c>
      <c r="K4978" s="31" t="s">
        <v>55</v>
      </c>
      <c r="L4978" s="31" t="s">
        <v>56</v>
      </c>
      <c r="M4978" s="31">
        <v>160</v>
      </c>
      <c r="N4978" s="31">
        <v>2015</v>
      </c>
      <c r="O4978" s="31">
        <v>68</v>
      </c>
      <c r="P4978" s="31"/>
      <c r="Q4978" s="31"/>
      <c r="R4978" s="33"/>
      <c r="S4978" s="34" t="str">
        <f>HYPERLINK("http://www.cnpol.ru/covers/16339.jpg","фото на сайте")</f>
        <v>фото на сайте</v>
      </c>
    </row>
    <row r="4979" spans="1:19" ht="50.1" customHeight="1">
      <c r="A4979" s="31"/>
      <c r="B4979" s="32" t="s">
        <v>18289</v>
      </c>
      <c r="C4979" s="31" t="s">
        <v>1003</v>
      </c>
      <c r="D4979" s="31" t="s">
        <v>1004</v>
      </c>
      <c r="E4979" s="31" t="s">
        <v>18290</v>
      </c>
      <c r="F4979" s="31" t="s">
        <v>31</v>
      </c>
      <c r="G4979" s="31">
        <v>122</v>
      </c>
      <c r="H4979" s="31">
        <v>10</v>
      </c>
      <c r="I4979" s="31">
        <v>20</v>
      </c>
      <c r="J4979" s="31" t="s">
        <v>18291</v>
      </c>
      <c r="K4979" s="31" t="s">
        <v>123</v>
      </c>
      <c r="L4979" s="31" t="s">
        <v>56</v>
      </c>
      <c r="M4979" s="31">
        <v>128</v>
      </c>
      <c r="N4979" s="31">
        <v>2016</v>
      </c>
      <c r="O4979" s="31">
        <v>60</v>
      </c>
      <c r="P4979" s="31"/>
      <c r="Q4979" s="31"/>
      <c r="R4979" s="33"/>
      <c r="S4979" s="34" t="str">
        <f>HYPERLINK("http://www.cnpol.ru/covers/16875.jpg","фото на сайте")</f>
        <v>фото на сайте</v>
      </c>
    </row>
    <row r="4980" spans="1:19" ht="50.1" customHeight="1">
      <c r="A4980" s="31"/>
      <c r="B4980" s="32" t="s">
        <v>18292</v>
      </c>
      <c r="C4980" s="31" t="s">
        <v>37</v>
      </c>
      <c r="D4980" s="31" t="s">
        <v>18293</v>
      </c>
      <c r="E4980" s="31" t="s">
        <v>18294</v>
      </c>
      <c r="F4980" s="31" t="s">
        <v>31</v>
      </c>
      <c r="G4980" s="35">
        <v>1113</v>
      </c>
      <c r="H4980" s="31">
        <v>10</v>
      </c>
      <c r="I4980" s="31">
        <v>10</v>
      </c>
      <c r="J4980" s="31" t="s">
        <v>18295</v>
      </c>
      <c r="K4980" s="31" t="s">
        <v>33</v>
      </c>
      <c r="L4980" s="31" t="s">
        <v>34</v>
      </c>
      <c r="M4980" s="31">
        <v>440</v>
      </c>
      <c r="N4980" s="31">
        <v>2022</v>
      </c>
      <c r="O4980" s="31">
        <v>430</v>
      </c>
      <c r="P4980" s="31"/>
      <c r="Q4980" s="31"/>
      <c r="R4980" s="33"/>
      <c r="S4980" s="34" t="str">
        <f>HYPERLINK("http://www.cnpol.ru/covers/20121.jpg","фото на сайте")</f>
        <v>фото на сайте</v>
      </c>
    </row>
    <row r="4981" spans="1:19" ht="50.1" customHeight="1">
      <c r="A4981" s="31"/>
      <c r="B4981" s="32" t="s">
        <v>18296</v>
      </c>
      <c r="C4981" s="31" t="s">
        <v>528</v>
      </c>
      <c r="D4981" s="31" t="s">
        <v>529</v>
      </c>
      <c r="E4981" s="31" t="s">
        <v>18297</v>
      </c>
      <c r="F4981" s="31" t="s">
        <v>31</v>
      </c>
      <c r="G4981" s="31">
        <v>137</v>
      </c>
      <c r="H4981" s="31">
        <v>10</v>
      </c>
      <c r="I4981" s="31">
        <v>30</v>
      </c>
      <c r="J4981" s="31" t="s">
        <v>18298</v>
      </c>
      <c r="K4981" s="31" t="s">
        <v>55</v>
      </c>
      <c r="L4981" s="31" t="s">
        <v>56</v>
      </c>
      <c r="M4981" s="31">
        <v>160</v>
      </c>
      <c r="N4981" s="31">
        <v>2020</v>
      </c>
      <c r="O4981" s="31">
        <v>68</v>
      </c>
      <c r="P4981" s="31"/>
      <c r="Q4981" s="31"/>
      <c r="R4981" s="33"/>
      <c r="S4981" s="34" t="str">
        <f>HYPERLINK("http://www.cnpol.ru/covers/19408.jpg","фото на сайте")</f>
        <v>фото на сайте</v>
      </c>
    </row>
    <row r="4982" spans="1:19" ht="50.1" customHeight="1">
      <c r="A4982" s="31"/>
      <c r="B4982" s="32" t="s">
        <v>18299</v>
      </c>
      <c r="C4982" s="31" t="s">
        <v>630</v>
      </c>
      <c r="D4982" s="31" t="s">
        <v>6875</v>
      </c>
      <c r="E4982" s="31" t="s">
        <v>18300</v>
      </c>
      <c r="F4982" s="31" t="s">
        <v>31</v>
      </c>
      <c r="G4982" s="31">
        <v>63</v>
      </c>
      <c r="H4982" s="31">
        <v>10</v>
      </c>
      <c r="I4982" s="31">
        <v>80</v>
      </c>
      <c r="J4982" s="31" t="s">
        <v>18301</v>
      </c>
      <c r="K4982" s="31" t="s">
        <v>55</v>
      </c>
      <c r="L4982" s="31" t="s">
        <v>56</v>
      </c>
      <c r="M4982" s="31">
        <v>94</v>
      </c>
      <c r="N4982" s="31">
        <v>2005</v>
      </c>
      <c r="O4982" s="31">
        <v>46</v>
      </c>
      <c r="P4982" s="31"/>
      <c r="Q4982" s="31"/>
      <c r="R4982" s="33"/>
      <c r="S4982" s="34" t="str">
        <f>HYPERLINK("http://www.cnpol.ru/covers/5592.jpg","фото на сайте")</f>
        <v>фото на сайте</v>
      </c>
    </row>
    <row r="4983" spans="1:19" ht="50.1" customHeight="1">
      <c r="A4983" s="31"/>
      <c r="B4983" s="32" t="s">
        <v>18302</v>
      </c>
      <c r="C4983" s="31" t="s">
        <v>589</v>
      </c>
      <c r="D4983" s="31" t="s">
        <v>590</v>
      </c>
      <c r="E4983" s="31" t="s">
        <v>18303</v>
      </c>
      <c r="F4983" s="31" t="s">
        <v>31</v>
      </c>
      <c r="G4983" s="31">
        <v>258</v>
      </c>
      <c r="H4983" s="31">
        <v>10</v>
      </c>
      <c r="I4983" s="31">
        <v>22</v>
      </c>
      <c r="J4983" s="31" t="s">
        <v>18304</v>
      </c>
      <c r="K4983" s="31" t="s">
        <v>130</v>
      </c>
      <c r="L4983" s="31" t="s">
        <v>56</v>
      </c>
      <c r="M4983" s="31">
        <v>160</v>
      </c>
      <c r="N4983" s="31">
        <v>2017</v>
      </c>
      <c r="O4983" s="31">
        <v>92</v>
      </c>
      <c r="P4983" s="31"/>
      <c r="Q4983" s="31"/>
      <c r="R4983" s="33"/>
      <c r="S4983" s="34" t="str">
        <f>HYPERLINK("http://www.cnpol.ru/covers/17346.jpg","фото на сайте")</f>
        <v>фото на сайте</v>
      </c>
    </row>
    <row r="4984" spans="1:19" ht="50.1" customHeight="1">
      <c r="A4984" s="31"/>
      <c r="B4984" s="32" t="s">
        <v>18305</v>
      </c>
      <c r="C4984" s="31" t="s">
        <v>546</v>
      </c>
      <c r="D4984" s="31" t="s">
        <v>2976</v>
      </c>
      <c r="E4984" s="31" t="s">
        <v>18306</v>
      </c>
      <c r="F4984" s="31">
        <v>208</v>
      </c>
      <c r="G4984" s="31">
        <v>93</v>
      </c>
      <c r="H4984" s="31">
        <v>10</v>
      </c>
      <c r="I4984" s="31">
        <v>30</v>
      </c>
      <c r="J4984" s="31" t="s">
        <v>18307</v>
      </c>
      <c r="K4984" s="31" t="s">
        <v>123</v>
      </c>
      <c r="L4984" s="31" t="s">
        <v>56</v>
      </c>
      <c r="M4984" s="31">
        <v>160</v>
      </c>
      <c r="N4984" s="31">
        <v>2017</v>
      </c>
      <c r="O4984" s="31">
        <v>76</v>
      </c>
      <c r="P4984" s="31"/>
      <c r="Q4984" s="31"/>
      <c r="R4984" s="33"/>
      <c r="S4984" s="34" t="str">
        <f>HYPERLINK("http://www.cnpol.ru/covers/17327.jpg","фото на сайте")</f>
        <v>фото на сайте</v>
      </c>
    </row>
    <row r="4985" spans="1:19" ht="50.1" customHeight="1">
      <c r="A4985" s="31"/>
      <c r="B4985" s="32" t="s">
        <v>18308</v>
      </c>
      <c r="C4985" s="31" t="s">
        <v>2120</v>
      </c>
      <c r="D4985" s="31" t="s">
        <v>1449</v>
      </c>
      <c r="E4985" s="31" t="s">
        <v>18309</v>
      </c>
      <c r="F4985" s="31" t="s">
        <v>31</v>
      </c>
      <c r="G4985" s="31">
        <v>81</v>
      </c>
      <c r="H4985" s="31">
        <v>10</v>
      </c>
      <c r="I4985" s="31">
        <v>100</v>
      </c>
      <c r="J4985" s="31" t="s">
        <v>18310</v>
      </c>
      <c r="K4985" s="31" t="s">
        <v>123</v>
      </c>
      <c r="L4985" s="31" t="s">
        <v>56</v>
      </c>
      <c r="M4985" s="31">
        <v>47</v>
      </c>
      <c r="N4985" s="31">
        <v>2005</v>
      </c>
      <c r="O4985" s="31">
        <v>28</v>
      </c>
      <c r="P4985" s="31"/>
      <c r="Q4985" s="31"/>
      <c r="R4985" s="33"/>
      <c r="S4985" s="34" t="str">
        <f>HYPERLINK("http://www.cnpol.ru/covers/5892.jpg","фото на сайте")</f>
        <v>фото на сайте</v>
      </c>
    </row>
    <row r="4986" spans="1:19" ht="50.1" customHeight="1">
      <c r="A4986" s="31"/>
      <c r="B4986" s="32" t="s">
        <v>18311</v>
      </c>
      <c r="C4986" s="31" t="s">
        <v>390</v>
      </c>
      <c r="D4986" s="31" t="s">
        <v>18312</v>
      </c>
      <c r="E4986" s="31" t="s">
        <v>18313</v>
      </c>
      <c r="F4986" s="31">
        <v>373</v>
      </c>
      <c r="G4986" s="31">
        <v>86</v>
      </c>
      <c r="H4986" s="31">
        <v>10</v>
      </c>
      <c r="I4986" s="31">
        <v>30</v>
      </c>
      <c r="J4986" s="31" t="s">
        <v>18314</v>
      </c>
      <c r="K4986" s="31" t="s">
        <v>123</v>
      </c>
      <c r="L4986" s="31" t="s">
        <v>56</v>
      </c>
      <c r="M4986" s="31">
        <v>158</v>
      </c>
      <c r="N4986" s="31">
        <v>2014</v>
      </c>
      <c r="O4986" s="31">
        <v>76</v>
      </c>
      <c r="P4986" s="31"/>
      <c r="Q4986" s="31"/>
      <c r="R4986" s="33"/>
      <c r="S4986" s="34" t="str">
        <f>HYPERLINK("http://www.cnpol.ru/covers/14761.jpg","фото на сайте")</f>
        <v>фото на сайте</v>
      </c>
    </row>
    <row r="4987" spans="1:19" ht="50.1" customHeight="1">
      <c r="A4987" s="31"/>
      <c r="B4987" s="32" t="s">
        <v>18315</v>
      </c>
      <c r="C4987" s="31" t="s">
        <v>1323</v>
      </c>
      <c r="D4987" s="31" t="s">
        <v>1835</v>
      </c>
      <c r="E4987" s="31" t="s">
        <v>18316</v>
      </c>
      <c r="F4987" s="31" t="s">
        <v>31</v>
      </c>
      <c r="G4987" s="31">
        <v>169</v>
      </c>
      <c r="H4987" s="31">
        <v>10</v>
      </c>
      <c r="I4987" s="31">
        <v>10</v>
      </c>
      <c r="J4987" s="31" t="s">
        <v>18317</v>
      </c>
      <c r="K4987" s="31" t="s">
        <v>55</v>
      </c>
      <c r="L4987" s="31" t="s">
        <v>56</v>
      </c>
      <c r="M4987" s="31">
        <v>286</v>
      </c>
      <c r="N4987" s="31">
        <v>2023</v>
      </c>
      <c r="O4987" s="31">
        <v>123</v>
      </c>
      <c r="P4987" s="31"/>
      <c r="Q4987" s="31"/>
      <c r="R4987" s="33" t="s">
        <v>18318</v>
      </c>
      <c r="S4987" s="34" t="str">
        <f>HYPERLINK("http://www.cnpol.ru/covers/20791.jpg","фото на сайте")</f>
        <v>фото на сайте</v>
      </c>
    </row>
    <row r="4988" spans="1:19">
      <c r="A4988" s="37"/>
      <c r="B4988" s="37"/>
      <c r="C4988" s="38"/>
      <c r="D4988" s="38"/>
      <c r="E4988" s="37"/>
      <c r="F4988" s="37"/>
      <c r="G4988" s="37"/>
      <c r="H4988" s="37"/>
      <c r="I4988" s="37"/>
      <c r="J4988" s="37"/>
      <c r="K4988" s="37"/>
      <c r="L4988" s="37"/>
      <c r="M4988" s="37"/>
      <c r="N4988" s="37"/>
      <c r="O4988" s="37"/>
      <c r="P4988" s="37"/>
      <c r="Q4988" s="38"/>
    </row>
  </sheetData>
  <mergeCells count="11">
    <mergeCell ref="B5:O5"/>
    <mergeCell ref="D6:I6"/>
    <mergeCell ref="L6:O6"/>
    <mergeCell ref="B7:O7"/>
    <mergeCell ref="B1:O1"/>
    <mergeCell ref="B2:O2"/>
    <mergeCell ref="J3:K3"/>
    <mergeCell ref="L3:O3"/>
    <mergeCell ref="P3:Q3"/>
    <mergeCell ref="D4:L4"/>
    <mergeCell ref="N4:O4"/>
  </mergeCells>
  <pageMargins left="0.75" right="0.75" top="1" bottom="1" header="0.5" footer="0.5"/>
  <headerFooter>
    <oddFooter xml:space="preserve">&amp;C&amp;8#D Стр. #P из #Q_x000D_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manager3</dc:creator>
  <cp:lastModifiedBy>manager3</cp:lastModifiedBy>
  <dcterms:created xsi:type="dcterms:W3CDTF">2025-11-21T08:08:46Z</dcterms:created>
  <dcterms:modified xsi:type="dcterms:W3CDTF">2025-11-21T08:08:46Z</dcterms:modified>
</cp:coreProperties>
</file>